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wsl.localhost\DAE\home\u237392\GovTechHackathon\co2-switzerland\data\"/>
    </mc:Choice>
  </mc:AlternateContent>
  <xr:revisionPtr revIDLastSave="0" documentId="13_ncr:1_{31CC46A3-8962-4213-9CE2-336BD127C951}" xr6:coauthVersionLast="47" xr6:coauthVersionMax="47" xr10:uidLastSave="{00000000-0000-0000-0000-000000000000}"/>
  <bookViews>
    <workbookView xWindow="-38520" yWindow="-2025" windowWidth="38640" windowHeight="21240" tabRatio="801" activeTab="1" xr2:uid="{00000000-000D-0000-FFFF-FFFF00000000}"/>
  </bookViews>
  <sheets>
    <sheet name="Sommaire" sheetId="47" r:id="rId1"/>
    <sheet name="MCH2" sheetId="23" r:id="rId2"/>
    <sheet name="6.1 Investissements" sheetId="34" r:id="rId3"/>
    <sheet name="Base de données pop." sheetId="13" r:id="rId4"/>
    <sheet name="Population" sheetId="1" r:id="rId5"/>
    <sheet name="Graphique par nature" sheetId="80" r:id="rId6"/>
    <sheet name="Résultats par commune" sheetId="79" r:id="rId7"/>
    <sheet name="4.2 Comptes 2022 par commune" sheetId="48" r:id="rId8"/>
    <sheet name="4.9 Comptes 2022 par habitant" sheetId="29" r:id="rId9"/>
    <sheet name="4.10 Comptes 2022 Hab. par com" sheetId="49" r:id="rId10"/>
    <sheet name="4.5 Vue d'ensemble" sheetId="26" r:id="rId11"/>
    <sheet name="4.6 Vue par commune" sheetId="44" r:id="rId12"/>
    <sheet name="4.3 Résultats à 3 niveaux" sheetId="25" r:id="rId13"/>
    <sheet name="4.4 Résultats à 3 par commune" sheetId="45" r:id="rId14"/>
    <sheet name="4.7 Autofinancement" sheetId="27" r:id="rId15"/>
    <sheet name="4.8 Autofinancement par commune" sheetId="46" r:id="rId16"/>
    <sheet name="4.11 Comptes 2020 fonctionnelle" sheetId="22" r:id="rId17"/>
    <sheet name="4.12 Fonctionnelle par commune" sheetId="50" r:id="rId18"/>
    <sheet name="Tableau fonctionnelle" sheetId="30" r:id="rId19"/>
    <sheet name="4.12.1 et 2 Graph par fonction" sheetId="81" r:id="rId20"/>
    <sheet name="5. Bilan" sheetId="24" r:id="rId21"/>
    <sheet name="5.3 Bilan par commune" sheetId="51" r:id="rId22"/>
    <sheet name="5.2 Tableau bilan" sheetId="31" r:id="rId23"/>
    <sheet name="5.1.2Graphique capitaux propres" sheetId="83" r:id="rId24"/>
    <sheet name="5.4 Tableau de l'endettement" sheetId="32" r:id="rId25"/>
    <sheet name="5.4.1Graphique de l'endettement" sheetId="82" r:id="rId26"/>
    <sheet name="5.5 Endettement par commune" sheetId="52" r:id="rId27"/>
    <sheet name="6.2 Investissements par commune" sheetId="53" r:id="rId28"/>
    <sheet name="7, Définition des indicateurs" sheetId="54" r:id="rId29"/>
    <sheet name="Base de données indicateurs1" sheetId="42" r:id="rId30"/>
    <sheet name="Endett. net + degré d'auto." sheetId="35" r:id="rId31"/>
    <sheet name="Quotité d'intéret + revenus det" sheetId="36" r:id="rId32"/>
    <sheet name="Quotité d'invest + fin." sheetId="37" r:id="rId33"/>
    <sheet name="Quotité d'autofinancement" sheetId="38" r:id="rId34"/>
    <sheet name="Quotient excédent du bilan" sheetId="39" r:id="rId35"/>
    <sheet name="Récapitulatif" sheetId="40" r:id="rId36"/>
    <sheet name="Indicateurs par commune" sheetId="43" r:id="rId37"/>
    <sheet name="Bourgeoisies Comptes 2022" sheetId="55" r:id="rId38"/>
    <sheet name="Comptes 2022 par Bourgeoisie" sheetId="56" r:id="rId39"/>
    <sheet name="Bourgeoisie vue d'ensemble" sheetId="57" r:id="rId40"/>
    <sheet name="Vue d'ensemble par Bourgeoisie" sheetId="58" r:id="rId41"/>
    <sheet name="Bourgeoisie résultats 3 niveaux" sheetId="59" r:id="rId42"/>
    <sheet name="Résultats 3 nivaux par Bourgeoi" sheetId="60" r:id="rId43"/>
    <sheet name="Bourgeoisie autofinancement" sheetId="61" r:id="rId44"/>
    <sheet name="Autofinancement par Bourgeoisie" sheetId="62" r:id="rId45"/>
    <sheet name="Bourgeoisie bilan" sheetId="63" r:id="rId46"/>
    <sheet name="Bilan par bourgeoisie" sheetId="64" r:id="rId47"/>
    <sheet name="Bourgeoisie endettement" sheetId="65" r:id="rId48"/>
    <sheet name="Endettement par bourgeoisie" sheetId="66" r:id="rId49"/>
    <sheet name="Bourgeoisie investissement" sheetId="67" r:id="rId50"/>
    <sheet name="Investissement par bourgeoisie" sheetId="68" r:id="rId51"/>
    <sheet name="Syndicats comptes 2021" sheetId="69" r:id="rId52"/>
    <sheet name="Comptes 2021 par Syndicats" sheetId="70" r:id="rId53"/>
    <sheet name="Syndicats vue d'ensemble" sheetId="71" r:id="rId54"/>
    <sheet name="Vue d'ensemble par syndicat" sheetId="72" r:id="rId55"/>
    <sheet name="Syndicats résultat à 3 niveaux" sheetId="73" r:id="rId56"/>
    <sheet name="Résultat 3 niveaux par syndicat" sheetId="74" r:id="rId57"/>
    <sheet name="Syndicats Bilan" sheetId="75" r:id="rId58"/>
    <sheet name="Bilan par Syndicats" sheetId="76" r:id="rId59"/>
    <sheet name="Syndicats endettement" sheetId="77" r:id="rId60"/>
    <sheet name="Endettement par syndicat" sheetId="78" r:id="rId61"/>
  </sheets>
  <definedNames>
    <definedName name="_xlnm.Print_Area" localSheetId="14">'4.7 Autofinancement'!$A$2:$D$93</definedName>
    <definedName name="_xlnm.Print_Area" localSheetId="44">'Autofinancement par Bourgeoisie'!$A$2:$E$35</definedName>
    <definedName name="_xlnm.Print_Area" localSheetId="35">Récapitulatif!$A$2:$D$44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G6" i="23" l="1"/>
  <c r="E6" i="23"/>
  <c r="AE141" i="69" l="1"/>
  <c r="N40" i="23" l="1"/>
  <c r="N86" i="75" l="1"/>
  <c r="G57" i="79" l="1"/>
  <c r="G56" i="79"/>
  <c r="G55" i="79"/>
  <c r="G54" i="79"/>
  <c r="G53" i="79"/>
  <c r="G52" i="79"/>
  <c r="G51" i="79"/>
  <c r="G50" i="79"/>
  <c r="G49" i="79"/>
  <c r="G48" i="79"/>
  <c r="G47" i="79"/>
  <c r="G46" i="79"/>
  <c r="G45" i="79"/>
  <c r="G44" i="79"/>
  <c r="G43" i="79"/>
  <c r="G42" i="79"/>
  <c r="G41" i="79"/>
  <c r="G40" i="79"/>
  <c r="G39" i="79"/>
  <c r="G38" i="79"/>
  <c r="G37" i="79"/>
  <c r="G36" i="79"/>
  <c r="G35" i="79"/>
  <c r="G34" i="79"/>
  <c r="G33" i="79"/>
  <c r="G32" i="79"/>
  <c r="G31" i="79"/>
  <c r="G30" i="79"/>
  <c r="G29" i="79"/>
  <c r="G28" i="79"/>
  <c r="G27" i="79"/>
  <c r="G26" i="79"/>
  <c r="G25" i="79"/>
  <c r="G24" i="79"/>
  <c r="G23" i="79"/>
  <c r="G22" i="79"/>
  <c r="G21" i="79"/>
  <c r="G20" i="79"/>
  <c r="G19" i="79"/>
  <c r="G18" i="79"/>
  <c r="G17" i="79"/>
  <c r="G16" i="79"/>
  <c r="G15" i="79"/>
  <c r="G14" i="79"/>
  <c r="G13" i="79"/>
  <c r="G12" i="79"/>
  <c r="G11" i="79"/>
  <c r="G10" i="79"/>
  <c r="G9" i="79"/>
  <c r="G8" i="79"/>
  <c r="G7" i="79"/>
  <c r="G6" i="79"/>
  <c r="G5" i="79"/>
  <c r="F57" i="79"/>
  <c r="F56" i="79"/>
  <c r="F55" i="79"/>
  <c r="F54" i="79"/>
  <c r="F53" i="79"/>
  <c r="F52" i="79"/>
  <c r="F51" i="79"/>
  <c r="F50" i="79"/>
  <c r="F49" i="79"/>
  <c r="F48" i="79"/>
  <c r="F47" i="79"/>
  <c r="F46" i="79"/>
  <c r="F45" i="79"/>
  <c r="F44" i="79"/>
  <c r="F43" i="79"/>
  <c r="F42" i="79"/>
  <c r="F41" i="79"/>
  <c r="F40" i="79"/>
  <c r="F39" i="79"/>
  <c r="F38" i="79"/>
  <c r="F37" i="79"/>
  <c r="F36" i="79"/>
  <c r="F35" i="79"/>
  <c r="F34" i="79"/>
  <c r="F33" i="79"/>
  <c r="F32" i="79"/>
  <c r="F31" i="79"/>
  <c r="F30" i="79"/>
  <c r="F29" i="79"/>
  <c r="F28" i="79"/>
  <c r="F27" i="79"/>
  <c r="F26" i="79"/>
  <c r="F25" i="79"/>
  <c r="F24" i="79"/>
  <c r="F23" i="79"/>
  <c r="F22" i="79"/>
  <c r="F21" i="79"/>
  <c r="F20" i="79"/>
  <c r="F19" i="79"/>
  <c r="F18" i="79"/>
  <c r="F17" i="79"/>
  <c r="F16" i="79"/>
  <c r="F15" i="79"/>
  <c r="F14" i="79"/>
  <c r="F13" i="79"/>
  <c r="F12" i="79"/>
  <c r="F11" i="79"/>
  <c r="F10" i="79"/>
  <c r="F9" i="79"/>
  <c r="F8" i="79"/>
  <c r="F7" i="79"/>
  <c r="F6" i="79"/>
  <c r="F5" i="79"/>
  <c r="C57" i="79"/>
  <c r="C56" i="79"/>
  <c r="C55" i="79"/>
  <c r="C54" i="79"/>
  <c r="C53" i="79"/>
  <c r="C52" i="79"/>
  <c r="C51" i="79"/>
  <c r="C50" i="79"/>
  <c r="C49" i="79"/>
  <c r="C48" i="79"/>
  <c r="C47" i="79"/>
  <c r="C46" i="79"/>
  <c r="C45" i="79"/>
  <c r="C44" i="79"/>
  <c r="C43" i="79"/>
  <c r="C42" i="79"/>
  <c r="C41" i="79"/>
  <c r="C40" i="79"/>
  <c r="C39" i="79"/>
  <c r="C38" i="79"/>
  <c r="C37" i="79"/>
  <c r="C36" i="79"/>
  <c r="C35" i="79"/>
  <c r="C34" i="79"/>
  <c r="C33" i="79"/>
  <c r="C32" i="79"/>
  <c r="C31" i="79"/>
  <c r="C30" i="79"/>
  <c r="C29" i="79"/>
  <c r="C28" i="79"/>
  <c r="C27" i="79"/>
  <c r="C26" i="79"/>
  <c r="C25" i="79"/>
  <c r="C24" i="79"/>
  <c r="C23" i="79"/>
  <c r="C22" i="79"/>
  <c r="C21" i="79"/>
  <c r="C20" i="79"/>
  <c r="C19" i="79"/>
  <c r="C18" i="79"/>
  <c r="C17" i="79"/>
  <c r="C16" i="79"/>
  <c r="C15" i="79"/>
  <c r="C14" i="79"/>
  <c r="C13" i="79"/>
  <c r="C12" i="79"/>
  <c r="C11" i="79"/>
  <c r="C10" i="79"/>
  <c r="C9" i="79"/>
  <c r="C8" i="79"/>
  <c r="C7" i="79"/>
  <c r="C6" i="79"/>
  <c r="C5" i="79"/>
  <c r="B57" i="79"/>
  <c r="B56" i="79"/>
  <c r="B55" i="79"/>
  <c r="B54" i="79"/>
  <c r="B53" i="79"/>
  <c r="B52" i="79"/>
  <c r="B51" i="79"/>
  <c r="B50" i="79"/>
  <c r="B49" i="79"/>
  <c r="B48" i="79"/>
  <c r="B47" i="79"/>
  <c r="B46" i="79"/>
  <c r="B45" i="79"/>
  <c r="B44" i="79"/>
  <c r="B43" i="79"/>
  <c r="B42" i="79"/>
  <c r="B41" i="79"/>
  <c r="B40" i="79"/>
  <c r="B39" i="79"/>
  <c r="B38" i="79"/>
  <c r="B37" i="79"/>
  <c r="B36" i="79"/>
  <c r="B35" i="79"/>
  <c r="B34" i="79"/>
  <c r="B33" i="79"/>
  <c r="B32" i="79"/>
  <c r="B31" i="79"/>
  <c r="B30" i="79"/>
  <c r="B29" i="79"/>
  <c r="B28" i="79"/>
  <c r="B27" i="79"/>
  <c r="B26" i="79"/>
  <c r="B25" i="79"/>
  <c r="B24" i="79"/>
  <c r="B23" i="79"/>
  <c r="B22" i="79"/>
  <c r="B21" i="79"/>
  <c r="B20" i="79"/>
  <c r="B19" i="79"/>
  <c r="B18" i="79"/>
  <c r="B17" i="79"/>
  <c r="B16" i="79"/>
  <c r="B15" i="79"/>
  <c r="B14" i="79"/>
  <c r="B13" i="79"/>
  <c r="B12" i="79"/>
  <c r="B11" i="79"/>
  <c r="B10" i="79"/>
  <c r="B9" i="79"/>
  <c r="B8" i="79"/>
  <c r="B7" i="79"/>
  <c r="B6" i="79"/>
  <c r="B5" i="79"/>
  <c r="BI15" i="34" l="1"/>
  <c r="F24" i="35" l="1"/>
  <c r="G24" i="35"/>
  <c r="H24" i="35"/>
  <c r="I24" i="35"/>
  <c r="J24" i="35"/>
  <c r="K24" i="35"/>
  <c r="L24" i="35"/>
  <c r="M24" i="35"/>
  <c r="N24" i="35"/>
  <c r="O24" i="35"/>
  <c r="P24" i="35"/>
  <c r="Q24" i="35"/>
  <c r="R24" i="35"/>
  <c r="S24" i="35"/>
  <c r="T24" i="35"/>
  <c r="U24" i="35"/>
  <c r="V24" i="35"/>
  <c r="W24" i="35"/>
  <c r="X24" i="35"/>
  <c r="Y24" i="35"/>
  <c r="Z24" i="35"/>
  <c r="AA24" i="35"/>
  <c r="AB24" i="35"/>
  <c r="AC24" i="35"/>
  <c r="AD24" i="35"/>
  <c r="AE24" i="35"/>
  <c r="AF24" i="35"/>
  <c r="AG24" i="35"/>
  <c r="AH24" i="35"/>
  <c r="AI24" i="35"/>
  <c r="AJ24" i="35"/>
  <c r="AK24" i="35"/>
  <c r="AL24" i="35"/>
  <c r="AM24" i="35"/>
  <c r="AN24" i="35"/>
  <c r="AO24" i="35"/>
  <c r="AP24" i="35"/>
  <c r="AQ24" i="35"/>
  <c r="AR24" i="35"/>
  <c r="AS24" i="35"/>
  <c r="AT24" i="35"/>
  <c r="AU24" i="35"/>
  <c r="AV24" i="35"/>
  <c r="AW24" i="35"/>
  <c r="AX24" i="35"/>
  <c r="AY24" i="35"/>
  <c r="AZ24" i="35"/>
  <c r="BA24" i="35"/>
  <c r="BB24" i="35"/>
  <c r="BC24" i="35"/>
  <c r="BD24" i="35"/>
  <c r="BE24" i="35"/>
  <c r="E24" i="35"/>
  <c r="R25" i="67" l="1"/>
  <c r="F62" i="42" l="1"/>
  <c r="G62" i="42"/>
  <c r="H62" i="42"/>
  <c r="I62" i="42"/>
  <c r="J62" i="42"/>
  <c r="K62" i="42"/>
  <c r="L62" i="42"/>
  <c r="M62" i="42"/>
  <c r="N62" i="42"/>
  <c r="O62" i="42"/>
  <c r="P62" i="42"/>
  <c r="Q62" i="42"/>
  <c r="R62" i="42"/>
  <c r="S62" i="42"/>
  <c r="T62" i="42"/>
  <c r="U62" i="42"/>
  <c r="V62" i="42"/>
  <c r="V38" i="35" s="1"/>
  <c r="W62" i="42"/>
  <c r="X62" i="42"/>
  <c r="Y62" i="42"/>
  <c r="Z62" i="42"/>
  <c r="AA62" i="42"/>
  <c r="AB62" i="42"/>
  <c r="AC62" i="42"/>
  <c r="AD62" i="42"/>
  <c r="AE62" i="42"/>
  <c r="AF62" i="42"/>
  <c r="AG62" i="42"/>
  <c r="AH62" i="42"/>
  <c r="AI62" i="42"/>
  <c r="AJ62" i="42"/>
  <c r="AK62" i="42"/>
  <c r="AL62" i="42"/>
  <c r="AM62" i="42"/>
  <c r="AN62" i="42"/>
  <c r="AO62" i="42"/>
  <c r="AP62" i="42"/>
  <c r="AQ62" i="42"/>
  <c r="AR62" i="42"/>
  <c r="AS62" i="42"/>
  <c r="AT62" i="42"/>
  <c r="AU62" i="42"/>
  <c r="AV62" i="42"/>
  <c r="AW62" i="42"/>
  <c r="AX62" i="42"/>
  <c r="AY62" i="42"/>
  <c r="AZ62" i="42"/>
  <c r="BA62" i="42"/>
  <c r="BB62" i="42"/>
  <c r="BC62" i="42"/>
  <c r="BD62" i="42"/>
  <c r="BE62" i="42"/>
  <c r="E62" i="42"/>
  <c r="E38" i="35" s="1"/>
  <c r="F59" i="42"/>
  <c r="F37" i="35" s="1"/>
  <c r="G59" i="42"/>
  <c r="G37" i="35" s="1"/>
  <c r="H59" i="42"/>
  <c r="H37" i="35" s="1"/>
  <c r="I59" i="42"/>
  <c r="I37" i="35" s="1"/>
  <c r="J59" i="42"/>
  <c r="J37" i="35" s="1"/>
  <c r="K59" i="42"/>
  <c r="K37" i="35" s="1"/>
  <c r="L59" i="42"/>
  <c r="L37" i="35" s="1"/>
  <c r="M59" i="42"/>
  <c r="M37" i="35" s="1"/>
  <c r="N59" i="42"/>
  <c r="N37" i="35" s="1"/>
  <c r="O59" i="42"/>
  <c r="O37" i="35" s="1"/>
  <c r="P59" i="42"/>
  <c r="P37" i="35" s="1"/>
  <c r="Q59" i="42"/>
  <c r="Q37" i="35" s="1"/>
  <c r="R59" i="42"/>
  <c r="R37" i="35" s="1"/>
  <c r="S59" i="42"/>
  <c r="S37" i="35" s="1"/>
  <c r="T59" i="42"/>
  <c r="T37" i="35" s="1"/>
  <c r="U59" i="42"/>
  <c r="U37" i="35" s="1"/>
  <c r="V59" i="42"/>
  <c r="V37" i="35" s="1"/>
  <c r="W59" i="42"/>
  <c r="W37" i="35" s="1"/>
  <c r="X59" i="42"/>
  <c r="X37" i="35" s="1"/>
  <c r="Y59" i="42"/>
  <c r="Y37" i="35" s="1"/>
  <c r="Z59" i="42"/>
  <c r="Z37" i="35" s="1"/>
  <c r="AA59" i="42"/>
  <c r="AA37" i="35" s="1"/>
  <c r="AB59" i="42"/>
  <c r="AB37" i="35" s="1"/>
  <c r="AC59" i="42"/>
  <c r="AC37" i="35" s="1"/>
  <c r="AD59" i="42"/>
  <c r="AD37" i="35" s="1"/>
  <c r="AE59" i="42"/>
  <c r="AE37" i="35" s="1"/>
  <c r="AF59" i="42"/>
  <c r="AF37" i="35" s="1"/>
  <c r="AG59" i="42"/>
  <c r="AG37" i="35" s="1"/>
  <c r="AH59" i="42"/>
  <c r="AH37" i="35" s="1"/>
  <c r="AI59" i="42"/>
  <c r="AI37" i="35" s="1"/>
  <c r="AJ59" i="42"/>
  <c r="AJ37" i="35" s="1"/>
  <c r="AK59" i="42"/>
  <c r="AK37" i="35" s="1"/>
  <c r="AL59" i="42"/>
  <c r="AL37" i="35" s="1"/>
  <c r="AM59" i="42"/>
  <c r="AM37" i="35" s="1"/>
  <c r="AN59" i="42"/>
  <c r="AN37" i="35" s="1"/>
  <c r="AO59" i="42"/>
  <c r="AO37" i="35" s="1"/>
  <c r="AP59" i="42"/>
  <c r="AP37" i="35" s="1"/>
  <c r="AQ59" i="42"/>
  <c r="AQ37" i="35" s="1"/>
  <c r="AR59" i="42"/>
  <c r="AR37" i="35" s="1"/>
  <c r="AS59" i="42"/>
  <c r="AS37" i="35" s="1"/>
  <c r="AT59" i="42"/>
  <c r="AT37" i="35" s="1"/>
  <c r="AU59" i="42"/>
  <c r="AU37" i="35" s="1"/>
  <c r="AV59" i="42"/>
  <c r="AV37" i="35" s="1"/>
  <c r="AW59" i="42"/>
  <c r="AW37" i="35" s="1"/>
  <c r="AX59" i="42"/>
  <c r="AX37" i="35" s="1"/>
  <c r="AY59" i="42"/>
  <c r="AY37" i="35" s="1"/>
  <c r="AZ59" i="42"/>
  <c r="AZ37" i="35" s="1"/>
  <c r="BA59" i="42"/>
  <c r="BA37" i="35" s="1"/>
  <c r="BB59" i="42"/>
  <c r="BB37" i="35" s="1"/>
  <c r="BC59" i="42"/>
  <c r="BC37" i="35" s="1"/>
  <c r="BD59" i="42"/>
  <c r="BD37" i="35" s="1"/>
  <c r="BE59" i="42"/>
  <c r="BE37" i="35" s="1"/>
  <c r="E59" i="42"/>
  <c r="E37" i="35" s="1"/>
  <c r="AK5" i="22" l="1"/>
  <c r="BG218" i="24" l="1"/>
  <c r="BG217" i="24"/>
  <c r="BI166" i="23" l="1"/>
  <c r="BH166" i="23"/>
  <c r="BG166" i="23"/>
  <c r="BF166" i="23"/>
  <c r="E17" i="46" l="1"/>
  <c r="AY89" i="34" l="1"/>
  <c r="AW114" i="34" l="1"/>
  <c r="AN99" i="34" l="1"/>
  <c r="BI168" i="34" l="1"/>
  <c r="BI24" i="24" l="1"/>
  <c r="C15" i="44" l="1"/>
  <c r="I6" i="1" l="1"/>
  <c r="AE221" i="75"/>
  <c r="AE69" i="75" l="1"/>
  <c r="Y216" i="75" l="1"/>
  <c r="T216" i="75" l="1"/>
  <c r="W191" i="75" l="1"/>
  <c r="G221" i="75" l="1"/>
  <c r="H221" i="75"/>
  <c r="I221" i="75"/>
  <c r="J221" i="75"/>
  <c r="K221" i="75"/>
  <c r="L221" i="75"/>
  <c r="M221" i="75"/>
  <c r="N221" i="75"/>
  <c r="O221" i="75"/>
  <c r="P221" i="75"/>
  <c r="Q221" i="75"/>
  <c r="R221" i="75"/>
  <c r="S221" i="75"/>
  <c r="T221" i="75"/>
  <c r="U221" i="75"/>
  <c r="V221" i="75"/>
  <c r="W221" i="75"/>
  <c r="X221" i="75"/>
  <c r="Y221" i="75"/>
  <c r="Z221" i="75"/>
  <c r="AA221" i="75"/>
  <c r="AB221" i="75"/>
  <c r="AC221" i="75"/>
  <c r="AD221" i="75"/>
  <c r="AF221" i="75"/>
  <c r="F221" i="75"/>
  <c r="F48" i="75" l="1"/>
  <c r="AF42" i="69" l="1"/>
  <c r="AF41" i="69"/>
  <c r="D18" i="77"/>
  <c r="E18" i="77"/>
  <c r="F18" i="77"/>
  <c r="G18" i="77"/>
  <c r="H18" i="77"/>
  <c r="I18" i="77"/>
  <c r="J18" i="77"/>
  <c r="K18" i="77"/>
  <c r="L18" i="77"/>
  <c r="M18" i="77"/>
  <c r="N18" i="77"/>
  <c r="O18" i="77"/>
  <c r="P18" i="77"/>
  <c r="Q18" i="77"/>
  <c r="R18" i="77"/>
  <c r="S18" i="77"/>
  <c r="T18" i="77"/>
  <c r="U18" i="77"/>
  <c r="V18" i="77"/>
  <c r="W18" i="77"/>
  <c r="X18" i="77"/>
  <c r="Y18" i="77"/>
  <c r="Z18" i="77"/>
  <c r="AA18" i="77"/>
  <c r="AB18" i="77"/>
  <c r="AC18" i="77"/>
  <c r="C18" i="77"/>
  <c r="F224" i="76"/>
  <c r="F223" i="76"/>
  <c r="C12" i="72"/>
  <c r="C11" i="72"/>
  <c r="C18" i="78" l="1"/>
  <c r="E45" i="70"/>
  <c r="E44" i="70"/>
  <c r="I143" i="63" l="1"/>
  <c r="S53" i="63" l="1"/>
  <c r="C12" i="58"/>
  <c r="C11" i="58"/>
  <c r="BC89" i="34" l="1"/>
  <c r="AZ77" i="23" l="1"/>
  <c r="R42" i="55" l="1"/>
  <c r="R41" i="55"/>
  <c r="D18" i="65"/>
  <c r="E18" i="65"/>
  <c r="F18" i="65"/>
  <c r="G18" i="65"/>
  <c r="H18" i="65"/>
  <c r="I18" i="65"/>
  <c r="J18" i="65"/>
  <c r="K18" i="65"/>
  <c r="L18" i="65"/>
  <c r="M18" i="65"/>
  <c r="N18" i="65"/>
  <c r="O18" i="65"/>
  <c r="C18" i="65"/>
  <c r="F228" i="64"/>
  <c r="F223" i="64"/>
  <c r="R133" i="55" l="1"/>
  <c r="E136" i="56" l="1"/>
  <c r="E45" i="56"/>
  <c r="E44" i="56"/>
  <c r="E43" i="56" l="1"/>
  <c r="AF222" i="75"/>
  <c r="AE222" i="75"/>
  <c r="AE224" i="75" s="1"/>
  <c r="AD222" i="75"/>
  <c r="AC222" i="75"/>
  <c r="AB222" i="75"/>
  <c r="AA222" i="75"/>
  <c r="Z222" i="75"/>
  <c r="Y222" i="75"/>
  <c r="X222" i="75"/>
  <c r="W222" i="75"/>
  <c r="V222" i="75"/>
  <c r="U222" i="75"/>
  <c r="T222" i="75"/>
  <c r="S222" i="75"/>
  <c r="R222" i="75"/>
  <c r="Q222" i="75"/>
  <c r="P222" i="75"/>
  <c r="O222" i="75"/>
  <c r="N222" i="75"/>
  <c r="M222" i="75"/>
  <c r="L222" i="75"/>
  <c r="K222" i="75"/>
  <c r="J222" i="75"/>
  <c r="I222" i="75"/>
  <c r="H222" i="75"/>
  <c r="G222" i="75"/>
  <c r="F222" i="75"/>
  <c r="AG218" i="75"/>
  <c r="F221" i="76" s="1"/>
  <c r="AG217" i="75"/>
  <c r="AF216" i="75"/>
  <c r="AE216" i="75"/>
  <c r="AD216" i="75"/>
  <c r="AC216" i="75"/>
  <c r="AB216" i="75"/>
  <c r="AA216" i="75"/>
  <c r="Z216" i="75"/>
  <c r="X216" i="75"/>
  <c r="W216" i="75"/>
  <c r="V216" i="75"/>
  <c r="U216" i="75"/>
  <c r="S216" i="75"/>
  <c r="R216" i="75"/>
  <c r="Q216" i="75"/>
  <c r="P216" i="75"/>
  <c r="O216" i="75"/>
  <c r="N216" i="75"/>
  <c r="M216" i="75"/>
  <c r="L216" i="75"/>
  <c r="K216" i="75"/>
  <c r="J216" i="75"/>
  <c r="I216" i="75"/>
  <c r="H216" i="75"/>
  <c r="G216" i="75"/>
  <c r="F216" i="75"/>
  <c r="AG214" i="75"/>
  <c r="F217" i="76" s="1"/>
  <c r="AF213" i="75"/>
  <c r="AE213" i="75"/>
  <c r="AD213" i="75"/>
  <c r="AC213" i="75"/>
  <c r="AB213" i="75"/>
  <c r="AA213" i="75"/>
  <c r="Z213" i="75"/>
  <c r="Y213" i="75"/>
  <c r="X213" i="75"/>
  <c r="W213" i="75"/>
  <c r="V213" i="75"/>
  <c r="U213" i="75"/>
  <c r="T213" i="75"/>
  <c r="S213" i="75"/>
  <c r="R213" i="75"/>
  <c r="Q213" i="75"/>
  <c r="P213" i="75"/>
  <c r="O213" i="75"/>
  <c r="N213" i="75"/>
  <c r="M213" i="75"/>
  <c r="L213" i="75"/>
  <c r="K213" i="75"/>
  <c r="J213" i="75"/>
  <c r="I213" i="75"/>
  <c r="H213" i="75"/>
  <c r="G213" i="75"/>
  <c r="F213" i="75"/>
  <c r="AG211" i="75"/>
  <c r="F214" i="76" s="1"/>
  <c r="AF210" i="75"/>
  <c r="AE210" i="75"/>
  <c r="AD210" i="75"/>
  <c r="AC210" i="75"/>
  <c r="AB210" i="75"/>
  <c r="AA210" i="75"/>
  <c r="Z210" i="75"/>
  <c r="Y210" i="75"/>
  <c r="X210" i="75"/>
  <c r="W210" i="75"/>
  <c r="V210" i="75"/>
  <c r="U210" i="75"/>
  <c r="T210" i="75"/>
  <c r="S210" i="75"/>
  <c r="R210" i="75"/>
  <c r="Q210" i="75"/>
  <c r="P210" i="75"/>
  <c r="O210" i="75"/>
  <c r="N210" i="75"/>
  <c r="M210" i="75"/>
  <c r="L210" i="75"/>
  <c r="K210" i="75"/>
  <c r="J210" i="75"/>
  <c r="I210" i="75"/>
  <c r="H210" i="75"/>
  <c r="G210" i="75"/>
  <c r="F210" i="75"/>
  <c r="AG208" i="75"/>
  <c r="F211" i="76" s="1"/>
  <c r="AF207" i="75"/>
  <c r="AE207" i="75"/>
  <c r="AD207" i="75"/>
  <c r="AC207" i="75"/>
  <c r="AB207" i="75"/>
  <c r="AA207" i="75"/>
  <c r="Z207" i="75"/>
  <c r="Y207" i="75"/>
  <c r="X207" i="75"/>
  <c r="W207" i="75"/>
  <c r="V207" i="75"/>
  <c r="U207" i="75"/>
  <c r="T207" i="75"/>
  <c r="S207" i="75"/>
  <c r="R207" i="75"/>
  <c r="Q207" i="75"/>
  <c r="P207" i="75"/>
  <c r="O207" i="75"/>
  <c r="N207" i="75"/>
  <c r="M207" i="75"/>
  <c r="L207" i="75"/>
  <c r="K207" i="75"/>
  <c r="J207" i="75"/>
  <c r="I207" i="75"/>
  <c r="H207" i="75"/>
  <c r="G207" i="75"/>
  <c r="F207" i="75"/>
  <c r="AG205" i="75"/>
  <c r="F208" i="76" s="1"/>
  <c r="AF204" i="75"/>
  <c r="AE204" i="75"/>
  <c r="AD204" i="75"/>
  <c r="AC204" i="75"/>
  <c r="AB204" i="75"/>
  <c r="AA204" i="75"/>
  <c r="Z204" i="75"/>
  <c r="Y204" i="75"/>
  <c r="X204" i="75"/>
  <c r="W204" i="75"/>
  <c r="V204" i="75"/>
  <c r="U204" i="75"/>
  <c r="T204" i="75"/>
  <c r="S204" i="75"/>
  <c r="R204" i="75"/>
  <c r="Q204" i="75"/>
  <c r="P204" i="75"/>
  <c r="O204" i="75"/>
  <c r="N204" i="75"/>
  <c r="M204" i="75"/>
  <c r="L204" i="75"/>
  <c r="K204" i="75"/>
  <c r="J204" i="75"/>
  <c r="I204" i="75"/>
  <c r="H204" i="75"/>
  <c r="G204" i="75"/>
  <c r="F204" i="75"/>
  <c r="AG202" i="75"/>
  <c r="F205" i="76" s="1"/>
  <c r="AF201" i="75"/>
  <c r="AE201" i="75"/>
  <c r="AD201" i="75"/>
  <c r="AC201" i="75"/>
  <c r="AB201" i="75"/>
  <c r="AA201" i="75"/>
  <c r="Z201" i="75"/>
  <c r="Y201" i="75"/>
  <c r="X201" i="75"/>
  <c r="W201" i="75"/>
  <c r="V201" i="75"/>
  <c r="U201" i="75"/>
  <c r="T201" i="75"/>
  <c r="S201" i="75"/>
  <c r="R201" i="75"/>
  <c r="Q201" i="75"/>
  <c r="P201" i="75"/>
  <c r="O201" i="75"/>
  <c r="N201" i="75"/>
  <c r="M201" i="75"/>
  <c r="L201" i="75"/>
  <c r="K201" i="75"/>
  <c r="J201" i="75"/>
  <c r="I201" i="75"/>
  <c r="H201" i="75"/>
  <c r="G201" i="75"/>
  <c r="F201" i="75"/>
  <c r="AG199" i="75"/>
  <c r="F202" i="76" s="1"/>
  <c r="AF198" i="75"/>
  <c r="AE198" i="75"/>
  <c r="AD198" i="75"/>
  <c r="AC198" i="75"/>
  <c r="AB198" i="75"/>
  <c r="AA198" i="75"/>
  <c r="Z198" i="75"/>
  <c r="Y198" i="75"/>
  <c r="X198" i="75"/>
  <c r="W198" i="75"/>
  <c r="V198" i="75"/>
  <c r="U198" i="75"/>
  <c r="T198" i="75"/>
  <c r="S198" i="75"/>
  <c r="R198" i="75"/>
  <c r="Q198" i="75"/>
  <c r="P198" i="75"/>
  <c r="O198" i="75"/>
  <c r="N198" i="75"/>
  <c r="M198" i="75"/>
  <c r="L198" i="75"/>
  <c r="K198" i="75"/>
  <c r="J198" i="75"/>
  <c r="I198" i="75"/>
  <c r="H198" i="75"/>
  <c r="G198" i="75"/>
  <c r="F198" i="75"/>
  <c r="AG196" i="75"/>
  <c r="F199" i="76" s="1"/>
  <c r="AG195" i="75"/>
  <c r="F198" i="76" s="1"/>
  <c r="AF194" i="75"/>
  <c r="AE194" i="75"/>
  <c r="AD194" i="75"/>
  <c r="AC194" i="75"/>
  <c r="AB194" i="75"/>
  <c r="AA194" i="75"/>
  <c r="Z194" i="75"/>
  <c r="Y194" i="75"/>
  <c r="X194" i="75"/>
  <c r="W194" i="75"/>
  <c r="V194" i="75"/>
  <c r="U194" i="75"/>
  <c r="T194" i="75"/>
  <c r="S194" i="75"/>
  <c r="R194" i="75"/>
  <c r="Q194" i="75"/>
  <c r="P194" i="75"/>
  <c r="O194" i="75"/>
  <c r="N194" i="75"/>
  <c r="M194" i="75"/>
  <c r="L194" i="75"/>
  <c r="K194" i="75"/>
  <c r="J194" i="75"/>
  <c r="I194" i="75"/>
  <c r="H194" i="75"/>
  <c r="G194" i="75"/>
  <c r="F194" i="75"/>
  <c r="AG192" i="75"/>
  <c r="F195" i="76" s="1"/>
  <c r="AF191" i="75"/>
  <c r="AE191" i="75"/>
  <c r="AD191" i="75"/>
  <c r="AC191" i="75"/>
  <c r="AB191" i="75"/>
  <c r="AA191" i="75"/>
  <c r="Z191" i="75"/>
  <c r="Y191" i="75"/>
  <c r="X191" i="75"/>
  <c r="V191" i="75"/>
  <c r="U191" i="75"/>
  <c r="T191" i="75"/>
  <c r="S191" i="75"/>
  <c r="R191" i="75"/>
  <c r="Q191" i="75"/>
  <c r="P191" i="75"/>
  <c r="O191" i="75"/>
  <c r="N191" i="75"/>
  <c r="M191" i="75"/>
  <c r="L191" i="75"/>
  <c r="K191" i="75"/>
  <c r="J191" i="75"/>
  <c r="I191" i="75"/>
  <c r="H191" i="75"/>
  <c r="G191" i="75"/>
  <c r="F191" i="75"/>
  <c r="AG188" i="75"/>
  <c r="F191" i="76" s="1"/>
  <c r="AG187" i="75"/>
  <c r="F190" i="76" s="1"/>
  <c r="AG186" i="75"/>
  <c r="F189" i="76" s="1"/>
  <c r="AG185" i="75"/>
  <c r="F188" i="76" s="1"/>
  <c r="AF184" i="75"/>
  <c r="AE184" i="75"/>
  <c r="AD184" i="75"/>
  <c r="AC184" i="75"/>
  <c r="AB184" i="75"/>
  <c r="AA184" i="75"/>
  <c r="Z184" i="75"/>
  <c r="Y184" i="75"/>
  <c r="X184" i="75"/>
  <c r="W184" i="75"/>
  <c r="V184" i="75"/>
  <c r="U184" i="75"/>
  <c r="T184" i="75"/>
  <c r="S184" i="75"/>
  <c r="R184" i="75"/>
  <c r="Q184" i="75"/>
  <c r="P184" i="75"/>
  <c r="O184" i="75"/>
  <c r="N184" i="75"/>
  <c r="M184" i="75"/>
  <c r="L184" i="75"/>
  <c r="K184" i="75"/>
  <c r="J184" i="75"/>
  <c r="I184" i="75"/>
  <c r="H184" i="75"/>
  <c r="G184" i="75"/>
  <c r="F184" i="75"/>
  <c r="AG182" i="75"/>
  <c r="F185" i="76" s="1"/>
  <c r="AG181" i="75"/>
  <c r="F184" i="76" s="1"/>
  <c r="AG180" i="75"/>
  <c r="F183" i="76" s="1"/>
  <c r="AG179" i="75"/>
  <c r="F182" i="76" s="1"/>
  <c r="AG178" i="75"/>
  <c r="F181" i="76" s="1"/>
  <c r="AG177" i="75"/>
  <c r="F180" i="76" s="1"/>
  <c r="AG176" i="75"/>
  <c r="F179" i="76" s="1"/>
  <c r="AG175" i="75"/>
  <c r="F178" i="76" s="1"/>
  <c r="AG174" i="75"/>
  <c r="F177" i="76" s="1"/>
  <c r="AF173" i="75"/>
  <c r="AE173" i="75"/>
  <c r="AD173" i="75"/>
  <c r="AC173" i="75"/>
  <c r="AB173" i="75"/>
  <c r="AA173" i="75"/>
  <c r="Z173" i="75"/>
  <c r="Y173" i="75"/>
  <c r="X173" i="75"/>
  <c r="W173" i="75"/>
  <c r="V173" i="75"/>
  <c r="U173" i="75"/>
  <c r="T173" i="75"/>
  <c r="S173" i="75"/>
  <c r="R173" i="75"/>
  <c r="Q173" i="75"/>
  <c r="P173" i="75"/>
  <c r="O173" i="75"/>
  <c r="N173" i="75"/>
  <c r="M173" i="75"/>
  <c r="L173" i="75"/>
  <c r="K173" i="75"/>
  <c r="J173" i="75"/>
  <c r="I173" i="75"/>
  <c r="H173" i="75"/>
  <c r="G173" i="75"/>
  <c r="F173" i="75"/>
  <c r="AG171" i="75"/>
  <c r="F174" i="76" s="1"/>
  <c r="AG170" i="75"/>
  <c r="F173" i="76" s="1"/>
  <c r="AG169" i="75"/>
  <c r="F172" i="76" s="1"/>
  <c r="AG168" i="75"/>
  <c r="F171" i="76" s="1"/>
  <c r="AG167" i="75"/>
  <c r="F170" i="76" s="1"/>
  <c r="AG166" i="75"/>
  <c r="F169" i="76" s="1"/>
  <c r="AF165" i="75"/>
  <c r="AC16" i="77" s="1"/>
  <c r="AE165" i="75"/>
  <c r="AB16" i="77" s="1"/>
  <c r="AD165" i="75"/>
  <c r="AA16" i="77" s="1"/>
  <c r="AC165" i="75"/>
  <c r="Z16" i="77" s="1"/>
  <c r="AB165" i="75"/>
  <c r="Y16" i="77" s="1"/>
  <c r="AA165" i="75"/>
  <c r="X16" i="77" s="1"/>
  <c r="Z165" i="75"/>
  <c r="W16" i="77" s="1"/>
  <c r="Y165" i="75"/>
  <c r="V16" i="77" s="1"/>
  <c r="X165" i="75"/>
  <c r="U16" i="77" s="1"/>
  <c r="W165" i="75"/>
  <c r="T16" i="77" s="1"/>
  <c r="V165" i="75"/>
  <c r="S16" i="77" s="1"/>
  <c r="U165" i="75"/>
  <c r="R16" i="77" s="1"/>
  <c r="T165" i="75"/>
  <c r="Q16" i="77" s="1"/>
  <c r="S165" i="75"/>
  <c r="P16" i="77" s="1"/>
  <c r="R165" i="75"/>
  <c r="O16" i="77" s="1"/>
  <c r="Q165" i="75"/>
  <c r="N16" i="77" s="1"/>
  <c r="P165" i="75"/>
  <c r="M16" i="77" s="1"/>
  <c r="O165" i="75"/>
  <c r="L16" i="77" s="1"/>
  <c r="N165" i="75"/>
  <c r="K16" i="77" s="1"/>
  <c r="M165" i="75"/>
  <c r="J16" i="77" s="1"/>
  <c r="L165" i="75"/>
  <c r="I16" i="77" s="1"/>
  <c r="K165" i="75"/>
  <c r="H16" i="77" s="1"/>
  <c r="J165" i="75"/>
  <c r="G16" i="77" s="1"/>
  <c r="I165" i="75"/>
  <c r="F16" i="77" s="1"/>
  <c r="H165" i="75"/>
  <c r="E16" i="77" s="1"/>
  <c r="G165" i="75"/>
  <c r="D16" i="77" s="1"/>
  <c r="F165" i="75"/>
  <c r="C16" i="77" s="1"/>
  <c r="AG163" i="75"/>
  <c r="F166" i="76" s="1"/>
  <c r="AG162" i="75"/>
  <c r="F165" i="76" s="1"/>
  <c r="AG161" i="75"/>
  <c r="F164" i="76" s="1"/>
  <c r="AG160" i="75"/>
  <c r="F163" i="76" s="1"/>
  <c r="AG159" i="75"/>
  <c r="F162" i="76" s="1"/>
  <c r="AG158" i="75"/>
  <c r="F161" i="76" s="1"/>
  <c r="AG157" i="75"/>
  <c r="F160" i="76" s="1"/>
  <c r="AG156" i="75"/>
  <c r="F159" i="76" s="1"/>
  <c r="AG155" i="75"/>
  <c r="F158" i="76" s="1"/>
  <c r="AG154" i="75"/>
  <c r="F157" i="76" s="1"/>
  <c r="AF153" i="75"/>
  <c r="AE153" i="75"/>
  <c r="AD153" i="75"/>
  <c r="AC153" i="75"/>
  <c r="AB153" i="75"/>
  <c r="AA153" i="75"/>
  <c r="Z153" i="75"/>
  <c r="Y153" i="75"/>
  <c r="X153" i="75"/>
  <c r="W153" i="75"/>
  <c r="V153" i="75"/>
  <c r="U153" i="75"/>
  <c r="T153" i="75"/>
  <c r="S153" i="75"/>
  <c r="R153" i="75"/>
  <c r="Q153" i="75"/>
  <c r="P153" i="75"/>
  <c r="O153" i="75"/>
  <c r="N153" i="75"/>
  <c r="M153" i="75"/>
  <c r="L153" i="75"/>
  <c r="K153" i="75"/>
  <c r="J153" i="75"/>
  <c r="I153" i="75"/>
  <c r="H153" i="75"/>
  <c r="G153" i="75"/>
  <c r="F153" i="75"/>
  <c r="AG151" i="75"/>
  <c r="F154" i="76" s="1"/>
  <c r="AG150" i="75"/>
  <c r="F153" i="76" s="1"/>
  <c r="AG149" i="75"/>
  <c r="F152" i="76" s="1"/>
  <c r="AG148" i="75"/>
  <c r="F151" i="76" s="1"/>
  <c r="AG147" i="75"/>
  <c r="F150" i="76" s="1"/>
  <c r="AG146" i="75"/>
  <c r="F149" i="76" s="1"/>
  <c r="AG145" i="75"/>
  <c r="F148" i="76" s="1"/>
  <c r="AG144" i="75"/>
  <c r="F147" i="76" s="1"/>
  <c r="AF143" i="75"/>
  <c r="AE143" i="75"/>
  <c r="AD143" i="75"/>
  <c r="AC143" i="75"/>
  <c r="AB143" i="75"/>
  <c r="AA143" i="75"/>
  <c r="Z143" i="75"/>
  <c r="Y143" i="75"/>
  <c r="X143" i="75"/>
  <c r="W143" i="75"/>
  <c r="V143" i="75"/>
  <c r="U143" i="75"/>
  <c r="T143" i="75"/>
  <c r="S143" i="75"/>
  <c r="R143" i="75"/>
  <c r="Q143" i="75"/>
  <c r="P143" i="75"/>
  <c r="O143" i="75"/>
  <c r="N143" i="75"/>
  <c r="M143" i="75"/>
  <c r="L143" i="75"/>
  <c r="K143" i="75"/>
  <c r="J143" i="75"/>
  <c r="I143" i="75"/>
  <c r="H143" i="75"/>
  <c r="G143" i="75"/>
  <c r="F143" i="75"/>
  <c r="AG141" i="75"/>
  <c r="F144" i="76" s="1"/>
  <c r="AG140" i="75"/>
  <c r="F143" i="76" s="1"/>
  <c r="AG139" i="75"/>
  <c r="F142" i="76" s="1"/>
  <c r="AG138" i="75"/>
  <c r="F141" i="76" s="1"/>
  <c r="AG137" i="75"/>
  <c r="F140" i="76" s="1"/>
  <c r="AG136" i="75"/>
  <c r="F139" i="76" s="1"/>
  <c r="AG135" i="75"/>
  <c r="F138" i="76" s="1"/>
  <c r="AG134" i="75"/>
  <c r="F137" i="76" s="1"/>
  <c r="AF133" i="75"/>
  <c r="AC14" i="77" s="1"/>
  <c r="AE133" i="75"/>
  <c r="AB14" i="77" s="1"/>
  <c r="AD133" i="75"/>
  <c r="AA14" i="77" s="1"/>
  <c r="AC133" i="75"/>
  <c r="Z14" i="77" s="1"/>
  <c r="AB133" i="75"/>
  <c r="Y14" i="77" s="1"/>
  <c r="AA133" i="75"/>
  <c r="X14" i="77" s="1"/>
  <c r="Z133" i="75"/>
  <c r="W14" i="77" s="1"/>
  <c r="Y133" i="75"/>
  <c r="V14" i="77" s="1"/>
  <c r="X133" i="75"/>
  <c r="U14" i="77" s="1"/>
  <c r="W133" i="75"/>
  <c r="T14" i="77" s="1"/>
  <c r="V133" i="75"/>
  <c r="S14" i="77" s="1"/>
  <c r="U133" i="75"/>
  <c r="R14" i="77" s="1"/>
  <c r="T133" i="75"/>
  <c r="Q14" i="77" s="1"/>
  <c r="S133" i="75"/>
  <c r="P14" i="77" s="1"/>
  <c r="R133" i="75"/>
  <c r="O14" i="77" s="1"/>
  <c r="Q133" i="75"/>
  <c r="N14" i="77" s="1"/>
  <c r="P133" i="75"/>
  <c r="M14" i="77" s="1"/>
  <c r="O133" i="75"/>
  <c r="L14" i="77" s="1"/>
  <c r="N133" i="75"/>
  <c r="K14" i="77" s="1"/>
  <c r="M133" i="75"/>
  <c r="J14" i="77" s="1"/>
  <c r="L133" i="75"/>
  <c r="I14" i="77" s="1"/>
  <c r="K133" i="75"/>
  <c r="H14" i="77" s="1"/>
  <c r="J133" i="75"/>
  <c r="G14" i="77" s="1"/>
  <c r="I133" i="75"/>
  <c r="F14" i="77" s="1"/>
  <c r="H133" i="75"/>
  <c r="E14" i="77" s="1"/>
  <c r="G133" i="75"/>
  <c r="D14" i="77" s="1"/>
  <c r="F133" i="75"/>
  <c r="C14" i="77" s="1"/>
  <c r="AG131" i="75"/>
  <c r="F134" i="76" s="1"/>
  <c r="AG130" i="75"/>
  <c r="F133" i="76" s="1"/>
  <c r="AG129" i="75"/>
  <c r="F132" i="76" s="1"/>
  <c r="AG128" i="75"/>
  <c r="F131" i="76" s="1"/>
  <c r="AG127" i="75"/>
  <c r="F130" i="76" s="1"/>
  <c r="AG126" i="75"/>
  <c r="F129" i="76" s="1"/>
  <c r="AG125" i="75"/>
  <c r="F128" i="76" s="1"/>
  <c r="AG124" i="75"/>
  <c r="F127" i="76" s="1"/>
  <c r="AF123" i="75"/>
  <c r="AC12" i="77" s="1"/>
  <c r="AE123" i="75"/>
  <c r="AB12" i="77" s="1"/>
  <c r="AD123" i="75"/>
  <c r="AA12" i="77" s="1"/>
  <c r="AC123" i="75"/>
  <c r="Z12" i="77" s="1"/>
  <c r="AB123" i="75"/>
  <c r="Y12" i="77" s="1"/>
  <c r="AA123" i="75"/>
  <c r="X12" i="77" s="1"/>
  <c r="Z123" i="75"/>
  <c r="W12" i="77" s="1"/>
  <c r="Y123" i="75"/>
  <c r="V12" i="77" s="1"/>
  <c r="X123" i="75"/>
  <c r="U12" i="77" s="1"/>
  <c r="W123" i="75"/>
  <c r="T12" i="77" s="1"/>
  <c r="V123" i="75"/>
  <c r="S12" i="77" s="1"/>
  <c r="U123" i="75"/>
  <c r="R12" i="77" s="1"/>
  <c r="T123" i="75"/>
  <c r="Q12" i="77" s="1"/>
  <c r="S123" i="75"/>
  <c r="P12" i="77" s="1"/>
  <c r="R123" i="75"/>
  <c r="O12" i="77" s="1"/>
  <c r="Q123" i="75"/>
  <c r="N12" i="77" s="1"/>
  <c r="P123" i="75"/>
  <c r="M12" i="77" s="1"/>
  <c r="O123" i="75"/>
  <c r="L12" i="77" s="1"/>
  <c r="N123" i="75"/>
  <c r="K12" i="77" s="1"/>
  <c r="M123" i="75"/>
  <c r="J12" i="77" s="1"/>
  <c r="L123" i="75"/>
  <c r="I12" i="77" s="1"/>
  <c r="K123" i="75"/>
  <c r="H12" i="77" s="1"/>
  <c r="J123" i="75"/>
  <c r="G12" i="77" s="1"/>
  <c r="I123" i="75"/>
  <c r="F12" i="77" s="1"/>
  <c r="H123" i="75"/>
  <c r="E12" i="77" s="1"/>
  <c r="G123" i="75"/>
  <c r="D12" i="77" s="1"/>
  <c r="F123" i="75"/>
  <c r="C12" i="77" s="1"/>
  <c r="AG118" i="75"/>
  <c r="F121" i="76" s="1"/>
  <c r="AG117" i="75"/>
  <c r="F120" i="76" s="1"/>
  <c r="AG116" i="75"/>
  <c r="F119" i="76" s="1"/>
  <c r="AG115" i="75"/>
  <c r="F118" i="76" s="1"/>
  <c r="AG114" i="75"/>
  <c r="F117" i="76" s="1"/>
  <c r="AG113" i="75"/>
  <c r="F116" i="76" s="1"/>
  <c r="AG112" i="75"/>
  <c r="F115" i="76" s="1"/>
  <c r="AG111" i="75"/>
  <c r="F114" i="76" s="1"/>
  <c r="AG110" i="75"/>
  <c r="F113" i="76" s="1"/>
  <c r="AG109" i="75"/>
  <c r="F112" i="76" s="1"/>
  <c r="AF108" i="75"/>
  <c r="AE108" i="75"/>
  <c r="AD108" i="75"/>
  <c r="AC108" i="75"/>
  <c r="AA108" i="75"/>
  <c r="Z108" i="75"/>
  <c r="Y108" i="75"/>
  <c r="X108" i="75"/>
  <c r="W108" i="75"/>
  <c r="V108" i="75"/>
  <c r="U108" i="75"/>
  <c r="T108" i="75"/>
  <c r="S108" i="75"/>
  <c r="R108" i="75"/>
  <c r="Q108" i="75"/>
  <c r="P108" i="75"/>
  <c r="O108" i="75"/>
  <c r="N108" i="75"/>
  <c r="M108" i="75"/>
  <c r="L108" i="75"/>
  <c r="K108" i="75"/>
  <c r="J108" i="75"/>
  <c r="I108" i="75"/>
  <c r="H108" i="75"/>
  <c r="G108" i="75"/>
  <c r="F108" i="75"/>
  <c r="AG106" i="75"/>
  <c r="F109" i="76" s="1"/>
  <c r="AG105" i="75"/>
  <c r="F108" i="76" s="1"/>
  <c r="AG104" i="75"/>
  <c r="F107" i="76" s="1"/>
  <c r="AG103" i="75"/>
  <c r="F106" i="76" s="1"/>
  <c r="AG102" i="75"/>
  <c r="F105" i="76" s="1"/>
  <c r="AG101" i="75"/>
  <c r="F104" i="76" s="1"/>
  <c r="AG100" i="75"/>
  <c r="F103" i="76" s="1"/>
  <c r="AG99" i="75"/>
  <c r="F102" i="76" s="1"/>
  <c r="AG98" i="75"/>
  <c r="F101" i="76" s="1"/>
  <c r="AF97" i="75"/>
  <c r="AE97" i="75"/>
  <c r="AD97" i="75"/>
  <c r="AC97" i="75"/>
  <c r="AB97" i="75"/>
  <c r="AA97" i="75"/>
  <c r="Z97" i="75"/>
  <c r="Y97" i="75"/>
  <c r="X97" i="75"/>
  <c r="W97" i="75"/>
  <c r="V97" i="75"/>
  <c r="U97" i="75"/>
  <c r="T97" i="75"/>
  <c r="S97" i="75"/>
  <c r="R97" i="75"/>
  <c r="Q97" i="75"/>
  <c r="P97" i="75"/>
  <c r="O97" i="75"/>
  <c r="N97" i="75"/>
  <c r="M97" i="75"/>
  <c r="L97" i="75"/>
  <c r="K97" i="75"/>
  <c r="J97" i="75"/>
  <c r="I97" i="75"/>
  <c r="H97" i="75"/>
  <c r="G97" i="75"/>
  <c r="F97" i="75"/>
  <c r="AG95" i="75"/>
  <c r="F98" i="76" s="1"/>
  <c r="AG94" i="75"/>
  <c r="F97" i="76" s="1"/>
  <c r="AG93" i="75"/>
  <c r="F96" i="76" s="1"/>
  <c r="AG92" i="75"/>
  <c r="F95" i="76" s="1"/>
  <c r="AG91" i="75"/>
  <c r="F94" i="76" s="1"/>
  <c r="AG90" i="75"/>
  <c r="F93" i="76" s="1"/>
  <c r="AG89" i="75"/>
  <c r="F92" i="76" s="1"/>
  <c r="AG88" i="75"/>
  <c r="F91" i="76" s="1"/>
  <c r="AG87" i="75"/>
  <c r="F90" i="76" s="1"/>
  <c r="AF86" i="75"/>
  <c r="AE86" i="75"/>
  <c r="AD86" i="75"/>
  <c r="AC86" i="75"/>
  <c r="AB86" i="75"/>
  <c r="AA86" i="75"/>
  <c r="Z86" i="75"/>
  <c r="Y86" i="75"/>
  <c r="X86" i="75"/>
  <c r="W86" i="75"/>
  <c r="V86" i="75"/>
  <c r="U86" i="75"/>
  <c r="T86" i="75"/>
  <c r="S86" i="75"/>
  <c r="R86" i="75"/>
  <c r="Q86" i="75"/>
  <c r="P86" i="75"/>
  <c r="O86" i="75"/>
  <c r="M86" i="75"/>
  <c r="L86" i="75"/>
  <c r="K86" i="75"/>
  <c r="J86" i="75"/>
  <c r="I86" i="75"/>
  <c r="H86" i="75"/>
  <c r="G86" i="75"/>
  <c r="F86" i="75"/>
  <c r="AG84" i="75"/>
  <c r="F87" i="76" s="1"/>
  <c r="AG83" i="75"/>
  <c r="F86" i="76" s="1"/>
  <c r="AG82" i="75"/>
  <c r="F85" i="76" s="1"/>
  <c r="AG81" i="75"/>
  <c r="F84" i="76" s="1"/>
  <c r="AF80" i="75"/>
  <c r="AE80" i="75"/>
  <c r="AD80" i="75"/>
  <c r="AC80" i="75"/>
  <c r="AB80" i="75"/>
  <c r="AA80" i="75"/>
  <c r="Z80" i="75"/>
  <c r="Y80" i="75"/>
  <c r="X80" i="75"/>
  <c r="W80" i="75"/>
  <c r="V80" i="75"/>
  <c r="U80" i="75"/>
  <c r="T80" i="75"/>
  <c r="S80" i="75"/>
  <c r="R80" i="75"/>
  <c r="Q80" i="75"/>
  <c r="P80" i="75"/>
  <c r="O80" i="75"/>
  <c r="N80" i="75"/>
  <c r="M80" i="75"/>
  <c r="L80" i="75"/>
  <c r="K80" i="75"/>
  <c r="J80" i="75"/>
  <c r="I80" i="75"/>
  <c r="H80" i="75"/>
  <c r="G80" i="75"/>
  <c r="F80" i="75"/>
  <c r="AG78" i="75"/>
  <c r="F81" i="76" s="1"/>
  <c r="AG77" i="75"/>
  <c r="F80" i="76" s="1"/>
  <c r="AG76" i="75"/>
  <c r="F79" i="76" s="1"/>
  <c r="AG75" i="75"/>
  <c r="F78" i="76" s="1"/>
  <c r="AG74" i="75"/>
  <c r="F77" i="76" s="1"/>
  <c r="AG73" i="75"/>
  <c r="F76" i="76" s="1"/>
  <c r="AG72" i="75"/>
  <c r="F75" i="76" s="1"/>
  <c r="AG71" i="75"/>
  <c r="F74" i="76" s="1"/>
  <c r="AG70" i="75"/>
  <c r="F73" i="76" s="1"/>
  <c r="AF69" i="75"/>
  <c r="AD69" i="75"/>
  <c r="AC69" i="75"/>
  <c r="AB69" i="75"/>
  <c r="AA69" i="75"/>
  <c r="Z69" i="75"/>
  <c r="Y69" i="75"/>
  <c r="X69" i="75"/>
  <c r="W69" i="75"/>
  <c r="V69" i="75"/>
  <c r="U69" i="75"/>
  <c r="T69" i="75"/>
  <c r="S69" i="75"/>
  <c r="R69" i="75"/>
  <c r="Q69" i="75"/>
  <c r="P69" i="75"/>
  <c r="O69" i="75"/>
  <c r="N69" i="75"/>
  <c r="M69" i="75"/>
  <c r="L69" i="75"/>
  <c r="K69" i="75"/>
  <c r="J69" i="75"/>
  <c r="I69" i="75"/>
  <c r="H69" i="75"/>
  <c r="G69" i="75"/>
  <c r="F69" i="75"/>
  <c r="AG66" i="75"/>
  <c r="F69" i="76" s="1"/>
  <c r="AG65" i="75"/>
  <c r="F68" i="76" s="1"/>
  <c r="AG64" i="75"/>
  <c r="F67" i="76" s="1"/>
  <c r="AG63" i="75"/>
  <c r="F66" i="76" s="1"/>
  <c r="AF62" i="75"/>
  <c r="AE62" i="75"/>
  <c r="AD62" i="75"/>
  <c r="AC62" i="75"/>
  <c r="AB62" i="75"/>
  <c r="AA62" i="75"/>
  <c r="Z62" i="75"/>
  <c r="Y62" i="75"/>
  <c r="X62" i="75"/>
  <c r="W62" i="75"/>
  <c r="V62" i="75"/>
  <c r="U62" i="75"/>
  <c r="T62" i="75"/>
  <c r="S62" i="75"/>
  <c r="R62" i="75"/>
  <c r="Q62" i="75"/>
  <c r="P62" i="75"/>
  <c r="O62" i="75"/>
  <c r="N62" i="75"/>
  <c r="M62" i="75"/>
  <c r="L62" i="75"/>
  <c r="K62" i="75"/>
  <c r="J62" i="75"/>
  <c r="I62" i="75"/>
  <c r="H62" i="75"/>
  <c r="G62" i="75"/>
  <c r="F62" i="75"/>
  <c r="AG60" i="75"/>
  <c r="F63" i="76" s="1"/>
  <c r="AG59" i="75"/>
  <c r="AG58" i="75"/>
  <c r="F61" i="76" s="1"/>
  <c r="AG57" i="75"/>
  <c r="F60" i="76" s="1"/>
  <c r="AG56" i="75"/>
  <c r="F59" i="76" s="1"/>
  <c r="AG55" i="75"/>
  <c r="F58" i="76" s="1"/>
  <c r="AF54" i="75"/>
  <c r="AE54" i="75"/>
  <c r="AD54" i="75"/>
  <c r="AC54" i="75"/>
  <c r="AB54" i="75"/>
  <c r="AA54" i="75"/>
  <c r="Z54" i="75"/>
  <c r="Y54" i="75"/>
  <c r="X54" i="75"/>
  <c r="W54" i="75"/>
  <c r="V54" i="75"/>
  <c r="U54" i="75"/>
  <c r="T54" i="75"/>
  <c r="S54" i="75"/>
  <c r="R54" i="75"/>
  <c r="Q54" i="75"/>
  <c r="P54" i="75"/>
  <c r="O54" i="75"/>
  <c r="N54" i="75"/>
  <c r="M54" i="75"/>
  <c r="L54" i="75"/>
  <c r="K54" i="75"/>
  <c r="J54" i="75"/>
  <c r="I54" i="75"/>
  <c r="H54" i="75"/>
  <c r="G54" i="75"/>
  <c r="F54" i="75"/>
  <c r="AG52" i="75"/>
  <c r="F55" i="76" s="1"/>
  <c r="AG51" i="75"/>
  <c r="F54" i="76" s="1"/>
  <c r="AG50" i="75"/>
  <c r="F53" i="76" s="1"/>
  <c r="AG49" i="75"/>
  <c r="F52" i="76" s="1"/>
  <c r="AF48" i="75"/>
  <c r="AE48" i="75"/>
  <c r="AD48" i="75"/>
  <c r="AC48" i="75"/>
  <c r="AB48" i="75"/>
  <c r="AA48" i="75"/>
  <c r="Z48" i="75"/>
  <c r="Y48" i="75"/>
  <c r="X48" i="75"/>
  <c r="W48" i="75"/>
  <c r="V48" i="75"/>
  <c r="U48" i="75"/>
  <c r="T48" i="75"/>
  <c r="S48" i="75"/>
  <c r="R48" i="75"/>
  <c r="Q48" i="75"/>
  <c r="P48" i="75"/>
  <c r="O48" i="75"/>
  <c r="N48" i="75"/>
  <c r="M48" i="75"/>
  <c r="L48" i="75"/>
  <c r="K48" i="75"/>
  <c r="J48" i="75"/>
  <c r="I48" i="75"/>
  <c r="H48" i="75"/>
  <c r="G48" i="75"/>
  <c r="AG46" i="75"/>
  <c r="F49" i="76" s="1"/>
  <c r="AG45" i="75"/>
  <c r="F48" i="76" s="1"/>
  <c r="AG44" i="75"/>
  <c r="F47" i="76" s="1"/>
  <c r="AG43" i="75"/>
  <c r="F46" i="76" s="1"/>
  <c r="AG42" i="75"/>
  <c r="F45" i="76" s="1"/>
  <c r="AF41" i="75"/>
  <c r="AE41" i="75"/>
  <c r="AD41" i="75"/>
  <c r="AC41" i="75"/>
  <c r="AB41" i="75"/>
  <c r="AA41" i="75"/>
  <c r="Z41" i="75"/>
  <c r="Y41" i="75"/>
  <c r="X41" i="75"/>
  <c r="W41" i="75"/>
  <c r="V41" i="75"/>
  <c r="U41" i="75"/>
  <c r="T41" i="75"/>
  <c r="S41" i="75"/>
  <c r="R41" i="75"/>
  <c r="Q41" i="75"/>
  <c r="P41" i="75"/>
  <c r="O41" i="75"/>
  <c r="N41" i="75"/>
  <c r="M41" i="75"/>
  <c r="L41" i="75"/>
  <c r="K41" i="75"/>
  <c r="J41" i="75"/>
  <c r="I41" i="75"/>
  <c r="H41" i="75"/>
  <c r="G41" i="75"/>
  <c r="F41" i="75"/>
  <c r="AG39" i="75"/>
  <c r="F42" i="76" s="1"/>
  <c r="AG38" i="75"/>
  <c r="F41" i="76" s="1"/>
  <c r="AG37" i="75"/>
  <c r="F40" i="76" s="1"/>
  <c r="AG36" i="75"/>
  <c r="F39" i="76" s="1"/>
  <c r="AG35" i="75"/>
  <c r="F38" i="76" s="1"/>
  <c r="AG34" i="75"/>
  <c r="F37" i="76" s="1"/>
  <c r="AG33" i="75"/>
  <c r="F36" i="76" s="1"/>
  <c r="AG32" i="75"/>
  <c r="F35" i="76" s="1"/>
  <c r="AF31" i="75"/>
  <c r="AE31" i="75"/>
  <c r="AD31" i="75"/>
  <c r="AC31" i="75"/>
  <c r="AB31" i="75"/>
  <c r="AA31" i="75"/>
  <c r="Z31" i="75"/>
  <c r="Y31" i="75"/>
  <c r="X31" i="75"/>
  <c r="W31" i="75"/>
  <c r="V31" i="75"/>
  <c r="U31" i="75"/>
  <c r="T31" i="75"/>
  <c r="S31" i="75"/>
  <c r="R31" i="75"/>
  <c r="Q31" i="75"/>
  <c r="P31" i="75"/>
  <c r="O31" i="75"/>
  <c r="N31" i="75"/>
  <c r="M31" i="75"/>
  <c r="L31" i="75"/>
  <c r="K31" i="75"/>
  <c r="J31" i="75"/>
  <c r="I31" i="75"/>
  <c r="H31" i="75"/>
  <c r="G31" i="75"/>
  <c r="F31" i="75"/>
  <c r="AG29" i="75"/>
  <c r="F32" i="76" s="1"/>
  <c r="AG28" i="75"/>
  <c r="F31" i="76" s="1"/>
  <c r="AG27" i="75"/>
  <c r="F30" i="76" s="1"/>
  <c r="AG26" i="75"/>
  <c r="F29" i="76" s="1"/>
  <c r="AF25" i="75"/>
  <c r="AE25" i="75"/>
  <c r="AD25" i="75"/>
  <c r="AC25" i="75"/>
  <c r="AB25" i="75"/>
  <c r="AA25" i="75"/>
  <c r="Z25" i="75"/>
  <c r="Y25" i="75"/>
  <c r="X25" i="75"/>
  <c r="W25" i="75"/>
  <c r="V25" i="75"/>
  <c r="U25" i="75"/>
  <c r="T25" i="75"/>
  <c r="S25" i="75"/>
  <c r="R25" i="75"/>
  <c r="Q25" i="75"/>
  <c r="P25" i="75"/>
  <c r="O25" i="75"/>
  <c r="N25" i="75"/>
  <c r="M25" i="75"/>
  <c r="L25" i="75"/>
  <c r="K25" i="75"/>
  <c r="J25" i="75"/>
  <c r="I25" i="75"/>
  <c r="H25" i="75"/>
  <c r="G25" i="75"/>
  <c r="F25" i="75"/>
  <c r="AG23" i="75"/>
  <c r="F26" i="76" s="1"/>
  <c r="AG22" i="75"/>
  <c r="F25" i="76" s="1"/>
  <c r="AG21" i="75"/>
  <c r="F24" i="76" s="1"/>
  <c r="AG20" i="75"/>
  <c r="F23" i="76" s="1"/>
  <c r="AG19" i="75"/>
  <c r="F22" i="76" s="1"/>
  <c r="AG18" i="75"/>
  <c r="F21" i="76" s="1"/>
  <c r="AG17" i="75"/>
  <c r="F20" i="76" s="1"/>
  <c r="AG16" i="75"/>
  <c r="F19" i="76" s="1"/>
  <c r="AF15" i="75"/>
  <c r="AE15" i="75"/>
  <c r="AD15" i="75"/>
  <c r="AC15" i="75"/>
  <c r="AB15" i="75"/>
  <c r="AA15" i="75"/>
  <c r="Z15" i="75"/>
  <c r="Y15" i="75"/>
  <c r="X15" i="75"/>
  <c r="W15" i="75"/>
  <c r="V15" i="75"/>
  <c r="U15" i="75"/>
  <c r="T15" i="75"/>
  <c r="S15" i="75"/>
  <c r="R15" i="75"/>
  <c r="Q15" i="75"/>
  <c r="P15" i="75"/>
  <c r="O15" i="75"/>
  <c r="N15" i="75"/>
  <c r="M15" i="75"/>
  <c r="L15" i="75"/>
  <c r="K15" i="75"/>
  <c r="J15" i="75"/>
  <c r="I15" i="75"/>
  <c r="H15" i="75"/>
  <c r="G15" i="75"/>
  <c r="F15" i="75"/>
  <c r="AG13" i="75"/>
  <c r="F16" i="76" s="1"/>
  <c r="AG12" i="75"/>
  <c r="F15" i="76" s="1"/>
  <c r="AG11" i="75"/>
  <c r="F14" i="76" s="1"/>
  <c r="AG10" i="75"/>
  <c r="F13" i="76" s="1"/>
  <c r="AG9" i="75"/>
  <c r="AG8" i="75"/>
  <c r="F11" i="76" s="1"/>
  <c r="AF7" i="75"/>
  <c r="AE7" i="75"/>
  <c r="AD7" i="75"/>
  <c r="AC7" i="75"/>
  <c r="AB7" i="75"/>
  <c r="AA7" i="75"/>
  <c r="Z7" i="75"/>
  <c r="Y7" i="75"/>
  <c r="X7" i="75"/>
  <c r="W7" i="75"/>
  <c r="V7" i="75"/>
  <c r="U7" i="75"/>
  <c r="T7" i="75"/>
  <c r="S7" i="75"/>
  <c r="R7" i="75"/>
  <c r="Q7" i="75"/>
  <c r="P7" i="75"/>
  <c r="O7" i="75"/>
  <c r="N7" i="75"/>
  <c r="M7" i="75"/>
  <c r="L7" i="75"/>
  <c r="K7" i="75"/>
  <c r="J7" i="75"/>
  <c r="I7" i="75"/>
  <c r="H7" i="75"/>
  <c r="G7" i="75"/>
  <c r="F7" i="75"/>
  <c r="AG3" i="75"/>
  <c r="AF160" i="69"/>
  <c r="AE158" i="69"/>
  <c r="AD158" i="69"/>
  <c r="AC158" i="69"/>
  <c r="AB158" i="69"/>
  <c r="AA158" i="69"/>
  <c r="Z158" i="69"/>
  <c r="Y158" i="69"/>
  <c r="X158" i="69"/>
  <c r="W158" i="69"/>
  <c r="V158" i="69"/>
  <c r="U158" i="69"/>
  <c r="T158" i="69"/>
  <c r="S158" i="69"/>
  <c r="R158" i="69"/>
  <c r="Q158" i="69"/>
  <c r="P158" i="69"/>
  <c r="O158" i="69"/>
  <c r="N158" i="69"/>
  <c r="M158" i="69"/>
  <c r="L158" i="69"/>
  <c r="K158" i="69"/>
  <c r="J158" i="69"/>
  <c r="I158" i="69"/>
  <c r="H158" i="69"/>
  <c r="G158" i="69"/>
  <c r="F158" i="69"/>
  <c r="E158" i="69"/>
  <c r="AF156" i="69"/>
  <c r="AG221" i="75" s="1"/>
  <c r="AF155" i="69"/>
  <c r="E158" i="70" s="1"/>
  <c r="AE154" i="69"/>
  <c r="AD154" i="69"/>
  <c r="AC154" i="69"/>
  <c r="AB154" i="69"/>
  <c r="AA154" i="69"/>
  <c r="Z154" i="69"/>
  <c r="Y154" i="69"/>
  <c r="X154" i="69"/>
  <c r="W154" i="69"/>
  <c r="V154" i="69"/>
  <c r="U154" i="69"/>
  <c r="T154" i="69"/>
  <c r="S154" i="69"/>
  <c r="R154" i="69"/>
  <c r="Q154" i="69"/>
  <c r="P154" i="69"/>
  <c r="O154" i="69"/>
  <c r="N154" i="69"/>
  <c r="M154" i="69"/>
  <c r="L154" i="69"/>
  <c r="K154" i="69"/>
  <c r="J154" i="69"/>
  <c r="I154" i="69"/>
  <c r="H154" i="69"/>
  <c r="G154" i="69"/>
  <c r="F154" i="69"/>
  <c r="E154" i="69"/>
  <c r="AF149" i="69"/>
  <c r="E152" i="70" s="1"/>
  <c r="AF148" i="69"/>
  <c r="E151" i="70" s="1"/>
  <c r="AF147" i="69"/>
  <c r="E150" i="70" s="1"/>
  <c r="AF146" i="69"/>
  <c r="E149" i="70" s="1"/>
  <c r="AF145" i="69"/>
  <c r="E148" i="70" s="1"/>
  <c r="AF144" i="69"/>
  <c r="E147" i="70" s="1"/>
  <c r="AF143" i="69"/>
  <c r="E146" i="70" s="1"/>
  <c r="AF142" i="69"/>
  <c r="E145" i="70" s="1"/>
  <c r="AD141" i="69"/>
  <c r="AC141" i="69"/>
  <c r="AB141" i="69"/>
  <c r="AA141" i="69"/>
  <c r="Z141" i="69"/>
  <c r="Y141" i="69"/>
  <c r="X141" i="69"/>
  <c r="W141" i="69"/>
  <c r="V141" i="69"/>
  <c r="U141" i="69"/>
  <c r="T141" i="69"/>
  <c r="S141" i="69"/>
  <c r="R141" i="69"/>
  <c r="Q141" i="69"/>
  <c r="P141" i="69"/>
  <c r="O141" i="69"/>
  <c r="N141" i="69"/>
  <c r="M141" i="69"/>
  <c r="L141" i="69"/>
  <c r="K141" i="69"/>
  <c r="J141" i="69"/>
  <c r="I141" i="69"/>
  <c r="H141" i="69"/>
  <c r="G141" i="69"/>
  <c r="F141" i="69"/>
  <c r="E141" i="69"/>
  <c r="AF139" i="69"/>
  <c r="E142" i="70" s="1"/>
  <c r="AF138" i="69"/>
  <c r="E141" i="70" s="1"/>
  <c r="AF137" i="69"/>
  <c r="E140" i="70" s="1"/>
  <c r="AF136" i="69"/>
  <c r="E139" i="70" s="1"/>
  <c r="AF135" i="69"/>
  <c r="E138" i="70" s="1"/>
  <c r="AF134" i="69"/>
  <c r="E137" i="70" s="1"/>
  <c r="AF133" i="69"/>
  <c r="E136" i="70" s="1"/>
  <c r="AE132" i="69"/>
  <c r="AD132" i="69"/>
  <c r="AC132" i="69"/>
  <c r="AB132" i="69"/>
  <c r="AA132" i="69"/>
  <c r="Z132" i="69"/>
  <c r="Y132" i="69"/>
  <c r="X132" i="69"/>
  <c r="W132" i="69"/>
  <c r="V132" i="69"/>
  <c r="U132" i="69"/>
  <c r="T132" i="69"/>
  <c r="S132" i="69"/>
  <c r="R132" i="69"/>
  <c r="Q132" i="69"/>
  <c r="P132" i="69"/>
  <c r="O132" i="69"/>
  <c r="N132" i="69"/>
  <c r="M132" i="69"/>
  <c r="L132" i="69"/>
  <c r="K132" i="69"/>
  <c r="J132" i="69"/>
  <c r="I132" i="69"/>
  <c r="H132" i="69"/>
  <c r="G132" i="69"/>
  <c r="F132" i="69"/>
  <c r="E132" i="69"/>
  <c r="AF130" i="69"/>
  <c r="AE129" i="69"/>
  <c r="AD129" i="69"/>
  <c r="AC129" i="69"/>
  <c r="AB129" i="69"/>
  <c r="AA129" i="69"/>
  <c r="Z129" i="69"/>
  <c r="Y129" i="69"/>
  <c r="X129" i="69"/>
  <c r="W129" i="69"/>
  <c r="V129" i="69"/>
  <c r="U129" i="69"/>
  <c r="T129" i="69"/>
  <c r="S129" i="69"/>
  <c r="R129" i="69"/>
  <c r="Q129" i="69"/>
  <c r="P129" i="69"/>
  <c r="O129" i="69"/>
  <c r="N129" i="69"/>
  <c r="M129" i="69"/>
  <c r="L129" i="69"/>
  <c r="K129" i="69"/>
  <c r="J129" i="69"/>
  <c r="I129" i="69"/>
  <c r="H129" i="69"/>
  <c r="G129" i="69"/>
  <c r="F129" i="69"/>
  <c r="E129" i="69"/>
  <c r="AF127" i="69"/>
  <c r="E130" i="70" s="1"/>
  <c r="AF126" i="69"/>
  <c r="E129" i="70" s="1"/>
  <c r="AF125" i="69"/>
  <c r="E128" i="70" s="1"/>
  <c r="AF124" i="69"/>
  <c r="E127" i="70" s="1"/>
  <c r="AF123" i="69"/>
  <c r="E126" i="70" s="1"/>
  <c r="AE122" i="69"/>
  <c r="AD122" i="69"/>
  <c r="AC122" i="69"/>
  <c r="AB122" i="69"/>
  <c r="AA122" i="69"/>
  <c r="Z122" i="69"/>
  <c r="Y122" i="69"/>
  <c r="X122" i="69"/>
  <c r="W122" i="69"/>
  <c r="V122" i="69"/>
  <c r="U122" i="69"/>
  <c r="T122" i="69"/>
  <c r="S122" i="69"/>
  <c r="R122" i="69"/>
  <c r="Q122" i="69"/>
  <c r="P122" i="69"/>
  <c r="O122" i="69"/>
  <c r="N122" i="69"/>
  <c r="M122" i="69"/>
  <c r="L122" i="69"/>
  <c r="K122" i="69"/>
  <c r="J122" i="69"/>
  <c r="I122" i="69"/>
  <c r="H122" i="69"/>
  <c r="G122" i="69"/>
  <c r="F122" i="69"/>
  <c r="E122" i="69"/>
  <c r="AF120" i="69"/>
  <c r="E123" i="70" s="1"/>
  <c r="AF119" i="69"/>
  <c r="E122" i="70" s="1"/>
  <c r="AE118" i="69"/>
  <c r="AD118" i="69"/>
  <c r="AC118" i="69"/>
  <c r="AB118" i="69"/>
  <c r="AA118" i="69"/>
  <c r="Z118" i="69"/>
  <c r="Y118" i="69"/>
  <c r="X118" i="69"/>
  <c r="W118" i="69"/>
  <c r="V118" i="69"/>
  <c r="U118" i="69"/>
  <c r="T118" i="69"/>
  <c r="S118" i="69"/>
  <c r="R118" i="69"/>
  <c r="Q118" i="69"/>
  <c r="P118" i="69"/>
  <c r="O118" i="69"/>
  <c r="N118" i="69"/>
  <c r="M118" i="69"/>
  <c r="L118" i="69"/>
  <c r="K118" i="69"/>
  <c r="J118" i="69"/>
  <c r="I118" i="69"/>
  <c r="H118" i="69"/>
  <c r="G118" i="69"/>
  <c r="F118" i="69"/>
  <c r="E118" i="69"/>
  <c r="AF116" i="69"/>
  <c r="E119" i="70" s="1"/>
  <c r="AF115" i="69"/>
  <c r="E118" i="70" s="1"/>
  <c r="AF114" i="69"/>
  <c r="E117" i="70" s="1"/>
  <c r="AF113" i="69"/>
  <c r="E116" i="70" s="1"/>
  <c r="AF112" i="69"/>
  <c r="E115" i="70" s="1"/>
  <c r="AF111" i="69"/>
  <c r="E114" i="70" s="1"/>
  <c r="AF110" i="69"/>
  <c r="E113" i="70" s="1"/>
  <c r="AF109" i="69"/>
  <c r="E112" i="70" s="1"/>
  <c r="AF108" i="69"/>
  <c r="E111" i="70" s="1"/>
  <c r="AF107" i="69"/>
  <c r="E110" i="70" s="1"/>
  <c r="AE106" i="69"/>
  <c r="AD106" i="69"/>
  <c r="AC106" i="69"/>
  <c r="AB106" i="69"/>
  <c r="AA106" i="69"/>
  <c r="Z106" i="69"/>
  <c r="Y106" i="69"/>
  <c r="X106" i="69"/>
  <c r="W106" i="69"/>
  <c r="V106" i="69"/>
  <c r="U106" i="69"/>
  <c r="T106" i="69"/>
  <c r="S106" i="69"/>
  <c r="R106" i="69"/>
  <c r="Q106" i="69"/>
  <c r="P106" i="69"/>
  <c r="O106" i="69"/>
  <c r="N106" i="69"/>
  <c r="M106" i="69"/>
  <c r="L106" i="69"/>
  <c r="K106" i="69"/>
  <c r="C14" i="74" s="1"/>
  <c r="J106" i="69"/>
  <c r="I106" i="69"/>
  <c r="H106" i="69"/>
  <c r="G106" i="69"/>
  <c r="F106" i="69"/>
  <c r="E106" i="69"/>
  <c r="AF104" i="69"/>
  <c r="E107" i="70" s="1"/>
  <c r="AF103" i="69"/>
  <c r="E106" i="70" s="1"/>
  <c r="AF102" i="69"/>
  <c r="E105" i="70" s="1"/>
  <c r="AF101" i="69"/>
  <c r="E104" i="70" s="1"/>
  <c r="AE100" i="69"/>
  <c r="AD100" i="69"/>
  <c r="AC100" i="69"/>
  <c r="AB100" i="69"/>
  <c r="AA100" i="69"/>
  <c r="Z100" i="69"/>
  <c r="Y100" i="69"/>
  <c r="X100" i="69"/>
  <c r="W100" i="69"/>
  <c r="V100" i="69"/>
  <c r="U100" i="69"/>
  <c r="T100" i="69"/>
  <c r="S100" i="69"/>
  <c r="R100" i="69"/>
  <c r="Q100" i="69"/>
  <c r="P100" i="69"/>
  <c r="O100" i="69"/>
  <c r="N100" i="69"/>
  <c r="M100" i="69"/>
  <c r="L100" i="69"/>
  <c r="K100" i="69"/>
  <c r="J100" i="69"/>
  <c r="I100" i="69"/>
  <c r="H100" i="69"/>
  <c r="G100" i="69"/>
  <c r="F100" i="69"/>
  <c r="E100" i="69"/>
  <c r="AF98" i="69"/>
  <c r="E101" i="70" s="1"/>
  <c r="AF97" i="69"/>
  <c r="E100" i="70" s="1"/>
  <c r="AF96" i="69"/>
  <c r="E99" i="70" s="1"/>
  <c r="AF95" i="69"/>
  <c r="E98" i="70" s="1"/>
  <c r="AF94" i="69"/>
  <c r="E97" i="70" s="1"/>
  <c r="AF93" i="69"/>
  <c r="E96" i="70" s="1"/>
  <c r="AF92" i="69"/>
  <c r="E95" i="70" s="1"/>
  <c r="AF91" i="69"/>
  <c r="E94" i="70" s="1"/>
  <c r="AF90" i="69"/>
  <c r="E93" i="70" s="1"/>
  <c r="AE89" i="69"/>
  <c r="AD89" i="69"/>
  <c r="AC89" i="69"/>
  <c r="AB89" i="69"/>
  <c r="AA89" i="69"/>
  <c r="Z89" i="69"/>
  <c r="Y89" i="69"/>
  <c r="X89" i="69"/>
  <c r="W89" i="69"/>
  <c r="V89" i="69"/>
  <c r="U89" i="69"/>
  <c r="T89" i="69"/>
  <c r="S89" i="69"/>
  <c r="R89" i="69"/>
  <c r="Q89" i="69"/>
  <c r="P89" i="69"/>
  <c r="O89" i="69"/>
  <c r="N89" i="69"/>
  <c r="M89" i="69"/>
  <c r="L89" i="69"/>
  <c r="K89" i="69"/>
  <c r="J89" i="69"/>
  <c r="I89" i="69"/>
  <c r="H89" i="69"/>
  <c r="G89" i="69"/>
  <c r="F89" i="69"/>
  <c r="E89" i="69"/>
  <c r="AF87" i="69"/>
  <c r="E90" i="70" s="1"/>
  <c r="AF86" i="69"/>
  <c r="E89" i="70" s="1"/>
  <c r="AF85" i="69"/>
  <c r="E88" i="70" s="1"/>
  <c r="AF84" i="69"/>
  <c r="E87" i="70" s="1"/>
  <c r="AE83" i="69"/>
  <c r="AD83" i="69"/>
  <c r="AC83" i="69"/>
  <c r="AB83" i="69"/>
  <c r="AA83" i="69"/>
  <c r="Z83" i="69"/>
  <c r="Y83" i="69"/>
  <c r="X83" i="69"/>
  <c r="W83" i="69"/>
  <c r="V83" i="69"/>
  <c r="U83" i="69"/>
  <c r="T83" i="69"/>
  <c r="S83" i="69"/>
  <c r="R83" i="69"/>
  <c r="Q83" i="69"/>
  <c r="P83" i="69"/>
  <c r="O83" i="69"/>
  <c r="N83" i="69"/>
  <c r="M83" i="69"/>
  <c r="L83" i="69"/>
  <c r="K83" i="69"/>
  <c r="J83" i="69"/>
  <c r="I83" i="69"/>
  <c r="H83" i="69"/>
  <c r="G83" i="69"/>
  <c r="F83" i="69"/>
  <c r="E83" i="69"/>
  <c r="AF81" i="69"/>
  <c r="E84" i="70" s="1"/>
  <c r="AF80" i="69"/>
  <c r="E83" i="70" s="1"/>
  <c r="AF79" i="69"/>
  <c r="E82" i="70" s="1"/>
  <c r="AF78" i="69"/>
  <c r="AE77" i="69"/>
  <c r="AD77" i="69"/>
  <c r="AC77" i="69"/>
  <c r="AB77" i="69"/>
  <c r="AA77" i="69"/>
  <c r="Z77" i="69"/>
  <c r="Y77" i="69"/>
  <c r="X77" i="69"/>
  <c r="W77" i="69"/>
  <c r="V77" i="69"/>
  <c r="U77" i="69"/>
  <c r="T77" i="69"/>
  <c r="S77" i="69"/>
  <c r="R77" i="69"/>
  <c r="Q77" i="69"/>
  <c r="P77" i="69"/>
  <c r="O77" i="69"/>
  <c r="N77" i="69"/>
  <c r="M77" i="69"/>
  <c r="L77" i="69"/>
  <c r="K77" i="69"/>
  <c r="J77" i="69"/>
  <c r="I77" i="69"/>
  <c r="H77" i="69"/>
  <c r="G77" i="69"/>
  <c r="F77" i="69"/>
  <c r="E77" i="69"/>
  <c r="AF73" i="69"/>
  <c r="E76" i="70" s="1"/>
  <c r="AF72" i="69"/>
  <c r="E75" i="70" s="1"/>
  <c r="AF71" i="69"/>
  <c r="E74" i="70" s="1"/>
  <c r="AF70" i="69"/>
  <c r="E73" i="70" s="1"/>
  <c r="AF69" i="69"/>
  <c r="E72" i="70" s="1"/>
  <c r="AF68" i="69"/>
  <c r="E71" i="70" s="1"/>
  <c r="AF67" i="69"/>
  <c r="E70" i="70" s="1"/>
  <c r="AF66" i="69"/>
  <c r="E69" i="70" s="1"/>
  <c r="AE65" i="69"/>
  <c r="AD65" i="69"/>
  <c r="AC65" i="69"/>
  <c r="AB65" i="69"/>
  <c r="AA65" i="69"/>
  <c r="Z65" i="69"/>
  <c r="Y65" i="69"/>
  <c r="X65" i="69"/>
  <c r="W65" i="69"/>
  <c r="V65" i="69"/>
  <c r="U65" i="69"/>
  <c r="T65" i="69"/>
  <c r="S65" i="69"/>
  <c r="R65" i="69"/>
  <c r="Q65" i="69"/>
  <c r="P65" i="69"/>
  <c r="O65" i="69"/>
  <c r="N65" i="69"/>
  <c r="M65" i="69"/>
  <c r="L65" i="69"/>
  <c r="K65" i="69"/>
  <c r="J65" i="69"/>
  <c r="I65" i="69"/>
  <c r="H65" i="69"/>
  <c r="G65" i="69"/>
  <c r="F65" i="69"/>
  <c r="E65" i="69"/>
  <c r="AF63" i="69"/>
  <c r="E66" i="70" s="1"/>
  <c r="AF62" i="69"/>
  <c r="E65" i="70" s="1"/>
  <c r="AF61" i="69"/>
  <c r="E64" i="70" s="1"/>
  <c r="AF60" i="69"/>
  <c r="E63" i="70" s="1"/>
  <c r="AF59" i="69"/>
  <c r="E62" i="70" s="1"/>
  <c r="AF58" i="69"/>
  <c r="E61" i="70" s="1"/>
  <c r="AE57" i="69"/>
  <c r="AD57" i="69"/>
  <c r="AC57" i="69"/>
  <c r="AB57" i="69"/>
  <c r="AA57" i="69"/>
  <c r="Z57" i="69"/>
  <c r="Y57" i="69"/>
  <c r="X57" i="69"/>
  <c r="W57" i="69"/>
  <c r="V57" i="69"/>
  <c r="U57" i="69"/>
  <c r="T57" i="69"/>
  <c r="S57" i="69"/>
  <c r="R57" i="69"/>
  <c r="Q57" i="69"/>
  <c r="P57" i="69"/>
  <c r="O57" i="69"/>
  <c r="N57" i="69"/>
  <c r="M57" i="69"/>
  <c r="L57" i="69"/>
  <c r="K57" i="69"/>
  <c r="J57" i="69"/>
  <c r="I57" i="69"/>
  <c r="H57" i="69"/>
  <c r="G57" i="69"/>
  <c r="F57" i="69"/>
  <c r="E57" i="69"/>
  <c r="AF55" i="69"/>
  <c r="AE54" i="69"/>
  <c r="AD54" i="69"/>
  <c r="AC54" i="69"/>
  <c r="AB54" i="69"/>
  <c r="AA54" i="69"/>
  <c r="Z54" i="69"/>
  <c r="Y54" i="69"/>
  <c r="X54" i="69"/>
  <c r="W54" i="69"/>
  <c r="V54" i="69"/>
  <c r="U54" i="69"/>
  <c r="T54" i="69"/>
  <c r="S54" i="69"/>
  <c r="R54" i="69"/>
  <c r="Q54" i="69"/>
  <c r="P54" i="69"/>
  <c r="O54" i="69"/>
  <c r="N54" i="69"/>
  <c r="M54" i="69"/>
  <c r="L54" i="69"/>
  <c r="K54" i="69"/>
  <c r="J54" i="69"/>
  <c r="I54" i="69"/>
  <c r="H54" i="69"/>
  <c r="G54" i="69"/>
  <c r="F54" i="69"/>
  <c r="E54" i="69"/>
  <c r="AF52" i="69"/>
  <c r="E55" i="70" s="1"/>
  <c r="AF51" i="69"/>
  <c r="E54" i="70" s="1"/>
  <c r="AF50" i="69"/>
  <c r="E53" i="70" s="1"/>
  <c r="AF49" i="69"/>
  <c r="E52" i="70" s="1"/>
  <c r="AF48" i="69"/>
  <c r="E51" i="70" s="1"/>
  <c r="AF47" i="69"/>
  <c r="E50" i="70" s="1"/>
  <c r="AF46" i="69"/>
  <c r="E49" i="70" s="1"/>
  <c r="AF45" i="69"/>
  <c r="E48" i="70" s="1"/>
  <c r="AE44" i="69"/>
  <c r="AD44" i="69"/>
  <c r="AC44" i="69"/>
  <c r="AB44" i="69"/>
  <c r="AA44" i="69"/>
  <c r="Z44" i="69"/>
  <c r="Y44" i="69"/>
  <c r="X44" i="69"/>
  <c r="W44" i="69"/>
  <c r="V44" i="69"/>
  <c r="U44" i="69"/>
  <c r="T44" i="69"/>
  <c r="S44" i="69"/>
  <c r="R44" i="69"/>
  <c r="Q44" i="69"/>
  <c r="P44" i="69"/>
  <c r="O44" i="69"/>
  <c r="N44" i="69"/>
  <c r="M44" i="69"/>
  <c r="L44" i="69"/>
  <c r="K44" i="69"/>
  <c r="J44" i="69"/>
  <c r="I44" i="69"/>
  <c r="H44" i="69"/>
  <c r="G44" i="69"/>
  <c r="F44" i="69"/>
  <c r="E44" i="69"/>
  <c r="AF40" i="69"/>
  <c r="AE40" i="69"/>
  <c r="AD40" i="69"/>
  <c r="AC40" i="69"/>
  <c r="AB40" i="69"/>
  <c r="AA40" i="69"/>
  <c r="Z40" i="69"/>
  <c r="Y40" i="69"/>
  <c r="X40" i="69"/>
  <c r="W40" i="69"/>
  <c r="V40" i="69"/>
  <c r="U40" i="69"/>
  <c r="T40" i="69"/>
  <c r="S40" i="69"/>
  <c r="R40" i="69"/>
  <c r="Q40" i="69"/>
  <c r="P40" i="69"/>
  <c r="O40" i="69"/>
  <c r="N40" i="69"/>
  <c r="M40" i="69"/>
  <c r="L40" i="69"/>
  <c r="K40" i="69"/>
  <c r="J40" i="69"/>
  <c r="I40" i="69"/>
  <c r="H40" i="69"/>
  <c r="G40" i="69"/>
  <c r="F40" i="69"/>
  <c r="E40" i="69"/>
  <c r="AF38" i="69"/>
  <c r="E41" i="70" s="1"/>
  <c r="AF37" i="69"/>
  <c r="E40" i="70" s="1"/>
  <c r="AF36" i="69"/>
  <c r="E39" i="70" s="1"/>
  <c r="AF35" i="69"/>
  <c r="E38" i="70" s="1"/>
  <c r="AF34" i="69"/>
  <c r="AF33" i="69"/>
  <c r="E36" i="70" s="1"/>
  <c r="AE32" i="69"/>
  <c r="AD32" i="69"/>
  <c r="AC32" i="69"/>
  <c r="AB32" i="69"/>
  <c r="AA32" i="69"/>
  <c r="Z32" i="69"/>
  <c r="Y32" i="69"/>
  <c r="X32" i="69"/>
  <c r="W32" i="69"/>
  <c r="V32" i="69"/>
  <c r="U32" i="69"/>
  <c r="T32" i="69"/>
  <c r="S32" i="69"/>
  <c r="R32" i="69"/>
  <c r="Q32" i="69"/>
  <c r="P32" i="69"/>
  <c r="O32" i="69"/>
  <c r="N32" i="69"/>
  <c r="M32" i="69"/>
  <c r="L32" i="69"/>
  <c r="K32" i="69"/>
  <c r="C13" i="74" s="1"/>
  <c r="J32" i="69"/>
  <c r="I32" i="69"/>
  <c r="H32" i="69"/>
  <c r="G32" i="69"/>
  <c r="F32" i="69"/>
  <c r="E32" i="69"/>
  <c r="AF30" i="69"/>
  <c r="E33" i="70" s="1"/>
  <c r="AF29" i="69"/>
  <c r="E32" i="70" s="1"/>
  <c r="AE28" i="69"/>
  <c r="AD28" i="69"/>
  <c r="AC28" i="69"/>
  <c r="AB28" i="69"/>
  <c r="AA28" i="69"/>
  <c r="Z28" i="69"/>
  <c r="Y28" i="69"/>
  <c r="X28" i="69"/>
  <c r="W28" i="69"/>
  <c r="V28" i="69"/>
  <c r="U28" i="69"/>
  <c r="T28" i="69"/>
  <c r="S28" i="69"/>
  <c r="R28" i="69"/>
  <c r="Q28" i="69"/>
  <c r="P28" i="69"/>
  <c r="O28" i="69"/>
  <c r="N28" i="69"/>
  <c r="M28" i="69"/>
  <c r="L28" i="69"/>
  <c r="K28" i="69"/>
  <c r="J28" i="69"/>
  <c r="I28" i="69"/>
  <c r="H28" i="69"/>
  <c r="G28" i="69"/>
  <c r="F28" i="69"/>
  <c r="E28" i="69"/>
  <c r="AF26" i="69"/>
  <c r="E29" i="70" s="1"/>
  <c r="AF25" i="69"/>
  <c r="E28" i="70" s="1"/>
  <c r="AF24" i="69"/>
  <c r="E27" i="70" s="1"/>
  <c r="AF23" i="69"/>
  <c r="E26" i="70" s="1"/>
  <c r="AF22" i="69"/>
  <c r="E25" i="70" s="1"/>
  <c r="AF21" i="69"/>
  <c r="E24" i="70" s="1"/>
  <c r="AF20" i="69"/>
  <c r="E23" i="70" s="1"/>
  <c r="AF19" i="69"/>
  <c r="E22" i="70" s="1"/>
  <c r="AF18" i="69"/>
  <c r="E21" i="70" s="1"/>
  <c r="AF17" i="69"/>
  <c r="E20" i="70" s="1"/>
  <c r="AE16" i="69"/>
  <c r="AD16" i="69"/>
  <c r="AC16" i="69"/>
  <c r="AB16" i="69"/>
  <c r="AA16" i="69"/>
  <c r="Z16" i="69"/>
  <c r="Y16" i="69"/>
  <c r="X16" i="69"/>
  <c r="W16" i="69"/>
  <c r="V16" i="69"/>
  <c r="U16" i="69"/>
  <c r="T16" i="69"/>
  <c r="S16" i="69"/>
  <c r="R16" i="69"/>
  <c r="Q16" i="69"/>
  <c r="P16" i="69"/>
  <c r="O16" i="69"/>
  <c r="N16" i="69"/>
  <c r="M16" i="69"/>
  <c r="L16" i="69"/>
  <c r="K16" i="69"/>
  <c r="J16" i="69"/>
  <c r="I16" i="69"/>
  <c r="H16" i="69"/>
  <c r="G16" i="69"/>
  <c r="F16" i="69"/>
  <c r="E16" i="69"/>
  <c r="AF14" i="69"/>
  <c r="E17" i="70" s="1"/>
  <c r="AF13" i="69"/>
  <c r="E16" i="70" s="1"/>
  <c r="AF12" i="69"/>
  <c r="E15" i="70" s="1"/>
  <c r="AF11" i="69"/>
  <c r="E14" i="70" s="1"/>
  <c r="AF10" i="69"/>
  <c r="E13" i="70" s="1"/>
  <c r="AF9" i="69"/>
  <c r="E12" i="70" s="1"/>
  <c r="AF8" i="69"/>
  <c r="E11" i="70" s="1"/>
  <c r="AF7" i="69"/>
  <c r="E10" i="70" s="1"/>
  <c r="AE6" i="69"/>
  <c r="AD6" i="69"/>
  <c r="AC6" i="69"/>
  <c r="AB6" i="69"/>
  <c r="AA6" i="69"/>
  <c r="Z6" i="69"/>
  <c r="Y6" i="69"/>
  <c r="X6" i="69"/>
  <c r="W6" i="69"/>
  <c r="V6" i="69"/>
  <c r="U6" i="69"/>
  <c r="T6" i="69"/>
  <c r="S6" i="69"/>
  <c r="R6" i="69"/>
  <c r="Q6" i="69"/>
  <c r="P6" i="69"/>
  <c r="O6" i="69"/>
  <c r="N6" i="69"/>
  <c r="M6" i="69"/>
  <c r="L6" i="69"/>
  <c r="K6" i="69"/>
  <c r="J6" i="69"/>
  <c r="I6" i="69"/>
  <c r="H6" i="69"/>
  <c r="G6" i="69"/>
  <c r="F6" i="69"/>
  <c r="E6" i="69"/>
  <c r="E43" i="70" l="1"/>
  <c r="C12" i="78"/>
  <c r="C16" i="78"/>
  <c r="C14" i="78"/>
  <c r="AE68" i="75"/>
  <c r="C10" i="72"/>
  <c r="AF65" i="69"/>
  <c r="AG222" i="75"/>
  <c r="F225" i="76" s="1"/>
  <c r="F220" i="76"/>
  <c r="F62" i="76"/>
  <c r="F12" i="76"/>
  <c r="C9" i="71"/>
  <c r="E159" i="70"/>
  <c r="E132" i="70"/>
  <c r="AF129" i="69"/>
  <c r="E133" i="70"/>
  <c r="E86" i="70"/>
  <c r="AF77" i="69"/>
  <c r="E80" i="70" s="1"/>
  <c r="E81" i="70"/>
  <c r="E68" i="70"/>
  <c r="E60" i="70"/>
  <c r="AF57" i="69"/>
  <c r="C19" i="73" s="1"/>
  <c r="AF54" i="69"/>
  <c r="E57" i="70" s="1"/>
  <c r="E58" i="70"/>
  <c r="E47" i="70"/>
  <c r="E37" i="70"/>
  <c r="C19" i="74"/>
  <c r="AF132" i="69"/>
  <c r="E135" i="70" s="1"/>
  <c r="AF122" i="69"/>
  <c r="E125" i="70" s="1"/>
  <c r="AF154" i="69"/>
  <c r="C7" i="71" s="1"/>
  <c r="C8" i="71"/>
  <c r="AF118" i="69"/>
  <c r="E121" i="70" s="1"/>
  <c r="AF141" i="69"/>
  <c r="AF106" i="69"/>
  <c r="E109" i="70" s="1"/>
  <c r="AF100" i="69"/>
  <c r="E103" i="70" s="1"/>
  <c r="AF83" i="69"/>
  <c r="AF32" i="69"/>
  <c r="C13" i="73" s="1"/>
  <c r="AF28" i="69"/>
  <c r="E31" i="70" s="1"/>
  <c r="AF6" i="69"/>
  <c r="E9" i="70" s="1"/>
  <c r="AF44" i="69"/>
  <c r="AF16" i="69"/>
  <c r="E19" i="70" s="1"/>
  <c r="AF89" i="69"/>
  <c r="E92" i="70" s="1"/>
  <c r="AF158" i="69"/>
  <c r="E161" i="70" s="1"/>
  <c r="AC68" i="75"/>
  <c r="U5" i="69"/>
  <c r="F165" i="69"/>
  <c r="J165" i="69"/>
  <c r="L165" i="69"/>
  <c r="N165" i="69"/>
  <c r="R165" i="69"/>
  <c r="T165" i="69"/>
  <c r="V165" i="69"/>
  <c r="Z165" i="69"/>
  <c r="AB165" i="69"/>
  <c r="AD165" i="69"/>
  <c r="V76" i="69"/>
  <c r="AF6" i="75"/>
  <c r="AC8" i="77" s="1"/>
  <c r="I68" i="75"/>
  <c r="M68" i="75"/>
  <c r="Q68" i="75"/>
  <c r="U68" i="75"/>
  <c r="Y68" i="75"/>
  <c r="E5" i="69"/>
  <c r="E165" i="69"/>
  <c r="G165" i="69"/>
  <c r="I165" i="69"/>
  <c r="K165" i="69"/>
  <c r="M165" i="69"/>
  <c r="O165" i="69"/>
  <c r="Q165" i="69"/>
  <c r="S165" i="69"/>
  <c r="U165" i="69"/>
  <c r="W165" i="69"/>
  <c r="Y165" i="69"/>
  <c r="AA165" i="69"/>
  <c r="AC165" i="69"/>
  <c r="AE165" i="69"/>
  <c r="S5" i="75"/>
  <c r="J122" i="75"/>
  <c r="G10" i="77" s="1"/>
  <c r="Z122" i="75"/>
  <c r="W10" i="77" s="1"/>
  <c r="AE121" i="75"/>
  <c r="F190" i="75"/>
  <c r="H190" i="75"/>
  <c r="J190" i="75"/>
  <c r="L190" i="75"/>
  <c r="N190" i="75"/>
  <c r="P190" i="75"/>
  <c r="R190" i="75"/>
  <c r="T190" i="75"/>
  <c r="V190" i="75"/>
  <c r="X190" i="75"/>
  <c r="Z190" i="75"/>
  <c r="AB190" i="75"/>
  <c r="AD190" i="75"/>
  <c r="AF190" i="75"/>
  <c r="AG201" i="75"/>
  <c r="F204" i="76" s="1"/>
  <c r="AG213" i="75"/>
  <c r="F216" i="76" s="1"/>
  <c r="G224" i="75"/>
  <c r="I224" i="75"/>
  <c r="K224" i="75"/>
  <c r="M224" i="75"/>
  <c r="O224" i="75"/>
  <c r="Q224" i="75"/>
  <c r="S224" i="75"/>
  <c r="U224" i="75"/>
  <c r="W224" i="75"/>
  <c r="Y224" i="75"/>
  <c r="F76" i="69"/>
  <c r="N76" i="69"/>
  <c r="AD76" i="69"/>
  <c r="H6" i="75"/>
  <c r="E8" i="77" s="1"/>
  <c r="P6" i="75"/>
  <c r="M8" i="77" s="1"/>
  <c r="X6" i="75"/>
  <c r="U8" i="77" s="1"/>
  <c r="K5" i="75"/>
  <c r="AA5" i="75"/>
  <c r="M5" i="69"/>
  <c r="AC5" i="69"/>
  <c r="J76" i="69"/>
  <c r="R76" i="69"/>
  <c r="Z76" i="69"/>
  <c r="G5" i="75"/>
  <c r="I5" i="75"/>
  <c r="M5" i="75"/>
  <c r="O5" i="75"/>
  <c r="Q5" i="75"/>
  <c r="U5" i="75"/>
  <c r="W5" i="75"/>
  <c r="Y5" i="75"/>
  <c r="AC5" i="75"/>
  <c r="AE5" i="75"/>
  <c r="L6" i="75"/>
  <c r="I8" i="77" s="1"/>
  <c r="T6" i="75"/>
  <c r="Q8" i="77" s="1"/>
  <c r="AB6" i="75"/>
  <c r="Y8" i="77" s="1"/>
  <c r="G122" i="75"/>
  <c r="D10" i="77" s="1"/>
  <c r="I122" i="75"/>
  <c r="F10" i="77" s="1"/>
  <c r="K122" i="75"/>
  <c r="H10" i="77" s="1"/>
  <c r="O122" i="75"/>
  <c r="L10" i="77" s="1"/>
  <c r="Q122" i="75"/>
  <c r="N10" i="77" s="1"/>
  <c r="U122" i="75"/>
  <c r="R10" i="77" s="1"/>
  <c r="W122" i="75"/>
  <c r="T10" i="77" s="1"/>
  <c r="Y122" i="75"/>
  <c r="V10" i="77" s="1"/>
  <c r="AC122" i="75"/>
  <c r="Z10" i="77" s="1"/>
  <c r="AE122" i="75"/>
  <c r="AB10" i="77" s="1"/>
  <c r="F122" i="75"/>
  <c r="C10" i="77" s="1"/>
  <c r="N122" i="75"/>
  <c r="K10" i="77" s="1"/>
  <c r="R122" i="75"/>
  <c r="O10" i="77" s="1"/>
  <c r="V122" i="75"/>
  <c r="S10" i="77" s="1"/>
  <c r="AD122" i="75"/>
  <c r="AA10" i="77" s="1"/>
  <c r="AD18" i="77"/>
  <c r="G68" i="75"/>
  <c r="K68" i="75"/>
  <c r="O68" i="75"/>
  <c r="S68" i="75"/>
  <c r="W68" i="75"/>
  <c r="AA68" i="75"/>
  <c r="Q121" i="75"/>
  <c r="G167" i="69"/>
  <c r="I5" i="69"/>
  <c r="K5" i="69"/>
  <c r="O167" i="69"/>
  <c r="Q5" i="69"/>
  <c r="S5" i="69"/>
  <c r="W167" i="69"/>
  <c r="Y5" i="69"/>
  <c r="AA5" i="69"/>
  <c r="AE167" i="69"/>
  <c r="F168" i="69"/>
  <c r="H76" i="69"/>
  <c r="L76" i="69"/>
  <c r="N168" i="69"/>
  <c r="P76" i="69"/>
  <c r="T76" i="69"/>
  <c r="V168" i="69"/>
  <c r="X76" i="69"/>
  <c r="Z168" i="69"/>
  <c r="AB76" i="69"/>
  <c r="AD168" i="69"/>
  <c r="J6" i="75"/>
  <c r="G8" i="77" s="1"/>
  <c r="N6" i="75"/>
  <c r="K8" i="77" s="1"/>
  <c r="R6" i="75"/>
  <c r="O8" i="77" s="1"/>
  <c r="V6" i="75"/>
  <c r="S8" i="77" s="1"/>
  <c r="Z6" i="75"/>
  <c r="W8" i="77" s="1"/>
  <c r="AD6" i="75"/>
  <c r="AA8" i="77" s="1"/>
  <c r="AG69" i="75"/>
  <c r="F72" i="76" s="1"/>
  <c r="H68" i="75"/>
  <c r="J68" i="75"/>
  <c r="L68" i="75"/>
  <c r="N68" i="75"/>
  <c r="P68" i="75"/>
  <c r="R68" i="75"/>
  <c r="T68" i="75"/>
  <c r="V68" i="75"/>
  <c r="X68" i="75"/>
  <c r="Z68" i="75"/>
  <c r="AB68" i="75"/>
  <c r="AD68" i="75"/>
  <c r="AF68" i="75"/>
  <c r="M122" i="75"/>
  <c r="J10" i="77" s="1"/>
  <c r="M121" i="75"/>
  <c r="S122" i="75"/>
  <c r="P10" i="77" s="1"/>
  <c r="S121" i="75"/>
  <c r="AA122" i="75"/>
  <c r="X10" i="77" s="1"/>
  <c r="AA121" i="75"/>
  <c r="AA226" i="75" s="1"/>
  <c r="I121" i="75"/>
  <c r="W121" i="75"/>
  <c r="AG80" i="75"/>
  <c r="F83" i="76" s="1"/>
  <c r="AG86" i="75"/>
  <c r="F89" i="76" s="1"/>
  <c r="AG97" i="75"/>
  <c r="F100" i="76" s="1"/>
  <c r="AG108" i="75"/>
  <c r="F111" i="76" s="1"/>
  <c r="H168" i="69"/>
  <c r="J168" i="69"/>
  <c r="L168" i="69"/>
  <c r="P168" i="69"/>
  <c r="R168" i="69"/>
  <c r="T168" i="69"/>
  <c r="X168" i="69"/>
  <c r="AB168" i="69"/>
  <c r="H165" i="69"/>
  <c r="F6" i="75"/>
  <c r="C8" i="77" s="1"/>
  <c r="G6" i="75"/>
  <c r="D8" i="77" s="1"/>
  <c r="I6" i="75"/>
  <c r="F8" i="77" s="1"/>
  <c r="K6" i="75"/>
  <c r="H8" i="77" s="1"/>
  <c r="M6" i="75"/>
  <c r="O6" i="75"/>
  <c r="L8" i="77" s="1"/>
  <c r="Q6" i="75"/>
  <c r="N8" i="77" s="1"/>
  <c r="S6" i="75"/>
  <c r="P8" i="77" s="1"/>
  <c r="U6" i="75"/>
  <c r="R8" i="77" s="1"/>
  <c r="W6" i="75"/>
  <c r="T8" i="77" s="1"/>
  <c r="Y6" i="75"/>
  <c r="V8" i="77" s="1"/>
  <c r="AA6" i="75"/>
  <c r="X8" i="77" s="1"/>
  <c r="AC6" i="75"/>
  <c r="Z8" i="77" s="1"/>
  <c r="AE6" i="75"/>
  <c r="AB8" i="77" s="1"/>
  <c r="AG15" i="75"/>
  <c r="F18" i="76" s="1"/>
  <c r="H5" i="75"/>
  <c r="J5" i="75"/>
  <c r="L5" i="75"/>
  <c r="N5" i="75"/>
  <c r="P5" i="75"/>
  <c r="F8" i="76" s="1"/>
  <c r="R5" i="75"/>
  <c r="T5" i="75"/>
  <c r="V5" i="75"/>
  <c r="X5" i="75"/>
  <c r="Z5" i="75"/>
  <c r="AB5" i="75"/>
  <c r="AD5" i="75"/>
  <c r="AF5" i="75"/>
  <c r="AG25" i="75"/>
  <c r="F28" i="76" s="1"/>
  <c r="AG31" i="75"/>
  <c r="F34" i="76" s="1"/>
  <c r="AG41" i="75"/>
  <c r="F44" i="76" s="1"/>
  <c r="AG48" i="75"/>
  <c r="F51" i="76" s="1"/>
  <c r="AG54" i="75"/>
  <c r="F57" i="76" s="1"/>
  <c r="AG62" i="75"/>
  <c r="F65" i="76" s="1"/>
  <c r="G121" i="75"/>
  <c r="K121" i="75"/>
  <c r="O121" i="75"/>
  <c r="P165" i="69"/>
  <c r="X165" i="69"/>
  <c r="AG133" i="75"/>
  <c r="F136" i="76" s="1"/>
  <c r="H122" i="75"/>
  <c r="E10" i="77" s="1"/>
  <c r="J121" i="75"/>
  <c r="L122" i="75"/>
  <c r="I10" i="77" s="1"/>
  <c r="N121" i="75"/>
  <c r="P122" i="75"/>
  <c r="M10" i="77" s="1"/>
  <c r="R121" i="75"/>
  <c r="T121" i="75"/>
  <c r="V121" i="75"/>
  <c r="X121" i="75"/>
  <c r="Z121" i="75"/>
  <c r="AB121" i="75"/>
  <c r="AD121" i="75"/>
  <c r="AF121" i="75"/>
  <c r="AG143" i="75"/>
  <c r="F146" i="76" s="1"/>
  <c r="AG153" i="75"/>
  <c r="F156" i="76" s="1"/>
  <c r="AG165" i="75"/>
  <c r="F168" i="76" s="1"/>
  <c r="AG173" i="75"/>
  <c r="F176" i="76" s="1"/>
  <c r="AG184" i="75"/>
  <c r="F187" i="76" s="1"/>
  <c r="G190" i="75"/>
  <c r="I190" i="75"/>
  <c r="K190" i="75"/>
  <c r="M190" i="75"/>
  <c r="O190" i="75"/>
  <c r="Q190" i="75"/>
  <c r="S190" i="75"/>
  <c r="U190" i="75"/>
  <c r="W190" i="75"/>
  <c r="AA190" i="75"/>
  <c r="AC190" i="75"/>
  <c r="AE190" i="75"/>
  <c r="AG207" i="75"/>
  <c r="F210" i="76" s="1"/>
  <c r="AA224" i="75"/>
  <c r="AC224" i="75"/>
  <c r="AG7" i="75"/>
  <c r="F10" i="76" s="1"/>
  <c r="AG123" i="75"/>
  <c r="F126" i="76" s="1"/>
  <c r="Y190" i="75"/>
  <c r="AG194" i="75"/>
  <c r="F197" i="76" s="1"/>
  <c r="F5" i="75"/>
  <c r="F68" i="75"/>
  <c r="F121" i="75"/>
  <c r="H121" i="75"/>
  <c r="L121" i="75"/>
  <c r="P121" i="75"/>
  <c r="U121" i="75"/>
  <c r="Y121" i="75"/>
  <c r="AC121" i="75"/>
  <c r="T122" i="75"/>
  <c r="Q10" i="77" s="1"/>
  <c r="X122" i="75"/>
  <c r="U10" i="77" s="1"/>
  <c r="AB122" i="75"/>
  <c r="Y10" i="77" s="1"/>
  <c r="AF122" i="75"/>
  <c r="AC10" i="77" s="1"/>
  <c r="AG191" i="75"/>
  <c r="F194" i="76" s="1"/>
  <c r="AG198" i="75"/>
  <c r="F201" i="76" s="1"/>
  <c r="AG204" i="75"/>
  <c r="F207" i="76" s="1"/>
  <c r="AG210" i="75"/>
  <c r="F213" i="76" s="1"/>
  <c r="AG216" i="75"/>
  <c r="F219" i="76" s="1"/>
  <c r="F224" i="75"/>
  <c r="H224" i="75"/>
  <c r="J224" i="75"/>
  <c r="L224" i="75"/>
  <c r="N224" i="75"/>
  <c r="P224" i="75"/>
  <c r="R224" i="75"/>
  <c r="T224" i="75"/>
  <c r="V224" i="75"/>
  <c r="X224" i="75"/>
  <c r="Z224" i="75"/>
  <c r="AB224" i="75"/>
  <c r="AD224" i="75"/>
  <c r="AF224" i="75"/>
  <c r="F167" i="69"/>
  <c r="F5" i="69"/>
  <c r="H167" i="69"/>
  <c r="H5" i="69"/>
  <c r="J167" i="69"/>
  <c r="J5" i="69"/>
  <c r="L167" i="69"/>
  <c r="L5" i="69"/>
  <c r="N167" i="69"/>
  <c r="N5" i="69"/>
  <c r="P167" i="69"/>
  <c r="P5" i="69"/>
  <c r="R167" i="69"/>
  <c r="R5" i="69"/>
  <c r="T167" i="69"/>
  <c r="T5" i="69"/>
  <c r="V167" i="69"/>
  <c r="V5" i="69"/>
  <c r="X167" i="69"/>
  <c r="X5" i="69"/>
  <c r="Z167" i="69"/>
  <c r="Z5" i="69"/>
  <c r="AB167" i="69"/>
  <c r="AB5" i="69"/>
  <c r="AD167" i="69"/>
  <c r="AD5" i="69"/>
  <c r="K167" i="69"/>
  <c r="S167" i="69"/>
  <c r="AA167" i="69"/>
  <c r="G5" i="69"/>
  <c r="O5" i="69"/>
  <c r="W5" i="69"/>
  <c r="AE5" i="69"/>
  <c r="E167" i="69"/>
  <c r="I167" i="69"/>
  <c r="M167" i="69"/>
  <c r="Q167" i="69"/>
  <c r="U167" i="69"/>
  <c r="Y167" i="69"/>
  <c r="AC167" i="69"/>
  <c r="E168" i="69"/>
  <c r="E76" i="69"/>
  <c r="G168" i="69"/>
  <c r="G76" i="69"/>
  <c r="I168" i="69"/>
  <c r="I76" i="69"/>
  <c r="K168" i="69"/>
  <c r="K76" i="69"/>
  <c r="M168" i="69"/>
  <c r="M76" i="69"/>
  <c r="O168" i="69"/>
  <c r="O76" i="69"/>
  <c r="Q168" i="69"/>
  <c r="Q76" i="69"/>
  <c r="S168" i="69"/>
  <c r="S76" i="69"/>
  <c r="U168" i="69"/>
  <c r="U76" i="69"/>
  <c r="W168" i="69"/>
  <c r="W76" i="69"/>
  <c r="Y168" i="69"/>
  <c r="Y76" i="69"/>
  <c r="AA168" i="69"/>
  <c r="AA76" i="69"/>
  <c r="AC168" i="69"/>
  <c r="AC76" i="69"/>
  <c r="AE168" i="69"/>
  <c r="AE76" i="69"/>
  <c r="R179" i="67"/>
  <c r="Q178" i="67"/>
  <c r="P178" i="67"/>
  <c r="O178" i="67"/>
  <c r="N178" i="67"/>
  <c r="M178" i="67"/>
  <c r="L178" i="67"/>
  <c r="K178" i="67"/>
  <c r="J178" i="67"/>
  <c r="I178" i="67"/>
  <c r="H178" i="67"/>
  <c r="G178" i="67"/>
  <c r="F178" i="67"/>
  <c r="E178" i="67"/>
  <c r="R176" i="67"/>
  <c r="E179" i="68" s="1"/>
  <c r="R175" i="67"/>
  <c r="E178" i="68" s="1"/>
  <c r="R174" i="67"/>
  <c r="E177" i="68" s="1"/>
  <c r="R173" i="67"/>
  <c r="E176" i="68" s="1"/>
  <c r="R172" i="67"/>
  <c r="E175" i="68" s="1"/>
  <c r="R171" i="67"/>
  <c r="E174" i="68" s="1"/>
  <c r="R170" i="67"/>
  <c r="E173" i="68" s="1"/>
  <c r="Q169" i="67"/>
  <c r="P169" i="67"/>
  <c r="O169" i="67"/>
  <c r="N169" i="67"/>
  <c r="M169" i="67"/>
  <c r="L169" i="67"/>
  <c r="K169" i="67"/>
  <c r="J169" i="67"/>
  <c r="I169" i="67"/>
  <c r="H169" i="67"/>
  <c r="G169" i="67"/>
  <c r="F169" i="67"/>
  <c r="E169" i="67"/>
  <c r="R167" i="67"/>
  <c r="E170" i="68" s="1"/>
  <c r="R166" i="67"/>
  <c r="E169" i="68" s="1"/>
  <c r="R165" i="67"/>
  <c r="E168" i="68" s="1"/>
  <c r="R164" i="67"/>
  <c r="E167" i="68" s="1"/>
  <c r="R163" i="67"/>
  <c r="E166" i="68" s="1"/>
  <c r="R162" i="67"/>
  <c r="E165" i="68" s="1"/>
  <c r="R161" i="67"/>
  <c r="E164" i="68" s="1"/>
  <c r="R160" i="67"/>
  <c r="E163" i="68" s="1"/>
  <c r="R159" i="67"/>
  <c r="E162" i="68" s="1"/>
  <c r="Q158" i="67"/>
  <c r="P158" i="67"/>
  <c r="O158" i="67"/>
  <c r="N158" i="67"/>
  <c r="M158" i="67"/>
  <c r="L158" i="67"/>
  <c r="K158" i="67"/>
  <c r="J158" i="67"/>
  <c r="I158" i="67"/>
  <c r="H158" i="67"/>
  <c r="G158" i="67"/>
  <c r="F158" i="67"/>
  <c r="E158" i="67"/>
  <c r="R156" i="67"/>
  <c r="E159" i="68" s="1"/>
  <c r="R155" i="67"/>
  <c r="E158" i="68" s="1"/>
  <c r="R154" i="67"/>
  <c r="E157" i="68" s="1"/>
  <c r="R153" i="67"/>
  <c r="E156" i="68" s="1"/>
  <c r="R152" i="67"/>
  <c r="E155" i="68" s="1"/>
  <c r="R151" i="67"/>
  <c r="E154" i="68" s="1"/>
  <c r="R150" i="67"/>
  <c r="E153" i="68" s="1"/>
  <c r="R149" i="67"/>
  <c r="E152" i="68" s="1"/>
  <c r="R148" i="67"/>
  <c r="E151" i="68" s="1"/>
  <c r="Q147" i="67"/>
  <c r="P147" i="67"/>
  <c r="O147" i="67"/>
  <c r="N147" i="67"/>
  <c r="M147" i="67"/>
  <c r="L147" i="67"/>
  <c r="K147" i="67"/>
  <c r="J147" i="67"/>
  <c r="I147" i="67"/>
  <c r="H147" i="67"/>
  <c r="G147" i="67"/>
  <c r="F147" i="67"/>
  <c r="E147" i="67"/>
  <c r="R145" i="67"/>
  <c r="E148" i="68" s="1"/>
  <c r="R144" i="67"/>
  <c r="E147" i="68" s="1"/>
  <c r="R143" i="67"/>
  <c r="E146" i="68" s="1"/>
  <c r="R142" i="67"/>
  <c r="E145" i="68" s="1"/>
  <c r="R141" i="67"/>
  <c r="E144" i="68" s="1"/>
  <c r="R140" i="67"/>
  <c r="E143" i="68" s="1"/>
  <c r="R139" i="67"/>
  <c r="E142" i="68" s="1"/>
  <c r="R138" i="67"/>
  <c r="E141" i="68" s="1"/>
  <c r="R137" i="67"/>
  <c r="E140" i="68" s="1"/>
  <c r="Q136" i="67"/>
  <c r="P136" i="67"/>
  <c r="O136" i="67"/>
  <c r="N136" i="67"/>
  <c r="M136" i="67"/>
  <c r="L136" i="67"/>
  <c r="K136" i="67"/>
  <c r="J136" i="67"/>
  <c r="I136" i="67"/>
  <c r="H136" i="67"/>
  <c r="G136" i="67"/>
  <c r="F136" i="67"/>
  <c r="E136" i="67"/>
  <c r="R134" i="67"/>
  <c r="E137" i="68" s="1"/>
  <c r="R133" i="67"/>
  <c r="E136" i="68" s="1"/>
  <c r="R132" i="67"/>
  <c r="E135" i="68" s="1"/>
  <c r="R131" i="67"/>
  <c r="E134" i="68" s="1"/>
  <c r="R130" i="67"/>
  <c r="E133" i="68" s="1"/>
  <c r="R129" i="67"/>
  <c r="E132" i="68" s="1"/>
  <c r="R128" i="67"/>
  <c r="E131" i="68" s="1"/>
  <c r="R127" i="67"/>
  <c r="E130" i="68" s="1"/>
  <c r="R126" i="67"/>
  <c r="E129" i="68" s="1"/>
  <c r="Q125" i="67"/>
  <c r="P125" i="67"/>
  <c r="O125" i="67"/>
  <c r="N125" i="67"/>
  <c r="M125" i="67"/>
  <c r="L125" i="67"/>
  <c r="K125" i="67"/>
  <c r="J125" i="67"/>
  <c r="I125" i="67"/>
  <c r="H125" i="67"/>
  <c r="G125" i="67"/>
  <c r="F125" i="67"/>
  <c r="E125" i="67"/>
  <c r="R123" i="67"/>
  <c r="E126" i="68" s="1"/>
  <c r="R122" i="67"/>
  <c r="E125" i="68" s="1"/>
  <c r="R121" i="67"/>
  <c r="E124" i="68" s="1"/>
  <c r="R120" i="67"/>
  <c r="E123" i="68" s="1"/>
  <c r="R119" i="67"/>
  <c r="E122" i="68" s="1"/>
  <c r="R118" i="67"/>
  <c r="E121" i="68" s="1"/>
  <c r="R117" i="67"/>
  <c r="E120" i="68" s="1"/>
  <c r="R116" i="67"/>
  <c r="E119" i="68" s="1"/>
  <c r="R115" i="67"/>
  <c r="Q114" i="67"/>
  <c r="P114" i="67"/>
  <c r="O114" i="67"/>
  <c r="N114" i="67"/>
  <c r="M114" i="67"/>
  <c r="L114" i="67"/>
  <c r="K114" i="67"/>
  <c r="J114" i="67"/>
  <c r="I114" i="67"/>
  <c r="H114" i="67"/>
  <c r="G114" i="67"/>
  <c r="F114" i="67"/>
  <c r="E114" i="67"/>
  <c r="R112" i="67"/>
  <c r="E115" i="68" s="1"/>
  <c r="R111" i="67"/>
  <c r="E114" i="68" s="1"/>
  <c r="R110" i="67"/>
  <c r="Q109" i="67"/>
  <c r="P109" i="67"/>
  <c r="O109" i="67"/>
  <c r="N109" i="67"/>
  <c r="M109" i="67"/>
  <c r="L109" i="67"/>
  <c r="K109" i="67"/>
  <c r="J109" i="67"/>
  <c r="I109" i="67"/>
  <c r="H109" i="67"/>
  <c r="G109" i="67"/>
  <c r="F109" i="67"/>
  <c r="E109" i="67"/>
  <c r="R107" i="67"/>
  <c r="E110" i="68" s="1"/>
  <c r="R106" i="67"/>
  <c r="E109" i="68" s="1"/>
  <c r="R105" i="67"/>
  <c r="E108" i="68" s="1"/>
  <c r="R104" i="67"/>
  <c r="E107" i="68" s="1"/>
  <c r="R103" i="67"/>
  <c r="E106" i="68" s="1"/>
  <c r="R102" i="67"/>
  <c r="E105" i="68" s="1"/>
  <c r="R101" i="67"/>
  <c r="E104" i="68" s="1"/>
  <c r="R100" i="67"/>
  <c r="E103" i="68" s="1"/>
  <c r="Q99" i="67"/>
  <c r="P99" i="67"/>
  <c r="O99" i="67"/>
  <c r="N99" i="67"/>
  <c r="M99" i="67"/>
  <c r="L99" i="67"/>
  <c r="K99" i="67"/>
  <c r="J99" i="67"/>
  <c r="I99" i="67"/>
  <c r="H99" i="67"/>
  <c r="G99" i="67"/>
  <c r="F99" i="67"/>
  <c r="E99" i="67"/>
  <c r="R97" i="67"/>
  <c r="E100" i="68" s="1"/>
  <c r="R96" i="67"/>
  <c r="E99" i="68" s="1"/>
  <c r="R95" i="67"/>
  <c r="E98" i="68" s="1"/>
  <c r="R94" i="67"/>
  <c r="E97" i="68" s="1"/>
  <c r="R93" i="67"/>
  <c r="E96" i="68" s="1"/>
  <c r="R92" i="67"/>
  <c r="E95" i="68" s="1"/>
  <c r="R91" i="67"/>
  <c r="E94" i="68" s="1"/>
  <c r="R90" i="67"/>
  <c r="Q89" i="67"/>
  <c r="P89" i="67"/>
  <c r="O89" i="67"/>
  <c r="N89" i="67"/>
  <c r="M89" i="67"/>
  <c r="L89" i="67"/>
  <c r="K89" i="67"/>
  <c r="J89" i="67"/>
  <c r="I89" i="67"/>
  <c r="H89" i="67"/>
  <c r="G89" i="67"/>
  <c r="F89" i="67"/>
  <c r="E89" i="67"/>
  <c r="R84" i="67"/>
  <c r="Q83" i="67"/>
  <c r="P83" i="67"/>
  <c r="O83" i="67"/>
  <c r="N83" i="67"/>
  <c r="M83" i="67"/>
  <c r="L83" i="67"/>
  <c r="K83" i="67"/>
  <c r="J83" i="67"/>
  <c r="I83" i="67"/>
  <c r="H83" i="67"/>
  <c r="G83" i="67"/>
  <c r="F83" i="67"/>
  <c r="E83" i="67"/>
  <c r="R81" i="67"/>
  <c r="E84" i="68" s="1"/>
  <c r="R80" i="67"/>
  <c r="E83" i="68" s="1"/>
  <c r="R79" i="67"/>
  <c r="E82" i="68" s="1"/>
  <c r="R78" i="67"/>
  <c r="E81" i="68" s="1"/>
  <c r="R77" i="67"/>
  <c r="E80" i="68" s="1"/>
  <c r="R76" i="67"/>
  <c r="E79" i="68" s="1"/>
  <c r="Q75" i="67"/>
  <c r="P75" i="67"/>
  <c r="O75" i="67"/>
  <c r="N75" i="67"/>
  <c r="M75" i="67"/>
  <c r="L75" i="67"/>
  <c r="K75" i="67"/>
  <c r="J75" i="67"/>
  <c r="I75" i="67"/>
  <c r="H75" i="67"/>
  <c r="G75" i="67"/>
  <c r="F75" i="67"/>
  <c r="E75" i="67"/>
  <c r="R73" i="67"/>
  <c r="E76" i="68" s="1"/>
  <c r="R72" i="67"/>
  <c r="E75" i="68" s="1"/>
  <c r="R71" i="67"/>
  <c r="E74" i="68" s="1"/>
  <c r="R70" i="67"/>
  <c r="E73" i="68" s="1"/>
  <c r="R69" i="67"/>
  <c r="E72" i="68" s="1"/>
  <c r="R68" i="67"/>
  <c r="E71" i="68" s="1"/>
  <c r="R67" i="67"/>
  <c r="E70" i="68" s="1"/>
  <c r="R66" i="67"/>
  <c r="E69" i="68" s="1"/>
  <c r="R65" i="67"/>
  <c r="E68" i="68" s="1"/>
  <c r="Q64" i="67"/>
  <c r="P64" i="67"/>
  <c r="O64" i="67"/>
  <c r="N64" i="67"/>
  <c r="M64" i="67"/>
  <c r="L64" i="67"/>
  <c r="K64" i="67"/>
  <c r="J64" i="67"/>
  <c r="I64" i="67"/>
  <c r="H64" i="67"/>
  <c r="G64" i="67"/>
  <c r="F64" i="67"/>
  <c r="E64" i="67"/>
  <c r="R62" i="67"/>
  <c r="E65" i="68" s="1"/>
  <c r="R61" i="67"/>
  <c r="E64" i="68" s="1"/>
  <c r="R60" i="67"/>
  <c r="E63" i="68" s="1"/>
  <c r="R59" i="67"/>
  <c r="E62" i="68" s="1"/>
  <c r="R58" i="67"/>
  <c r="E61" i="68" s="1"/>
  <c r="R57" i="67"/>
  <c r="E60" i="68" s="1"/>
  <c r="R56" i="67"/>
  <c r="E59" i="68" s="1"/>
  <c r="R55" i="67"/>
  <c r="E58" i="68" s="1"/>
  <c r="R54" i="67"/>
  <c r="E57" i="68" s="1"/>
  <c r="Q53" i="67"/>
  <c r="P53" i="67"/>
  <c r="O53" i="67"/>
  <c r="N53" i="67"/>
  <c r="M53" i="67"/>
  <c r="L53" i="67"/>
  <c r="K53" i="67"/>
  <c r="J53" i="67"/>
  <c r="I53" i="67"/>
  <c r="H53" i="67"/>
  <c r="G53" i="67"/>
  <c r="F53" i="67"/>
  <c r="E53" i="67"/>
  <c r="R51" i="67"/>
  <c r="E54" i="68" s="1"/>
  <c r="R50" i="67"/>
  <c r="E53" i="68" s="1"/>
  <c r="R49" i="67"/>
  <c r="E52" i="68" s="1"/>
  <c r="R48" i="67"/>
  <c r="E51" i="68" s="1"/>
  <c r="R47" i="67"/>
  <c r="E50" i="68" s="1"/>
  <c r="R46" i="67"/>
  <c r="E49" i="68" s="1"/>
  <c r="R45" i="67"/>
  <c r="E48" i="68" s="1"/>
  <c r="R44" i="67"/>
  <c r="E47" i="68" s="1"/>
  <c r="R43" i="67"/>
  <c r="Q42" i="67"/>
  <c r="P42" i="67"/>
  <c r="O42" i="67"/>
  <c r="N42" i="67"/>
  <c r="M42" i="67"/>
  <c r="L42" i="67"/>
  <c r="K42" i="67"/>
  <c r="J42" i="67"/>
  <c r="I42" i="67"/>
  <c r="H42" i="67"/>
  <c r="G42" i="67"/>
  <c r="F42" i="67"/>
  <c r="E42" i="67"/>
  <c r="R40" i="67"/>
  <c r="E43" i="68" s="1"/>
  <c r="R39" i="67"/>
  <c r="E42" i="68" s="1"/>
  <c r="R38" i="67"/>
  <c r="E41" i="68" s="1"/>
  <c r="R37" i="67"/>
  <c r="E40" i="68" s="1"/>
  <c r="R36" i="67"/>
  <c r="E39" i="68" s="1"/>
  <c r="R35" i="67"/>
  <c r="E38" i="68" s="1"/>
  <c r="R34" i="67"/>
  <c r="E37" i="68" s="1"/>
  <c r="R33" i="67"/>
  <c r="E36" i="68" s="1"/>
  <c r="R32" i="67"/>
  <c r="Q31" i="67"/>
  <c r="P31" i="67"/>
  <c r="O31" i="67"/>
  <c r="N31" i="67"/>
  <c r="M31" i="67"/>
  <c r="L31" i="67"/>
  <c r="K31" i="67"/>
  <c r="J31" i="67"/>
  <c r="I31" i="67"/>
  <c r="H31" i="67"/>
  <c r="G31" i="67"/>
  <c r="F31" i="67"/>
  <c r="E31" i="67"/>
  <c r="R29" i="67"/>
  <c r="E32" i="68" s="1"/>
  <c r="R28" i="67"/>
  <c r="E31" i="68" s="1"/>
  <c r="R27" i="67"/>
  <c r="E30" i="68" s="1"/>
  <c r="Q26" i="67"/>
  <c r="P26" i="67"/>
  <c r="O26" i="67"/>
  <c r="N26" i="67"/>
  <c r="M26" i="67"/>
  <c r="L26" i="67"/>
  <c r="K26" i="67"/>
  <c r="J26" i="67"/>
  <c r="I26" i="67"/>
  <c r="H26" i="67"/>
  <c r="G26" i="67"/>
  <c r="F26" i="67"/>
  <c r="E26" i="67"/>
  <c r="R24" i="67"/>
  <c r="E27" i="68" s="1"/>
  <c r="R23" i="67"/>
  <c r="E26" i="68" s="1"/>
  <c r="R22" i="67"/>
  <c r="E25" i="68" s="1"/>
  <c r="R21" i="67"/>
  <c r="E24" i="68" s="1"/>
  <c r="R20" i="67"/>
  <c r="E23" i="68" s="1"/>
  <c r="R19" i="67"/>
  <c r="E22" i="68" s="1"/>
  <c r="R18" i="67"/>
  <c r="E21" i="68" s="1"/>
  <c r="R17" i="67"/>
  <c r="E20" i="68" s="1"/>
  <c r="Q16" i="67"/>
  <c r="P16" i="67"/>
  <c r="O16" i="67"/>
  <c r="N16" i="67"/>
  <c r="M16" i="67"/>
  <c r="L16" i="67"/>
  <c r="K16" i="67"/>
  <c r="J16" i="67"/>
  <c r="I16" i="67"/>
  <c r="H16" i="67"/>
  <c r="G16" i="67"/>
  <c r="F16" i="67"/>
  <c r="E16" i="67"/>
  <c r="R14" i="67"/>
  <c r="E17" i="68" s="1"/>
  <c r="R13" i="67"/>
  <c r="E16" i="68" s="1"/>
  <c r="R12" i="67"/>
  <c r="E15" i="68" s="1"/>
  <c r="R11" i="67"/>
  <c r="E14" i="68" s="1"/>
  <c r="R10" i="67"/>
  <c r="E13" i="68" s="1"/>
  <c r="R9" i="67"/>
  <c r="E12" i="68" s="1"/>
  <c r="R8" i="67"/>
  <c r="E11" i="68" s="1"/>
  <c r="R7" i="67"/>
  <c r="E10" i="68" s="1"/>
  <c r="Q6" i="67"/>
  <c r="P6" i="67"/>
  <c r="O6" i="67"/>
  <c r="N6" i="67"/>
  <c r="M6" i="67"/>
  <c r="L6" i="67"/>
  <c r="K6" i="67"/>
  <c r="J6" i="67"/>
  <c r="I6" i="67"/>
  <c r="H6" i="67"/>
  <c r="G6" i="67"/>
  <c r="F6" i="67"/>
  <c r="E6" i="67"/>
  <c r="G221" i="63"/>
  <c r="H221" i="63"/>
  <c r="I221" i="63"/>
  <c r="J221" i="63"/>
  <c r="K221" i="63"/>
  <c r="L221" i="63"/>
  <c r="M221" i="63"/>
  <c r="N221" i="63"/>
  <c r="O221" i="63"/>
  <c r="P221" i="63"/>
  <c r="Q221" i="63"/>
  <c r="R221" i="63"/>
  <c r="F221" i="63"/>
  <c r="R222" i="63"/>
  <c r="Q222" i="63"/>
  <c r="P222" i="63"/>
  <c r="O222" i="63"/>
  <c r="N222" i="63"/>
  <c r="M222" i="63"/>
  <c r="L222" i="63"/>
  <c r="K222" i="63"/>
  <c r="J222" i="63"/>
  <c r="I222" i="63"/>
  <c r="H222" i="63"/>
  <c r="G222" i="63"/>
  <c r="F222" i="63"/>
  <c r="S218" i="63"/>
  <c r="F221" i="64" s="1"/>
  <c r="S217" i="63"/>
  <c r="R216" i="63"/>
  <c r="Q216" i="63"/>
  <c r="P216" i="63"/>
  <c r="O216" i="63"/>
  <c r="N216" i="63"/>
  <c r="M216" i="63"/>
  <c r="L216" i="63"/>
  <c r="K216" i="63"/>
  <c r="J216" i="63"/>
  <c r="I216" i="63"/>
  <c r="H216" i="63"/>
  <c r="G216" i="63"/>
  <c r="F216" i="63"/>
  <c r="S214" i="63"/>
  <c r="F217" i="64" s="1"/>
  <c r="R213" i="63"/>
  <c r="Q213" i="63"/>
  <c r="P213" i="63"/>
  <c r="O213" i="63"/>
  <c r="N213" i="63"/>
  <c r="M213" i="63"/>
  <c r="L213" i="63"/>
  <c r="K213" i="63"/>
  <c r="J213" i="63"/>
  <c r="I213" i="63"/>
  <c r="H213" i="63"/>
  <c r="G213" i="63"/>
  <c r="F213" i="63"/>
  <c r="S211" i="63"/>
  <c r="F214" i="64" s="1"/>
  <c r="R210" i="63"/>
  <c r="Q210" i="63"/>
  <c r="P210" i="63"/>
  <c r="O210" i="63"/>
  <c r="N210" i="63"/>
  <c r="M210" i="63"/>
  <c r="L210" i="63"/>
  <c r="K210" i="63"/>
  <c r="J210" i="63"/>
  <c r="I210" i="63"/>
  <c r="H210" i="63"/>
  <c r="G210" i="63"/>
  <c r="F210" i="63"/>
  <c r="S208" i="63"/>
  <c r="F211" i="64" s="1"/>
  <c r="R207" i="63"/>
  <c r="Q207" i="63"/>
  <c r="P207" i="63"/>
  <c r="O207" i="63"/>
  <c r="N207" i="63"/>
  <c r="M207" i="63"/>
  <c r="L207" i="63"/>
  <c r="K207" i="63"/>
  <c r="J207" i="63"/>
  <c r="I207" i="63"/>
  <c r="H207" i="63"/>
  <c r="G207" i="63"/>
  <c r="F207" i="63"/>
  <c r="S205" i="63"/>
  <c r="F208" i="64" s="1"/>
  <c r="R204" i="63"/>
  <c r="Q204" i="63"/>
  <c r="P204" i="63"/>
  <c r="O204" i="63"/>
  <c r="N204" i="63"/>
  <c r="M204" i="63"/>
  <c r="L204" i="63"/>
  <c r="K204" i="63"/>
  <c r="J204" i="63"/>
  <c r="I204" i="63"/>
  <c r="H204" i="63"/>
  <c r="G204" i="63"/>
  <c r="F204" i="63"/>
  <c r="S202" i="63"/>
  <c r="F205" i="64" s="1"/>
  <c r="R201" i="63"/>
  <c r="Q201" i="63"/>
  <c r="P201" i="63"/>
  <c r="O201" i="63"/>
  <c r="N201" i="63"/>
  <c r="M201" i="63"/>
  <c r="L201" i="63"/>
  <c r="K201" i="63"/>
  <c r="J201" i="63"/>
  <c r="I201" i="63"/>
  <c r="H201" i="63"/>
  <c r="G201" i="63"/>
  <c r="F201" i="63"/>
  <c r="S199" i="63"/>
  <c r="F202" i="64" s="1"/>
  <c r="R198" i="63"/>
  <c r="Q198" i="63"/>
  <c r="P198" i="63"/>
  <c r="O198" i="63"/>
  <c r="N198" i="63"/>
  <c r="M198" i="63"/>
  <c r="L198" i="63"/>
  <c r="K198" i="63"/>
  <c r="J198" i="63"/>
  <c r="I198" i="63"/>
  <c r="H198" i="63"/>
  <c r="G198" i="63"/>
  <c r="F198" i="63"/>
  <c r="S196" i="63"/>
  <c r="F199" i="64" s="1"/>
  <c r="S195" i="63"/>
  <c r="F198" i="64" s="1"/>
  <c r="R194" i="63"/>
  <c r="Q194" i="63"/>
  <c r="P194" i="63"/>
  <c r="O194" i="63"/>
  <c r="N194" i="63"/>
  <c r="M194" i="63"/>
  <c r="L194" i="63"/>
  <c r="K194" i="63"/>
  <c r="J194" i="63"/>
  <c r="I194" i="63"/>
  <c r="H194" i="63"/>
  <c r="G194" i="63"/>
  <c r="F194" i="63"/>
  <c r="S192" i="63"/>
  <c r="F195" i="64" s="1"/>
  <c r="R191" i="63"/>
  <c r="Q191" i="63"/>
  <c r="P191" i="63"/>
  <c r="O191" i="63"/>
  <c r="N191" i="63"/>
  <c r="M191" i="63"/>
  <c r="L191" i="63"/>
  <c r="K191" i="63"/>
  <c r="J191" i="63"/>
  <c r="I191" i="63"/>
  <c r="H191" i="63"/>
  <c r="G191" i="63"/>
  <c r="F191" i="63"/>
  <c r="S188" i="63"/>
  <c r="F191" i="64" s="1"/>
  <c r="S187" i="63"/>
  <c r="F190" i="64" s="1"/>
  <c r="S186" i="63"/>
  <c r="F189" i="64" s="1"/>
  <c r="S185" i="63"/>
  <c r="F188" i="64" s="1"/>
  <c r="R184" i="63"/>
  <c r="Q184" i="63"/>
  <c r="P184" i="63"/>
  <c r="O184" i="63"/>
  <c r="N184" i="63"/>
  <c r="M184" i="63"/>
  <c r="L184" i="63"/>
  <c r="K184" i="63"/>
  <c r="J184" i="63"/>
  <c r="I184" i="63"/>
  <c r="H184" i="63"/>
  <c r="G184" i="63"/>
  <c r="F184" i="63"/>
  <c r="S182" i="63"/>
  <c r="F185" i="64" s="1"/>
  <c r="S181" i="63"/>
  <c r="F184" i="64" s="1"/>
  <c r="S180" i="63"/>
  <c r="F183" i="64" s="1"/>
  <c r="S179" i="63"/>
  <c r="F182" i="64" s="1"/>
  <c r="S178" i="63"/>
  <c r="F181" i="64" s="1"/>
  <c r="S177" i="63"/>
  <c r="F180" i="64" s="1"/>
  <c r="S176" i="63"/>
  <c r="F179" i="64" s="1"/>
  <c r="S175" i="63"/>
  <c r="F178" i="64" s="1"/>
  <c r="S174" i="63"/>
  <c r="F177" i="64" s="1"/>
  <c r="R173" i="63"/>
  <c r="Q173" i="63"/>
  <c r="P173" i="63"/>
  <c r="O173" i="63"/>
  <c r="N173" i="63"/>
  <c r="M173" i="63"/>
  <c r="L173" i="63"/>
  <c r="K173" i="63"/>
  <c r="J173" i="63"/>
  <c r="I173" i="63"/>
  <c r="H173" i="63"/>
  <c r="G173" i="63"/>
  <c r="F173" i="63"/>
  <c r="S171" i="63"/>
  <c r="F174" i="64" s="1"/>
  <c r="S170" i="63"/>
  <c r="F173" i="64" s="1"/>
  <c r="S169" i="63"/>
  <c r="F172" i="64" s="1"/>
  <c r="S168" i="63"/>
  <c r="F171" i="64" s="1"/>
  <c r="S167" i="63"/>
  <c r="F170" i="64" s="1"/>
  <c r="S166" i="63"/>
  <c r="F169" i="64" s="1"/>
  <c r="R165" i="63"/>
  <c r="O16" i="65" s="1"/>
  <c r="Q165" i="63"/>
  <c r="N16" i="65" s="1"/>
  <c r="P165" i="63"/>
  <c r="M16" i="65" s="1"/>
  <c r="O165" i="63"/>
  <c r="L16" i="65" s="1"/>
  <c r="N165" i="63"/>
  <c r="K16" i="65" s="1"/>
  <c r="M165" i="63"/>
  <c r="J16" i="65" s="1"/>
  <c r="L165" i="63"/>
  <c r="I16" i="65" s="1"/>
  <c r="K165" i="63"/>
  <c r="H16" i="65" s="1"/>
  <c r="J165" i="63"/>
  <c r="G16" i="65" s="1"/>
  <c r="I165" i="63"/>
  <c r="F16" i="65" s="1"/>
  <c r="H165" i="63"/>
  <c r="E16" i="65" s="1"/>
  <c r="G165" i="63"/>
  <c r="D16" i="65" s="1"/>
  <c r="F165" i="63"/>
  <c r="C16" i="65" s="1"/>
  <c r="S163" i="63"/>
  <c r="F166" i="64" s="1"/>
  <c r="S162" i="63"/>
  <c r="F165" i="64" s="1"/>
  <c r="S161" i="63"/>
  <c r="F164" i="64" s="1"/>
  <c r="S160" i="63"/>
  <c r="F163" i="64" s="1"/>
  <c r="S159" i="63"/>
  <c r="F162" i="64" s="1"/>
  <c r="S158" i="63"/>
  <c r="F161" i="64" s="1"/>
  <c r="S157" i="63"/>
  <c r="F160" i="64" s="1"/>
  <c r="S156" i="63"/>
  <c r="F159" i="64" s="1"/>
  <c r="S155" i="63"/>
  <c r="F158" i="64" s="1"/>
  <c r="S154" i="63"/>
  <c r="F157" i="64" s="1"/>
  <c r="R153" i="63"/>
  <c r="Q153" i="63"/>
  <c r="P153" i="63"/>
  <c r="O153" i="63"/>
  <c r="N153" i="63"/>
  <c r="M153" i="63"/>
  <c r="L153" i="63"/>
  <c r="K153" i="63"/>
  <c r="J153" i="63"/>
  <c r="I153" i="63"/>
  <c r="H153" i="63"/>
  <c r="G153" i="63"/>
  <c r="F153" i="63"/>
  <c r="S151" i="63"/>
  <c r="F154" i="64" s="1"/>
  <c r="S150" i="63"/>
  <c r="F153" i="64" s="1"/>
  <c r="S149" i="63"/>
  <c r="F152" i="64" s="1"/>
  <c r="S148" i="63"/>
  <c r="F151" i="64" s="1"/>
  <c r="S147" i="63"/>
  <c r="F150" i="64" s="1"/>
  <c r="S146" i="63"/>
  <c r="F149" i="64" s="1"/>
  <c r="S145" i="63"/>
  <c r="F148" i="64" s="1"/>
  <c r="S144" i="63"/>
  <c r="F147" i="64" s="1"/>
  <c r="R143" i="63"/>
  <c r="Q143" i="63"/>
  <c r="P143" i="63"/>
  <c r="O143" i="63"/>
  <c r="N143" i="63"/>
  <c r="M143" i="63"/>
  <c r="L143" i="63"/>
  <c r="K143" i="63"/>
  <c r="J143" i="63"/>
  <c r="H143" i="63"/>
  <c r="G143" i="63"/>
  <c r="F143" i="63"/>
  <c r="S141" i="63"/>
  <c r="F144" i="64" s="1"/>
  <c r="S140" i="63"/>
  <c r="F143" i="64" s="1"/>
  <c r="S139" i="63"/>
  <c r="F142" i="64" s="1"/>
  <c r="S138" i="63"/>
  <c r="F141" i="64" s="1"/>
  <c r="S137" i="63"/>
  <c r="F140" i="64" s="1"/>
  <c r="S136" i="63"/>
  <c r="F139" i="64" s="1"/>
  <c r="S135" i="63"/>
  <c r="F138" i="64" s="1"/>
  <c r="S134" i="63"/>
  <c r="F137" i="64" s="1"/>
  <c r="R133" i="63"/>
  <c r="O14" i="65" s="1"/>
  <c r="Q133" i="63"/>
  <c r="N14" i="65" s="1"/>
  <c r="P133" i="63"/>
  <c r="M14" i="65" s="1"/>
  <c r="O133" i="63"/>
  <c r="L14" i="65" s="1"/>
  <c r="N133" i="63"/>
  <c r="K14" i="65" s="1"/>
  <c r="M133" i="63"/>
  <c r="J14" i="65" s="1"/>
  <c r="L133" i="63"/>
  <c r="I14" i="65" s="1"/>
  <c r="K133" i="63"/>
  <c r="H14" i="65" s="1"/>
  <c r="J133" i="63"/>
  <c r="G14" i="65" s="1"/>
  <c r="I133" i="63"/>
  <c r="F14" i="65" s="1"/>
  <c r="H133" i="63"/>
  <c r="E14" i="65" s="1"/>
  <c r="G133" i="63"/>
  <c r="D14" i="65" s="1"/>
  <c r="F133" i="63"/>
  <c r="C14" i="65" s="1"/>
  <c r="S131" i="63"/>
  <c r="F134" i="64" s="1"/>
  <c r="S130" i="63"/>
  <c r="F133" i="64" s="1"/>
  <c r="S129" i="63"/>
  <c r="F132" i="64" s="1"/>
  <c r="S128" i="63"/>
  <c r="F131" i="64" s="1"/>
  <c r="S127" i="63"/>
  <c r="F130" i="64" s="1"/>
  <c r="S126" i="63"/>
  <c r="F129" i="64" s="1"/>
  <c r="S125" i="63"/>
  <c r="F128" i="64" s="1"/>
  <c r="S124" i="63"/>
  <c r="F127" i="64" s="1"/>
  <c r="R123" i="63"/>
  <c r="O12" i="65" s="1"/>
  <c r="Q123" i="63"/>
  <c r="N12" i="65" s="1"/>
  <c r="P123" i="63"/>
  <c r="M12" i="65" s="1"/>
  <c r="O123" i="63"/>
  <c r="L12" i="65" s="1"/>
  <c r="N123" i="63"/>
  <c r="K12" i="65" s="1"/>
  <c r="M123" i="63"/>
  <c r="J12" i="65" s="1"/>
  <c r="L123" i="63"/>
  <c r="I12" i="65" s="1"/>
  <c r="K123" i="63"/>
  <c r="H12" i="65" s="1"/>
  <c r="J123" i="63"/>
  <c r="G12" i="65" s="1"/>
  <c r="I123" i="63"/>
  <c r="F12" i="65" s="1"/>
  <c r="H123" i="63"/>
  <c r="E12" i="65" s="1"/>
  <c r="G123" i="63"/>
  <c r="D12" i="65" s="1"/>
  <c r="F123" i="63"/>
  <c r="C12" i="65" s="1"/>
  <c r="S118" i="63"/>
  <c r="F121" i="64" s="1"/>
  <c r="S117" i="63"/>
  <c r="F120" i="64" s="1"/>
  <c r="S116" i="63"/>
  <c r="F119" i="64" s="1"/>
  <c r="S115" i="63"/>
  <c r="F118" i="64" s="1"/>
  <c r="S114" i="63"/>
  <c r="F117" i="64" s="1"/>
  <c r="S113" i="63"/>
  <c r="F116" i="64" s="1"/>
  <c r="S112" i="63"/>
  <c r="F115" i="64" s="1"/>
  <c r="S111" i="63"/>
  <c r="F114" i="64" s="1"/>
  <c r="S110" i="63"/>
  <c r="F113" i="64" s="1"/>
  <c r="S109" i="63"/>
  <c r="F112" i="64" s="1"/>
  <c r="R108" i="63"/>
  <c r="Q108" i="63"/>
  <c r="P108" i="63"/>
  <c r="O108" i="63"/>
  <c r="N108" i="63"/>
  <c r="M108" i="63"/>
  <c r="L108" i="63"/>
  <c r="K108" i="63"/>
  <c r="J108" i="63"/>
  <c r="I108" i="63"/>
  <c r="H108" i="63"/>
  <c r="G108" i="63"/>
  <c r="F108" i="63"/>
  <c r="S106" i="63"/>
  <c r="F109" i="64" s="1"/>
  <c r="S105" i="63"/>
  <c r="F108" i="64" s="1"/>
  <c r="S104" i="63"/>
  <c r="F107" i="64" s="1"/>
  <c r="S103" i="63"/>
  <c r="F106" i="64" s="1"/>
  <c r="S102" i="63"/>
  <c r="F105" i="64" s="1"/>
  <c r="S101" i="63"/>
  <c r="F104" i="64" s="1"/>
  <c r="S100" i="63"/>
  <c r="F103" i="64" s="1"/>
  <c r="S99" i="63"/>
  <c r="F102" i="64" s="1"/>
  <c r="S98" i="63"/>
  <c r="F101" i="64" s="1"/>
  <c r="R97" i="63"/>
  <c r="Q97" i="63"/>
  <c r="P97" i="63"/>
  <c r="O97" i="63"/>
  <c r="N97" i="63"/>
  <c r="M97" i="63"/>
  <c r="L97" i="63"/>
  <c r="K97" i="63"/>
  <c r="J97" i="63"/>
  <c r="I97" i="63"/>
  <c r="H97" i="63"/>
  <c r="G97" i="63"/>
  <c r="F97" i="63"/>
  <c r="S95" i="63"/>
  <c r="F98" i="64" s="1"/>
  <c r="S94" i="63"/>
  <c r="F97" i="64" s="1"/>
  <c r="S93" i="63"/>
  <c r="F96" i="64" s="1"/>
  <c r="S92" i="63"/>
  <c r="F95" i="64" s="1"/>
  <c r="S91" i="63"/>
  <c r="F94" i="64" s="1"/>
  <c r="S90" i="63"/>
  <c r="F93" i="64" s="1"/>
  <c r="S89" i="63"/>
  <c r="F92" i="64" s="1"/>
  <c r="S88" i="63"/>
  <c r="F91" i="64" s="1"/>
  <c r="S87" i="63"/>
  <c r="R86" i="63"/>
  <c r="Q86" i="63"/>
  <c r="P86" i="63"/>
  <c r="O86" i="63"/>
  <c r="N86" i="63"/>
  <c r="M86" i="63"/>
  <c r="L86" i="63"/>
  <c r="K86" i="63"/>
  <c r="J86" i="63"/>
  <c r="I86" i="63"/>
  <c r="H86" i="63"/>
  <c r="G86" i="63"/>
  <c r="F86" i="63"/>
  <c r="S84" i="63"/>
  <c r="F87" i="64" s="1"/>
  <c r="S83" i="63"/>
  <c r="F86" i="64" s="1"/>
  <c r="S82" i="63"/>
  <c r="F85" i="64" s="1"/>
  <c r="S81" i="63"/>
  <c r="F84" i="64" s="1"/>
  <c r="R80" i="63"/>
  <c r="Q80" i="63"/>
  <c r="P80" i="63"/>
  <c r="O80" i="63"/>
  <c r="N80" i="63"/>
  <c r="M80" i="63"/>
  <c r="L80" i="63"/>
  <c r="K80" i="63"/>
  <c r="J80" i="63"/>
  <c r="I80" i="63"/>
  <c r="H80" i="63"/>
  <c r="G80" i="63"/>
  <c r="F80" i="63"/>
  <c r="S78" i="63"/>
  <c r="F81" i="64" s="1"/>
  <c r="S77" i="63"/>
  <c r="F80" i="64" s="1"/>
  <c r="S76" i="63"/>
  <c r="F79" i="64" s="1"/>
  <c r="S75" i="63"/>
  <c r="F78" i="64" s="1"/>
  <c r="S74" i="63"/>
  <c r="F77" i="64" s="1"/>
  <c r="S73" i="63"/>
  <c r="F76" i="64" s="1"/>
  <c r="S72" i="63"/>
  <c r="F75" i="64" s="1"/>
  <c r="S71" i="63"/>
  <c r="F74" i="64" s="1"/>
  <c r="S70" i="63"/>
  <c r="F73" i="64" s="1"/>
  <c r="R69" i="63"/>
  <c r="Q69" i="63"/>
  <c r="P69" i="63"/>
  <c r="O69" i="63"/>
  <c r="N69" i="63"/>
  <c r="M69" i="63"/>
  <c r="L69" i="63"/>
  <c r="K69" i="63"/>
  <c r="J69" i="63"/>
  <c r="I69" i="63"/>
  <c r="H69" i="63"/>
  <c r="G69" i="63"/>
  <c r="F69" i="63"/>
  <c r="S66" i="63"/>
  <c r="F69" i="64" s="1"/>
  <c r="S65" i="63"/>
  <c r="F68" i="64" s="1"/>
  <c r="S64" i="63"/>
  <c r="F67" i="64" s="1"/>
  <c r="S63" i="63"/>
  <c r="F66" i="64" s="1"/>
  <c r="R62" i="63"/>
  <c r="Q62" i="63"/>
  <c r="P62" i="63"/>
  <c r="O62" i="63"/>
  <c r="N62" i="63"/>
  <c r="M62" i="63"/>
  <c r="L62" i="63"/>
  <c r="K62" i="63"/>
  <c r="J62" i="63"/>
  <c r="I62" i="63"/>
  <c r="H62" i="63"/>
  <c r="G62" i="63"/>
  <c r="F62" i="63"/>
  <c r="S60" i="63"/>
  <c r="F63" i="64" s="1"/>
  <c r="S59" i="63"/>
  <c r="F62" i="64" s="1"/>
  <c r="S58" i="63"/>
  <c r="F61" i="64" s="1"/>
  <c r="S57" i="63"/>
  <c r="F60" i="64" s="1"/>
  <c r="S56" i="63"/>
  <c r="F59" i="64" s="1"/>
  <c r="S55" i="63"/>
  <c r="F58" i="64" s="1"/>
  <c r="R54" i="63"/>
  <c r="Q54" i="63"/>
  <c r="P54" i="63"/>
  <c r="O54" i="63"/>
  <c r="N54" i="63"/>
  <c r="M54" i="63"/>
  <c r="L54" i="63"/>
  <c r="K54" i="63"/>
  <c r="J54" i="63"/>
  <c r="I54" i="63"/>
  <c r="H54" i="63"/>
  <c r="G54" i="63"/>
  <c r="F54" i="63"/>
  <c r="S52" i="63"/>
  <c r="F55" i="64" s="1"/>
  <c r="S51" i="63"/>
  <c r="F54" i="64" s="1"/>
  <c r="S50" i="63"/>
  <c r="F53" i="64" s="1"/>
  <c r="S49" i="63"/>
  <c r="F52" i="64" s="1"/>
  <c r="R48" i="63"/>
  <c r="Q48" i="63"/>
  <c r="P48" i="63"/>
  <c r="O48" i="63"/>
  <c r="N48" i="63"/>
  <c r="M48" i="63"/>
  <c r="L48" i="63"/>
  <c r="K48" i="63"/>
  <c r="J48" i="63"/>
  <c r="I48" i="63"/>
  <c r="H48" i="63"/>
  <c r="G48" i="63"/>
  <c r="F48" i="63"/>
  <c r="S46" i="63"/>
  <c r="F49" i="64" s="1"/>
  <c r="S45" i="63"/>
  <c r="F48" i="64" s="1"/>
  <c r="S44" i="63"/>
  <c r="F47" i="64" s="1"/>
  <c r="S43" i="63"/>
  <c r="F46" i="64" s="1"/>
  <c r="S42" i="63"/>
  <c r="F45" i="64" s="1"/>
  <c r="R41" i="63"/>
  <c r="Q41" i="63"/>
  <c r="P41" i="63"/>
  <c r="O41" i="63"/>
  <c r="N41" i="63"/>
  <c r="M41" i="63"/>
  <c r="L41" i="63"/>
  <c r="K41" i="63"/>
  <c r="J41" i="63"/>
  <c r="I41" i="63"/>
  <c r="H41" i="63"/>
  <c r="G41" i="63"/>
  <c r="F41" i="63"/>
  <c r="S39" i="63"/>
  <c r="F42" i="64" s="1"/>
  <c r="S38" i="63"/>
  <c r="F41" i="64" s="1"/>
  <c r="S37" i="63"/>
  <c r="F40" i="64" s="1"/>
  <c r="S36" i="63"/>
  <c r="F39" i="64" s="1"/>
  <c r="S35" i="63"/>
  <c r="F38" i="64" s="1"/>
  <c r="S34" i="63"/>
  <c r="F37" i="64" s="1"/>
  <c r="S33" i="63"/>
  <c r="F36" i="64" s="1"/>
  <c r="S32" i="63"/>
  <c r="F35" i="64" s="1"/>
  <c r="R31" i="63"/>
  <c r="Q31" i="63"/>
  <c r="P31" i="63"/>
  <c r="O31" i="63"/>
  <c r="N31" i="63"/>
  <c r="M31" i="63"/>
  <c r="L31" i="63"/>
  <c r="K31" i="63"/>
  <c r="J31" i="63"/>
  <c r="I31" i="63"/>
  <c r="H31" i="63"/>
  <c r="G31" i="63"/>
  <c r="F31" i="63"/>
  <c r="S29" i="63"/>
  <c r="F32" i="64" s="1"/>
  <c r="S28" i="63"/>
  <c r="F31" i="64" s="1"/>
  <c r="S27" i="63"/>
  <c r="F30" i="64" s="1"/>
  <c r="S26" i="63"/>
  <c r="F29" i="64" s="1"/>
  <c r="R25" i="63"/>
  <c r="Q25" i="63"/>
  <c r="P25" i="63"/>
  <c r="O25" i="63"/>
  <c r="N25" i="63"/>
  <c r="M25" i="63"/>
  <c r="L25" i="63"/>
  <c r="K25" i="63"/>
  <c r="J25" i="63"/>
  <c r="I25" i="63"/>
  <c r="H25" i="63"/>
  <c r="G25" i="63"/>
  <c r="F25" i="63"/>
  <c r="S23" i="63"/>
  <c r="F26" i="64" s="1"/>
  <c r="S22" i="63"/>
  <c r="F25" i="64" s="1"/>
  <c r="S21" i="63"/>
  <c r="F24" i="64" s="1"/>
  <c r="S20" i="63"/>
  <c r="F23" i="64" s="1"/>
  <c r="S19" i="63"/>
  <c r="F22" i="64" s="1"/>
  <c r="S18" i="63"/>
  <c r="F21" i="64" s="1"/>
  <c r="S17" i="63"/>
  <c r="F20" i="64" s="1"/>
  <c r="S16" i="63"/>
  <c r="F19" i="64" s="1"/>
  <c r="R15" i="63"/>
  <c r="Q15" i="63"/>
  <c r="P15" i="63"/>
  <c r="O15" i="63"/>
  <c r="N15" i="63"/>
  <c r="M15" i="63"/>
  <c r="L15" i="63"/>
  <c r="K15" i="63"/>
  <c r="J15" i="63"/>
  <c r="I15" i="63"/>
  <c r="H15" i="63"/>
  <c r="G15" i="63"/>
  <c r="F15" i="63"/>
  <c r="S13" i="63"/>
  <c r="F16" i="64" s="1"/>
  <c r="S12" i="63"/>
  <c r="F15" i="64" s="1"/>
  <c r="S11" i="63"/>
  <c r="F14" i="64" s="1"/>
  <c r="S10" i="63"/>
  <c r="F13" i="64" s="1"/>
  <c r="S9" i="63"/>
  <c r="F12" i="64" s="1"/>
  <c r="S8" i="63"/>
  <c r="F11" i="64" s="1"/>
  <c r="R7" i="63"/>
  <c r="Q7" i="63"/>
  <c r="P7" i="63"/>
  <c r="O7" i="63"/>
  <c r="N7" i="63"/>
  <c r="M7" i="63"/>
  <c r="L7" i="63"/>
  <c r="K7" i="63"/>
  <c r="J7" i="63"/>
  <c r="I7" i="63"/>
  <c r="H7" i="63"/>
  <c r="G7" i="63"/>
  <c r="F7" i="63"/>
  <c r="Q158" i="55"/>
  <c r="P158" i="55"/>
  <c r="O158" i="55"/>
  <c r="N158" i="55"/>
  <c r="M158" i="55"/>
  <c r="L158" i="55"/>
  <c r="K158" i="55"/>
  <c r="J158" i="55"/>
  <c r="I158" i="55"/>
  <c r="H158" i="55"/>
  <c r="G158" i="55"/>
  <c r="F158" i="55"/>
  <c r="E158" i="55"/>
  <c r="R156" i="55"/>
  <c r="E159" i="56" s="1"/>
  <c r="R155" i="55"/>
  <c r="E158" i="56" s="1"/>
  <c r="Q154" i="55"/>
  <c r="P154" i="55"/>
  <c r="O154" i="55"/>
  <c r="N154" i="55"/>
  <c r="M154" i="55"/>
  <c r="L154" i="55"/>
  <c r="K154" i="55"/>
  <c r="J154" i="55"/>
  <c r="I154" i="55"/>
  <c r="H154" i="55"/>
  <c r="G154" i="55"/>
  <c r="F154" i="55"/>
  <c r="E154" i="55"/>
  <c r="R149" i="55"/>
  <c r="E152" i="56" s="1"/>
  <c r="R148" i="55"/>
  <c r="E151" i="56" s="1"/>
  <c r="R147" i="55"/>
  <c r="E150" i="56" s="1"/>
  <c r="R146" i="55"/>
  <c r="E149" i="56" s="1"/>
  <c r="R145" i="55"/>
  <c r="E148" i="56" s="1"/>
  <c r="R144" i="55"/>
  <c r="E147" i="56" s="1"/>
  <c r="R143" i="55"/>
  <c r="E146" i="56" s="1"/>
  <c r="R142" i="55"/>
  <c r="E145" i="56" s="1"/>
  <c r="Q141" i="55"/>
  <c r="P141" i="55"/>
  <c r="O141" i="55"/>
  <c r="N141" i="55"/>
  <c r="M141" i="55"/>
  <c r="L141" i="55"/>
  <c r="K141" i="55"/>
  <c r="J141" i="55"/>
  <c r="I141" i="55"/>
  <c r="H141" i="55"/>
  <c r="G141" i="55"/>
  <c r="F141" i="55"/>
  <c r="E141" i="55"/>
  <c r="R139" i="55"/>
  <c r="E142" i="56" s="1"/>
  <c r="R138" i="55"/>
  <c r="E141" i="56" s="1"/>
  <c r="R137" i="55"/>
  <c r="E140" i="56" s="1"/>
  <c r="R136" i="55"/>
  <c r="E139" i="56" s="1"/>
  <c r="R135" i="55"/>
  <c r="E138" i="56" s="1"/>
  <c r="R134" i="55"/>
  <c r="E137" i="56" s="1"/>
  <c r="Q132" i="55"/>
  <c r="P132" i="55"/>
  <c r="O132" i="55"/>
  <c r="N132" i="55"/>
  <c r="M132" i="55"/>
  <c r="L132" i="55"/>
  <c r="K132" i="55"/>
  <c r="J132" i="55"/>
  <c r="I132" i="55"/>
  <c r="H132" i="55"/>
  <c r="G132" i="55"/>
  <c r="F132" i="55"/>
  <c r="E132" i="55"/>
  <c r="R130" i="55"/>
  <c r="Q129" i="55"/>
  <c r="P129" i="55"/>
  <c r="O129" i="55"/>
  <c r="N129" i="55"/>
  <c r="M129" i="55"/>
  <c r="L129" i="55"/>
  <c r="K129" i="55"/>
  <c r="J129" i="55"/>
  <c r="I129" i="55"/>
  <c r="H129" i="55"/>
  <c r="G129" i="55"/>
  <c r="F129" i="55"/>
  <c r="E129" i="55"/>
  <c r="R127" i="55"/>
  <c r="E130" i="56" s="1"/>
  <c r="R126" i="55"/>
  <c r="E129" i="56" s="1"/>
  <c r="R125" i="55"/>
  <c r="E128" i="56" s="1"/>
  <c r="R124" i="55"/>
  <c r="E127" i="56" s="1"/>
  <c r="R123" i="55"/>
  <c r="E126" i="56" s="1"/>
  <c r="Q122" i="55"/>
  <c r="P122" i="55"/>
  <c r="O122" i="55"/>
  <c r="N122" i="55"/>
  <c r="M122" i="55"/>
  <c r="L122" i="55"/>
  <c r="K122" i="55"/>
  <c r="J122" i="55"/>
  <c r="I122" i="55"/>
  <c r="H122" i="55"/>
  <c r="G122" i="55"/>
  <c r="F122" i="55"/>
  <c r="E122" i="55"/>
  <c r="R120" i="55"/>
  <c r="E123" i="56" s="1"/>
  <c r="R119" i="55"/>
  <c r="E122" i="56" s="1"/>
  <c r="Q118" i="55"/>
  <c r="P118" i="55"/>
  <c r="O118" i="55"/>
  <c r="N118" i="55"/>
  <c r="M118" i="55"/>
  <c r="L118" i="55"/>
  <c r="K118" i="55"/>
  <c r="J118" i="55"/>
  <c r="I118" i="55"/>
  <c r="H118" i="55"/>
  <c r="G118" i="55"/>
  <c r="F118" i="55"/>
  <c r="E118" i="55"/>
  <c r="R116" i="55"/>
  <c r="E119" i="56" s="1"/>
  <c r="R115" i="55"/>
  <c r="E118" i="56" s="1"/>
  <c r="R114" i="55"/>
  <c r="E117" i="56" s="1"/>
  <c r="R113" i="55"/>
  <c r="E116" i="56" s="1"/>
  <c r="R112" i="55"/>
  <c r="E115" i="56" s="1"/>
  <c r="R111" i="55"/>
  <c r="E114" i="56" s="1"/>
  <c r="R110" i="55"/>
  <c r="E113" i="56" s="1"/>
  <c r="R109" i="55"/>
  <c r="E112" i="56" s="1"/>
  <c r="R108" i="55"/>
  <c r="E111" i="56" s="1"/>
  <c r="R107" i="55"/>
  <c r="E110" i="56" s="1"/>
  <c r="Q106" i="55"/>
  <c r="P106" i="55"/>
  <c r="O106" i="55"/>
  <c r="N106" i="55"/>
  <c r="M106" i="55"/>
  <c r="L106" i="55"/>
  <c r="K106" i="55"/>
  <c r="J106" i="55"/>
  <c r="I106" i="55"/>
  <c r="H106" i="55"/>
  <c r="G106" i="55"/>
  <c r="F106" i="55"/>
  <c r="E106" i="55"/>
  <c r="R104" i="55"/>
  <c r="E107" i="56" s="1"/>
  <c r="R103" i="55"/>
  <c r="E106" i="56" s="1"/>
  <c r="R102" i="55"/>
  <c r="E105" i="56" s="1"/>
  <c r="R101" i="55"/>
  <c r="E104" i="56" s="1"/>
  <c r="Q100" i="55"/>
  <c r="P100" i="55"/>
  <c r="O100" i="55"/>
  <c r="N100" i="55"/>
  <c r="M100" i="55"/>
  <c r="L100" i="55"/>
  <c r="K100" i="55"/>
  <c r="J100" i="55"/>
  <c r="I100" i="55"/>
  <c r="H100" i="55"/>
  <c r="G100" i="55"/>
  <c r="F100" i="55"/>
  <c r="E100" i="55"/>
  <c r="R98" i="55"/>
  <c r="E101" i="56" s="1"/>
  <c r="R97" i="55"/>
  <c r="E100" i="56" s="1"/>
  <c r="R96" i="55"/>
  <c r="E99" i="56" s="1"/>
  <c r="R95" i="55"/>
  <c r="E98" i="56" s="1"/>
  <c r="R94" i="55"/>
  <c r="E97" i="56" s="1"/>
  <c r="R93" i="55"/>
  <c r="E96" i="56" s="1"/>
  <c r="R92" i="55"/>
  <c r="E95" i="56" s="1"/>
  <c r="R91" i="55"/>
  <c r="E94" i="56" s="1"/>
  <c r="R90" i="55"/>
  <c r="E93" i="56" s="1"/>
  <c r="Q89" i="55"/>
  <c r="P89" i="55"/>
  <c r="O89" i="55"/>
  <c r="N89" i="55"/>
  <c r="M89" i="55"/>
  <c r="L89" i="55"/>
  <c r="K89" i="55"/>
  <c r="J89" i="55"/>
  <c r="I89" i="55"/>
  <c r="H89" i="55"/>
  <c r="G89" i="55"/>
  <c r="F89" i="55"/>
  <c r="E89" i="55"/>
  <c r="R87" i="55"/>
  <c r="E90" i="56" s="1"/>
  <c r="R86" i="55"/>
  <c r="E89" i="56" s="1"/>
  <c r="R85" i="55"/>
  <c r="E88" i="56" s="1"/>
  <c r="R84" i="55"/>
  <c r="E87" i="56" s="1"/>
  <c r="Q83" i="55"/>
  <c r="P83" i="55"/>
  <c r="O83" i="55"/>
  <c r="N83" i="55"/>
  <c r="M83" i="55"/>
  <c r="L83" i="55"/>
  <c r="K83" i="55"/>
  <c r="J83" i="55"/>
  <c r="I83" i="55"/>
  <c r="H83" i="55"/>
  <c r="G83" i="55"/>
  <c r="F83" i="55"/>
  <c r="E83" i="55"/>
  <c r="R81" i="55"/>
  <c r="E84" i="56" s="1"/>
  <c r="R80" i="55"/>
  <c r="E83" i="56" s="1"/>
  <c r="R79" i="55"/>
  <c r="E82" i="56" s="1"/>
  <c r="R78" i="55"/>
  <c r="E81" i="56" s="1"/>
  <c r="Q77" i="55"/>
  <c r="P77" i="55"/>
  <c r="O77" i="55"/>
  <c r="N77" i="55"/>
  <c r="M77" i="55"/>
  <c r="L77" i="55"/>
  <c r="K77" i="55"/>
  <c r="J77" i="55"/>
  <c r="I77" i="55"/>
  <c r="H77" i="55"/>
  <c r="G77" i="55"/>
  <c r="F77" i="55"/>
  <c r="E77" i="55"/>
  <c r="R74" i="55"/>
  <c r="R73" i="55"/>
  <c r="E76" i="56" s="1"/>
  <c r="R72" i="55"/>
  <c r="E75" i="56" s="1"/>
  <c r="R71" i="55"/>
  <c r="E74" i="56" s="1"/>
  <c r="R70" i="55"/>
  <c r="E73" i="56" s="1"/>
  <c r="R69" i="55"/>
  <c r="E72" i="56" s="1"/>
  <c r="R68" i="55"/>
  <c r="E71" i="56" s="1"/>
  <c r="R67" i="55"/>
  <c r="E70" i="56" s="1"/>
  <c r="R66" i="55"/>
  <c r="E69" i="56" s="1"/>
  <c r="Q65" i="55"/>
  <c r="Q163" i="55" s="1"/>
  <c r="P65" i="55"/>
  <c r="P163" i="55" s="1"/>
  <c r="O65" i="55"/>
  <c r="O163" i="55" s="1"/>
  <c r="N65" i="55"/>
  <c r="N163" i="55" s="1"/>
  <c r="M65" i="55"/>
  <c r="L65" i="55"/>
  <c r="K65" i="55"/>
  <c r="K163" i="55" s="1"/>
  <c r="J65" i="55"/>
  <c r="I65" i="55"/>
  <c r="H65" i="55"/>
  <c r="G65" i="55"/>
  <c r="F65" i="55"/>
  <c r="E65" i="55"/>
  <c r="R63" i="55"/>
  <c r="E66" i="56" s="1"/>
  <c r="R62" i="55"/>
  <c r="E65" i="56" s="1"/>
  <c r="R61" i="55"/>
  <c r="E64" i="56" s="1"/>
  <c r="R60" i="55"/>
  <c r="E63" i="56" s="1"/>
  <c r="R59" i="55"/>
  <c r="E62" i="56" s="1"/>
  <c r="R58" i="55"/>
  <c r="E61" i="56" s="1"/>
  <c r="Q57" i="55"/>
  <c r="P57" i="55"/>
  <c r="O57" i="55"/>
  <c r="N57" i="55"/>
  <c r="M57" i="55"/>
  <c r="L57" i="55"/>
  <c r="K57" i="55"/>
  <c r="J57" i="55"/>
  <c r="I57" i="55"/>
  <c r="H57" i="55"/>
  <c r="G57" i="55"/>
  <c r="F57" i="55"/>
  <c r="E57" i="55"/>
  <c r="R55" i="55"/>
  <c r="Q54" i="55"/>
  <c r="P54" i="55"/>
  <c r="O54" i="55"/>
  <c r="N54" i="55"/>
  <c r="M54" i="55"/>
  <c r="L54" i="55"/>
  <c r="K54" i="55"/>
  <c r="J54" i="55"/>
  <c r="I54" i="55"/>
  <c r="H54" i="55"/>
  <c r="G54" i="55"/>
  <c r="F54" i="55"/>
  <c r="E54" i="55"/>
  <c r="R52" i="55"/>
  <c r="E55" i="56" s="1"/>
  <c r="R51" i="55"/>
  <c r="E54" i="56" s="1"/>
  <c r="R50" i="55"/>
  <c r="E53" i="56" s="1"/>
  <c r="R49" i="55"/>
  <c r="E52" i="56" s="1"/>
  <c r="R48" i="55"/>
  <c r="E51" i="56" s="1"/>
  <c r="R47" i="55"/>
  <c r="E50" i="56" s="1"/>
  <c r="R46" i="55"/>
  <c r="E49" i="56" s="1"/>
  <c r="R45" i="55"/>
  <c r="E48" i="56" s="1"/>
  <c r="Q44" i="55"/>
  <c r="P44" i="55"/>
  <c r="O44" i="55"/>
  <c r="N44" i="55"/>
  <c r="M44" i="55"/>
  <c r="L44" i="55"/>
  <c r="K44" i="55"/>
  <c r="J44" i="55"/>
  <c r="I44" i="55"/>
  <c r="H44" i="55"/>
  <c r="G44" i="55"/>
  <c r="F44" i="55"/>
  <c r="E44" i="55"/>
  <c r="R40" i="55"/>
  <c r="Q40" i="55"/>
  <c r="P40" i="55"/>
  <c r="O40" i="55"/>
  <c r="N40" i="55"/>
  <c r="M40" i="55"/>
  <c r="L40" i="55"/>
  <c r="K40" i="55"/>
  <c r="J40" i="55"/>
  <c r="I40" i="55"/>
  <c r="H40" i="55"/>
  <c r="G40" i="55"/>
  <c r="F40" i="55"/>
  <c r="E40" i="55"/>
  <c r="R38" i="55"/>
  <c r="E41" i="56" s="1"/>
  <c r="R37" i="55"/>
  <c r="E40" i="56" s="1"/>
  <c r="R36" i="55"/>
  <c r="E39" i="56" s="1"/>
  <c r="R35" i="55"/>
  <c r="E38" i="56" s="1"/>
  <c r="R34" i="55"/>
  <c r="E37" i="56" s="1"/>
  <c r="R33" i="55"/>
  <c r="Q32" i="55"/>
  <c r="P32" i="55"/>
  <c r="O32" i="55"/>
  <c r="N32" i="55"/>
  <c r="M32" i="55"/>
  <c r="L32" i="55"/>
  <c r="K32" i="55"/>
  <c r="C13" i="60" s="1"/>
  <c r="J32" i="55"/>
  <c r="I32" i="55"/>
  <c r="H32" i="55"/>
  <c r="G32" i="55"/>
  <c r="F32" i="55"/>
  <c r="E32" i="55"/>
  <c r="R30" i="55"/>
  <c r="E33" i="56" s="1"/>
  <c r="R29" i="55"/>
  <c r="E32" i="56" s="1"/>
  <c r="Q28" i="55"/>
  <c r="P28" i="55"/>
  <c r="O28" i="55"/>
  <c r="N28" i="55"/>
  <c r="M28" i="55"/>
  <c r="L28" i="55"/>
  <c r="K28" i="55"/>
  <c r="J28" i="55"/>
  <c r="I28" i="55"/>
  <c r="H28" i="55"/>
  <c r="G28" i="55"/>
  <c r="F28" i="55"/>
  <c r="E28" i="55"/>
  <c r="R26" i="55"/>
  <c r="E29" i="56" s="1"/>
  <c r="R25" i="55"/>
  <c r="E28" i="56" s="1"/>
  <c r="R24" i="55"/>
  <c r="E27" i="56" s="1"/>
  <c r="R23" i="55"/>
  <c r="E26" i="56" s="1"/>
  <c r="R22" i="55"/>
  <c r="E25" i="56" s="1"/>
  <c r="R21" i="55"/>
  <c r="E24" i="56" s="1"/>
  <c r="R20" i="55"/>
  <c r="E23" i="56" s="1"/>
  <c r="R19" i="55"/>
  <c r="E22" i="56" s="1"/>
  <c r="R18" i="55"/>
  <c r="E21" i="56" s="1"/>
  <c r="R17" i="55"/>
  <c r="E20" i="56" s="1"/>
  <c r="Q16" i="55"/>
  <c r="P16" i="55"/>
  <c r="O16" i="55"/>
  <c r="N16" i="55"/>
  <c r="M16" i="55"/>
  <c r="L16" i="55"/>
  <c r="K16" i="55"/>
  <c r="J16" i="55"/>
  <c r="I16" i="55"/>
  <c r="H16" i="55"/>
  <c r="G16" i="55"/>
  <c r="F16" i="55"/>
  <c r="E16" i="55"/>
  <c r="R14" i="55"/>
  <c r="E17" i="56" s="1"/>
  <c r="R13" i="55"/>
  <c r="E16" i="56" s="1"/>
  <c r="R12" i="55"/>
  <c r="E15" i="56" s="1"/>
  <c r="R11" i="55"/>
  <c r="E14" i="56" s="1"/>
  <c r="R10" i="55"/>
  <c r="E13" i="56" s="1"/>
  <c r="R9" i="55"/>
  <c r="E12" i="56" s="1"/>
  <c r="R8" i="55"/>
  <c r="E11" i="56" s="1"/>
  <c r="R7" i="55"/>
  <c r="E10" i="56" s="1"/>
  <c r="Q6" i="55"/>
  <c r="P6" i="55"/>
  <c r="O6" i="55"/>
  <c r="N6" i="55"/>
  <c r="M6" i="55"/>
  <c r="L6" i="55"/>
  <c r="K6" i="55"/>
  <c r="J6" i="55"/>
  <c r="I6" i="55"/>
  <c r="H6" i="55"/>
  <c r="G6" i="55"/>
  <c r="F6" i="55"/>
  <c r="E6" i="55"/>
  <c r="L163" i="55" l="1"/>
  <c r="I163" i="55"/>
  <c r="M163" i="55"/>
  <c r="U162" i="69"/>
  <c r="U163" i="69" s="1"/>
  <c r="N162" i="69"/>
  <c r="N163" i="69" s="1"/>
  <c r="AF165" i="69"/>
  <c r="O226" i="75"/>
  <c r="C8" i="78"/>
  <c r="AB162" i="69"/>
  <c r="AB163" i="69" s="1"/>
  <c r="X162" i="69"/>
  <c r="X163" i="69" s="1"/>
  <c r="H162" i="69"/>
  <c r="H163" i="69" s="1"/>
  <c r="Z162" i="69"/>
  <c r="Z163" i="69" s="1"/>
  <c r="AE226" i="75"/>
  <c r="C10" i="78"/>
  <c r="J162" i="69"/>
  <c r="J163" i="69" s="1"/>
  <c r="J8" i="77"/>
  <c r="E157" i="70"/>
  <c r="E144" i="70"/>
  <c r="C10" i="73"/>
  <c r="E35" i="70"/>
  <c r="C20" i="73"/>
  <c r="C20" i="74"/>
  <c r="C14" i="73"/>
  <c r="C9" i="73"/>
  <c r="AF76" i="69"/>
  <c r="E79" i="70" s="1"/>
  <c r="AF168" i="69"/>
  <c r="C10" i="74" s="1"/>
  <c r="Y162" i="69"/>
  <c r="Y163" i="69" s="1"/>
  <c r="S162" i="69"/>
  <c r="S163" i="69" s="1"/>
  <c r="M162" i="69"/>
  <c r="M163" i="69" s="1"/>
  <c r="I162" i="69"/>
  <c r="I163" i="69" s="1"/>
  <c r="AF5" i="69"/>
  <c r="E8" i="70" s="1"/>
  <c r="AF167" i="69"/>
  <c r="C9" i="74" s="1"/>
  <c r="W226" i="75"/>
  <c r="M226" i="75"/>
  <c r="U226" i="75"/>
  <c r="I226" i="75"/>
  <c r="C10" i="58"/>
  <c r="V162" i="69"/>
  <c r="V163" i="69" s="1"/>
  <c r="E19" i="56"/>
  <c r="E60" i="56"/>
  <c r="E86" i="56"/>
  <c r="E109" i="56"/>
  <c r="E125" i="56"/>
  <c r="E135" i="56"/>
  <c r="E157" i="56"/>
  <c r="F162" i="69"/>
  <c r="F163" i="69" s="1"/>
  <c r="E36" i="56"/>
  <c r="E35" i="56" s="1"/>
  <c r="R54" i="55"/>
  <c r="E58" i="56"/>
  <c r="E57" i="56" s="1"/>
  <c r="R129" i="55"/>
  <c r="E133" i="56"/>
  <c r="E132" i="56" s="1"/>
  <c r="E31" i="56"/>
  <c r="E47" i="56"/>
  <c r="E68" i="56"/>
  <c r="E80" i="56"/>
  <c r="E92" i="56"/>
  <c r="E103" i="56"/>
  <c r="E121" i="56"/>
  <c r="E144" i="56"/>
  <c r="E162" i="69"/>
  <c r="E163" i="69" s="1"/>
  <c r="P162" i="69"/>
  <c r="P163" i="69" s="1"/>
  <c r="AC226" i="75"/>
  <c r="L226" i="75"/>
  <c r="T162" i="69"/>
  <c r="T163" i="69" s="1"/>
  <c r="AE162" i="69"/>
  <c r="AE163" i="69" s="1"/>
  <c r="O162" i="69"/>
  <c r="O163" i="69" s="1"/>
  <c r="K226" i="75"/>
  <c r="S226" i="75"/>
  <c r="AD162" i="69"/>
  <c r="AD163" i="69" s="1"/>
  <c r="R77" i="55"/>
  <c r="R89" i="55"/>
  <c r="D13" i="61"/>
  <c r="E13" i="62"/>
  <c r="E16" i="62"/>
  <c r="D16" i="61"/>
  <c r="D17" i="61"/>
  <c r="E17" i="62"/>
  <c r="E18" i="62"/>
  <c r="D18" i="61"/>
  <c r="D15" i="61"/>
  <c r="E15" i="62"/>
  <c r="E14" i="62"/>
  <c r="D14" i="61"/>
  <c r="R83" i="55"/>
  <c r="S222" i="63"/>
  <c r="F225" i="64" s="1"/>
  <c r="F220" i="64"/>
  <c r="R31" i="67"/>
  <c r="E34" i="68" s="1"/>
  <c r="E35" i="68"/>
  <c r="R42" i="67"/>
  <c r="E45" i="68" s="1"/>
  <c r="E46" i="68"/>
  <c r="R53" i="67"/>
  <c r="E56" i="68" s="1"/>
  <c r="R83" i="67"/>
  <c r="E86" i="68" s="1"/>
  <c r="E87" i="68"/>
  <c r="R89" i="67"/>
  <c r="E92" i="68" s="1"/>
  <c r="E93" i="68"/>
  <c r="R109" i="67"/>
  <c r="E112" i="68" s="1"/>
  <c r="E113" i="68"/>
  <c r="R114" i="67"/>
  <c r="E117" i="68" s="1"/>
  <c r="E118" i="68"/>
  <c r="R125" i="67"/>
  <c r="E128" i="68" s="1"/>
  <c r="R178" i="67"/>
  <c r="E181" i="68" s="1"/>
  <c r="E182" i="68"/>
  <c r="L162" i="69"/>
  <c r="L163" i="69" s="1"/>
  <c r="R162" i="69"/>
  <c r="R163" i="69" s="1"/>
  <c r="E11" i="62"/>
  <c r="D11" i="61"/>
  <c r="R6" i="55"/>
  <c r="E9" i="56" s="1"/>
  <c r="R44" i="55"/>
  <c r="R65" i="55"/>
  <c r="R106" i="55"/>
  <c r="R122" i="55"/>
  <c r="C9" i="57"/>
  <c r="R169" i="67"/>
  <c r="E172" i="68" s="1"/>
  <c r="AC162" i="69"/>
  <c r="AC163" i="69" s="1"/>
  <c r="AA162" i="69"/>
  <c r="AA163" i="69" s="1"/>
  <c r="W162" i="69"/>
  <c r="W163" i="69" s="1"/>
  <c r="Q162" i="69"/>
  <c r="Q163" i="69" s="1"/>
  <c r="K162" i="69"/>
  <c r="K163" i="69" s="1"/>
  <c r="G162" i="69"/>
  <c r="G163" i="69" s="1"/>
  <c r="P226" i="75"/>
  <c r="H226" i="75"/>
  <c r="G226" i="75"/>
  <c r="Q226" i="75"/>
  <c r="R141" i="55"/>
  <c r="M5" i="67"/>
  <c r="R16" i="67"/>
  <c r="E19" i="68" s="1"/>
  <c r="R75" i="67"/>
  <c r="E78" i="68" s="1"/>
  <c r="M88" i="67"/>
  <c r="R99" i="67"/>
  <c r="E102" i="68" s="1"/>
  <c r="R147" i="67"/>
  <c r="E150" i="68" s="1"/>
  <c r="R158" i="67"/>
  <c r="E161" i="68" s="1"/>
  <c r="R158" i="55"/>
  <c r="C8" i="57"/>
  <c r="R16" i="55"/>
  <c r="R32" i="55"/>
  <c r="C13" i="59" s="1"/>
  <c r="R57" i="55"/>
  <c r="R100" i="55"/>
  <c r="R118" i="55"/>
  <c r="R132" i="55"/>
  <c r="P18" i="65"/>
  <c r="C18" i="66" s="1"/>
  <c r="R6" i="67"/>
  <c r="E9" i="68" s="1"/>
  <c r="R26" i="67"/>
  <c r="E29" i="68" s="1"/>
  <c r="R64" i="67"/>
  <c r="E67" i="68" s="1"/>
  <c r="R136" i="67"/>
  <c r="F88" i="67"/>
  <c r="H88" i="67"/>
  <c r="J88" i="67"/>
  <c r="L88" i="67"/>
  <c r="N88" i="67"/>
  <c r="P88" i="67"/>
  <c r="G6" i="63"/>
  <c r="D8" i="65" s="1"/>
  <c r="I6" i="63"/>
  <c r="F8" i="65" s="1"/>
  <c r="K6" i="63"/>
  <c r="H8" i="65" s="1"/>
  <c r="M6" i="63"/>
  <c r="J8" i="65" s="1"/>
  <c r="O6" i="63"/>
  <c r="L8" i="65" s="1"/>
  <c r="Q6" i="63"/>
  <c r="N8" i="65" s="1"/>
  <c r="S15" i="63"/>
  <c r="F18" i="64" s="1"/>
  <c r="F190" i="63"/>
  <c r="J6" i="63"/>
  <c r="G8" i="65" s="1"/>
  <c r="S25" i="63"/>
  <c r="F28" i="64" s="1"/>
  <c r="R28" i="55"/>
  <c r="R154" i="55"/>
  <c r="S221" i="63"/>
  <c r="F224" i="64" s="1"/>
  <c r="AG224" i="75"/>
  <c r="F227" i="76" s="1"/>
  <c r="E88" i="67"/>
  <c r="G88" i="67"/>
  <c r="I88" i="67"/>
  <c r="K88" i="67"/>
  <c r="O88" i="67"/>
  <c r="Q88" i="67"/>
  <c r="AG122" i="75"/>
  <c r="F125" i="76" s="1"/>
  <c r="AD226" i="75"/>
  <c r="Z226" i="75"/>
  <c r="V226" i="75"/>
  <c r="R226" i="75"/>
  <c r="N226" i="75"/>
  <c r="J226" i="75"/>
  <c r="AG6" i="75"/>
  <c r="F9" i="76" s="1"/>
  <c r="G68" i="63"/>
  <c r="I68" i="63"/>
  <c r="K68" i="63"/>
  <c r="O68" i="63"/>
  <c r="J122" i="63"/>
  <c r="G10" i="65" s="1"/>
  <c r="R122" i="63"/>
  <c r="O10" i="65" s="1"/>
  <c r="F5" i="67"/>
  <c r="F183" i="67" s="1"/>
  <c r="H5" i="67"/>
  <c r="H183" i="67" s="1"/>
  <c r="J5" i="67"/>
  <c r="J183" i="67" s="1"/>
  <c r="L5" i="67"/>
  <c r="L183" i="67" s="1"/>
  <c r="N5" i="67"/>
  <c r="N183" i="67" s="1"/>
  <c r="P5" i="67"/>
  <c r="P183" i="67" s="1"/>
  <c r="E5" i="67"/>
  <c r="G5" i="67"/>
  <c r="I5" i="67"/>
  <c r="K5" i="67"/>
  <c r="O5" i="67"/>
  <c r="Q5" i="67"/>
  <c r="AF226" i="75"/>
  <c r="AB226" i="75"/>
  <c r="X226" i="75"/>
  <c r="T226" i="75"/>
  <c r="AG190" i="75"/>
  <c r="F193" i="76" s="1"/>
  <c r="AG121" i="75"/>
  <c r="F124" i="76" s="1"/>
  <c r="F226" i="75"/>
  <c r="AG5" i="75"/>
  <c r="AG68" i="75"/>
  <c r="F71" i="76" s="1"/>
  <c r="Y226" i="75"/>
  <c r="S41" i="63"/>
  <c r="F44" i="64" s="1"/>
  <c r="S48" i="63"/>
  <c r="F51" i="64" s="1"/>
  <c r="S54" i="63"/>
  <c r="F57" i="64" s="1"/>
  <c r="S62" i="63"/>
  <c r="F65" i="64" s="1"/>
  <c r="N190" i="63"/>
  <c r="J190" i="63"/>
  <c r="R190" i="63"/>
  <c r="G224" i="63"/>
  <c r="I224" i="63"/>
  <c r="K224" i="63"/>
  <c r="M224" i="63"/>
  <c r="O224" i="63"/>
  <c r="Q224" i="63"/>
  <c r="S207" i="63"/>
  <c r="F210" i="64" s="1"/>
  <c r="H190" i="63"/>
  <c r="L190" i="63"/>
  <c r="P190" i="63"/>
  <c r="N6" i="63"/>
  <c r="K8" i="65" s="1"/>
  <c r="R6" i="63"/>
  <c r="O8" i="65" s="1"/>
  <c r="M68" i="63"/>
  <c r="Q68" i="63"/>
  <c r="G121" i="63"/>
  <c r="K121" i="63"/>
  <c r="O121" i="63"/>
  <c r="F122" i="63"/>
  <c r="C10" i="65" s="1"/>
  <c r="I121" i="63"/>
  <c r="Q121" i="63"/>
  <c r="N122" i="63"/>
  <c r="K10" i="65" s="1"/>
  <c r="M121" i="63"/>
  <c r="S201" i="63"/>
  <c r="F204" i="64" s="1"/>
  <c r="S213" i="63"/>
  <c r="F216" i="64" s="1"/>
  <c r="G190" i="63"/>
  <c r="I190" i="63"/>
  <c r="K190" i="63"/>
  <c r="M190" i="63"/>
  <c r="O190" i="63"/>
  <c r="Q190" i="63"/>
  <c r="S184" i="63"/>
  <c r="F187" i="64" s="1"/>
  <c r="S173" i="63"/>
  <c r="F176" i="64" s="1"/>
  <c r="S165" i="63"/>
  <c r="F168" i="64" s="1"/>
  <c r="S153" i="63"/>
  <c r="F156" i="64" s="1"/>
  <c r="S143" i="63"/>
  <c r="F146" i="64" s="1"/>
  <c r="G122" i="63"/>
  <c r="D10" i="65" s="1"/>
  <c r="I122" i="63"/>
  <c r="F10" i="65" s="1"/>
  <c r="K122" i="63"/>
  <c r="H10" i="65" s="1"/>
  <c r="M122" i="63"/>
  <c r="J10" i="65" s="1"/>
  <c r="O122" i="63"/>
  <c r="L10" i="65" s="1"/>
  <c r="Q122" i="63"/>
  <c r="N10" i="65" s="1"/>
  <c r="S133" i="63"/>
  <c r="F136" i="64" s="1"/>
  <c r="H122" i="63"/>
  <c r="E10" i="65" s="1"/>
  <c r="J121" i="63"/>
  <c r="L122" i="63"/>
  <c r="I10" i="65" s="1"/>
  <c r="N121" i="63"/>
  <c r="P122" i="63"/>
  <c r="M10" i="65" s="1"/>
  <c r="R121" i="63"/>
  <c r="S108" i="63"/>
  <c r="F111" i="64" s="1"/>
  <c r="S97" i="63"/>
  <c r="F100" i="64" s="1"/>
  <c r="K5" i="63"/>
  <c r="O5" i="63"/>
  <c r="S86" i="63"/>
  <c r="H5" i="63"/>
  <c r="J5" i="63"/>
  <c r="L5" i="63"/>
  <c r="N5" i="63"/>
  <c r="P5" i="63"/>
  <c r="R5" i="63"/>
  <c r="H68" i="63"/>
  <c r="J68" i="63"/>
  <c r="L68" i="63"/>
  <c r="N68" i="63"/>
  <c r="P68" i="63"/>
  <c r="R68" i="63"/>
  <c r="S80" i="63"/>
  <c r="F83" i="64" s="1"/>
  <c r="G5" i="63"/>
  <c r="S69" i="63"/>
  <c r="F72" i="64" s="1"/>
  <c r="F6" i="63"/>
  <c r="C8" i="65" s="1"/>
  <c r="S31" i="63"/>
  <c r="F34" i="64" s="1"/>
  <c r="H6" i="63"/>
  <c r="E8" i="65" s="1"/>
  <c r="L6" i="63"/>
  <c r="I8" i="65" s="1"/>
  <c r="P6" i="63"/>
  <c r="M8" i="65" s="1"/>
  <c r="I5" i="63"/>
  <c r="M5" i="63"/>
  <c r="Q5" i="63"/>
  <c r="S7" i="63"/>
  <c r="S123" i="63"/>
  <c r="F126" i="64" s="1"/>
  <c r="S194" i="63"/>
  <c r="F197" i="64" s="1"/>
  <c r="F5" i="63"/>
  <c r="F68" i="63"/>
  <c r="F121" i="63"/>
  <c r="H121" i="63"/>
  <c r="L121" i="63"/>
  <c r="P121" i="63"/>
  <c r="S191" i="63"/>
  <c r="F194" i="64" s="1"/>
  <c r="S198" i="63"/>
  <c r="F201" i="64" s="1"/>
  <c r="S204" i="63"/>
  <c r="F207" i="64" s="1"/>
  <c r="S210" i="63"/>
  <c r="F213" i="64" s="1"/>
  <c r="S216" i="63"/>
  <c r="F219" i="64" s="1"/>
  <c r="F224" i="63"/>
  <c r="H224" i="63"/>
  <c r="J224" i="63"/>
  <c r="L224" i="63"/>
  <c r="N224" i="63"/>
  <c r="P224" i="63"/>
  <c r="R224" i="63"/>
  <c r="E165" i="55"/>
  <c r="G5" i="55"/>
  <c r="I165" i="55"/>
  <c r="K165" i="55"/>
  <c r="M165" i="55"/>
  <c r="O5" i="55"/>
  <c r="Q165" i="55"/>
  <c r="F5" i="55"/>
  <c r="J5" i="55"/>
  <c r="N5" i="55"/>
  <c r="H5" i="55"/>
  <c r="P5" i="55"/>
  <c r="F163" i="55"/>
  <c r="H163" i="55"/>
  <c r="J163" i="55"/>
  <c r="F76" i="55"/>
  <c r="J76" i="55"/>
  <c r="N76" i="55"/>
  <c r="G76" i="55"/>
  <c r="I76" i="55"/>
  <c r="K76" i="55"/>
  <c r="O76" i="55"/>
  <c r="Q76" i="55"/>
  <c r="E76" i="55"/>
  <c r="M76" i="55"/>
  <c r="E163" i="55"/>
  <c r="L5" i="55"/>
  <c r="H166" i="55"/>
  <c r="H76" i="55"/>
  <c r="P166" i="55"/>
  <c r="P76" i="55"/>
  <c r="L166" i="55"/>
  <c r="L76" i="55"/>
  <c r="G165" i="55"/>
  <c r="O165" i="55"/>
  <c r="F166" i="55"/>
  <c r="N166" i="55"/>
  <c r="E5" i="55"/>
  <c r="I5" i="55"/>
  <c r="K5" i="55"/>
  <c r="M5" i="55"/>
  <c r="Q5" i="55"/>
  <c r="F165" i="55"/>
  <c r="H165" i="55"/>
  <c r="J165" i="55"/>
  <c r="L165" i="55"/>
  <c r="N165" i="55"/>
  <c r="P165" i="55"/>
  <c r="G163" i="55"/>
  <c r="J166" i="55"/>
  <c r="E166" i="55"/>
  <c r="G166" i="55"/>
  <c r="I166" i="55"/>
  <c r="K166" i="55"/>
  <c r="M166" i="55"/>
  <c r="O166" i="55"/>
  <c r="Q166" i="55"/>
  <c r="AK25" i="24"/>
  <c r="Q226" i="63" l="1"/>
  <c r="C9" i="60"/>
  <c r="C10" i="60"/>
  <c r="AF162" i="69"/>
  <c r="AF163" i="69" s="1"/>
  <c r="M226" i="63"/>
  <c r="K226" i="63"/>
  <c r="Q183" i="67"/>
  <c r="K183" i="67"/>
  <c r="G183" i="67"/>
  <c r="E161" i="56"/>
  <c r="R166" i="55"/>
  <c r="N160" i="55"/>
  <c r="N161" i="55" s="1"/>
  <c r="F160" i="55"/>
  <c r="F161" i="55" s="1"/>
  <c r="J160" i="55"/>
  <c r="J161" i="55" s="1"/>
  <c r="R163" i="55"/>
  <c r="O183" i="67"/>
  <c r="I183" i="67"/>
  <c r="E183" i="67"/>
  <c r="M183" i="67"/>
  <c r="I160" i="55"/>
  <c r="I161" i="55" s="1"/>
  <c r="P160" i="55"/>
  <c r="P161" i="55" s="1"/>
  <c r="G160" i="55"/>
  <c r="G161" i="55" s="1"/>
  <c r="R5" i="67"/>
  <c r="E8" i="68" s="1"/>
  <c r="C10" i="59"/>
  <c r="P226" i="63"/>
  <c r="H226" i="63"/>
  <c r="F90" i="64"/>
  <c r="F89" i="64"/>
  <c r="C7" i="57"/>
  <c r="E9" i="62"/>
  <c r="D9" i="61"/>
  <c r="R88" i="67"/>
  <c r="E91" i="68" s="1"/>
  <c r="E139" i="68"/>
  <c r="E12" i="62"/>
  <c r="D12" i="61"/>
  <c r="C19" i="59"/>
  <c r="C19" i="60"/>
  <c r="C14" i="59"/>
  <c r="C14" i="60"/>
  <c r="D10" i="61"/>
  <c r="E10" i="62"/>
  <c r="C20" i="59"/>
  <c r="C20" i="60"/>
  <c r="R76" i="55"/>
  <c r="E79" i="56" s="1"/>
  <c r="C9" i="59"/>
  <c r="R165" i="55"/>
  <c r="R5" i="55"/>
  <c r="E8" i="56" s="1"/>
  <c r="M160" i="55"/>
  <c r="M161" i="55" s="1"/>
  <c r="AG226" i="75"/>
  <c r="F229" i="76" s="1"/>
  <c r="Q160" i="55"/>
  <c r="Q161" i="55" s="1"/>
  <c r="K160" i="55"/>
  <c r="K161" i="55" s="1"/>
  <c r="I226" i="63"/>
  <c r="G226" i="63"/>
  <c r="O226" i="63"/>
  <c r="R226" i="63"/>
  <c r="N226" i="63"/>
  <c r="J226" i="63"/>
  <c r="S122" i="63"/>
  <c r="F125" i="64" s="1"/>
  <c r="L226" i="63"/>
  <c r="S6" i="63"/>
  <c r="S190" i="63"/>
  <c r="F193" i="64" s="1"/>
  <c r="S121" i="63"/>
  <c r="F124" i="64" s="1"/>
  <c r="F226" i="63"/>
  <c r="S5" i="63"/>
  <c r="S68" i="63"/>
  <c r="F71" i="64" s="1"/>
  <c r="E160" i="55"/>
  <c r="E161" i="55" s="1"/>
  <c r="L160" i="55"/>
  <c r="L161" i="55" s="1"/>
  <c r="O160" i="55"/>
  <c r="O161" i="55" s="1"/>
  <c r="H160" i="55"/>
  <c r="H161" i="55" s="1"/>
  <c r="AG169" i="34"/>
  <c r="R183" i="67" l="1"/>
  <c r="D22" i="61" s="1"/>
  <c r="F9" i="64"/>
  <c r="F8" i="64"/>
  <c r="F10" i="64"/>
  <c r="E186" i="68"/>
  <c r="E22" i="62"/>
  <c r="R160" i="55"/>
  <c r="R161" i="55" s="1"/>
  <c r="C13" i="58"/>
  <c r="S226" i="63"/>
  <c r="F229" i="64" s="1"/>
  <c r="AD114" i="34"/>
  <c r="AE48" i="24"/>
  <c r="C10" i="57" l="1"/>
  <c r="I165" i="24"/>
  <c r="I48" i="24"/>
  <c r="H207" i="24" l="1"/>
  <c r="H41" i="24"/>
  <c r="J25" i="24" l="1"/>
  <c r="BD178" i="34" l="1"/>
  <c r="M15" i="24" l="1"/>
  <c r="F83" i="34" l="1"/>
  <c r="R10" i="1" l="1"/>
  <c r="R9" i="1"/>
  <c r="R8" i="1"/>
  <c r="R7" i="1"/>
  <c r="R6" i="1"/>
  <c r="R5" i="1"/>
  <c r="O7" i="1"/>
  <c r="O6" i="1"/>
  <c r="O5" i="1"/>
  <c r="L15" i="1"/>
  <c r="L16" i="1"/>
  <c r="L14" i="1"/>
  <c r="L13" i="1"/>
  <c r="L12" i="1"/>
  <c r="L11" i="1"/>
  <c r="L9" i="1"/>
  <c r="L10" i="1"/>
  <c r="L8" i="1"/>
  <c r="L7" i="1"/>
  <c r="L6" i="1"/>
  <c r="L5" i="1"/>
  <c r="I16" i="1"/>
  <c r="I15" i="1"/>
  <c r="I13" i="1"/>
  <c r="I12" i="1"/>
  <c r="I14" i="1"/>
  <c r="I10" i="1"/>
  <c r="I11" i="1"/>
  <c r="I9" i="1"/>
  <c r="I7" i="1"/>
  <c r="I5" i="1"/>
  <c r="I8" i="1"/>
  <c r="F16" i="1"/>
  <c r="F15" i="1"/>
  <c r="F14" i="1"/>
  <c r="F13" i="1"/>
  <c r="F12" i="1"/>
  <c r="F11" i="1"/>
  <c r="F10" i="1"/>
  <c r="F9" i="1"/>
  <c r="F8" i="1"/>
  <c r="F7" i="1"/>
  <c r="F6" i="1"/>
  <c r="F5" i="1"/>
  <c r="C11" i="1"/>
  <c r="C12" i="1"/>
  <c r="C10" i="1"/>
  <c r="C9" i="1"/>
  <c r="C7" i="1"/>
  <c r="C8" i="1"/>
  <c r="C6" i="1"/>
  <c r="C5" i="1"/>
  <c r="I17" i="1" l="1"/>
  <c r="E182" i="53"/>
  <c r="E181" i="53" s="1"/>
  <c r="E179" i="53"/>
  <c r="E178" i="53"/>
  <c r="E177" i="53"/>
  <c r="E176" i="53"/>
  <c r="E175" i="53"/>
  <c r="E174" i="53"/>
  <c r="E173" i="53"/>
  <c r="E170" i="53"/>
  <c r="E169" i="53"/>
  <c r="E168" i="53"/>
  <c r="E167" i="53"/>
  <c r="E166" i="53"/>
  <c r="E165" i="53"/>
  <c r="E164" i="53"/>
  <c r="E163" i="53"/>
  <c r="E162" i="53"/>
  <c r="E159" i="53"/>
  <c r="E158" i="53"/>
  <c r="E157" i="53"/>
  <c r="E156" i="53"/>
  <c r="E155" i="53"/>
  <c r="E154" i="53"/>
  <c r="E153" i="53"/>
  <c r="E152" i="53"/>
  <c r="E151" i="53"/>
  <c r="E148" i="53"/>
  <c r="E147" i="53"/>
  <c r="E146" i="53"/>
  <c r="E145" i="53"/>
  <c r="E144" i="53"/>
  <c r="E143" i="53"/>
  <c r="E142" i="53"/>
  <c r="E141" i="53"/>
  <c r="E140" i="53"/>
  <c r="E137" i="53"/>
  <c r="E136" i="53"/>
  <c r="E135" i="53"/>
  <c r="E134" i="53"/>
  <c r="E133" i="53"/>
  <c r="E132" i="53"/>
  <c r="E131" i="53"/>
  <c r="E130" i="53"/>
  <c r="E129" i="53"/>
  <c r="E126" i="53"/>
  <c r="E125" i="53"/>
  <c r="E124" i="53"/>
  <c r="E123" i="53"/>
  <c r="E122" i="53"/>
  <c r="E121" i="53"/>
  <c r="E120" i="53"/>
  <c r="E119" i="53"/>
  <c r="E118" i="53"/>
  <c r="E115" i="53"/>
  <c r="E114" i="53"/>
  <c r="E113" i="53"/>
  <c r="E110" i="53"/>
  <c r="E109" i="53"/>
  <c r="E108" i="53"/>
  <c r="E107" i="53"/>
  <c r="E106" i="53"/>
  <c r="E105" i="53"/>
  <c r="E104" i="53"/>
  <c r="E103" i="53"/>
  <c r="E100" i="53"/>
  <c r="E99" i="53"/>
  <c r="E98" i="53"/>
  <c r="E97" i="53"/>
  <c r="E96" i="53"/>
  <c r="E95" i="53"/>
  <c r="E94" i="53"/>
  <c r="E93" i="53"/>
  <c r="E87" i="53"/>
  <c r="E86" i="53" s="1"/>
  <c r="E84" i="53"/>
  <c r="E83" i="53"/>
  <c r="E82" i="53"/>
  <c r="E81" i="53"/>
  <c r="E80" i="53"/>
  <c r="E79" i="53"/>
  <c r="E76" i="53"/>
  <c r="E75" i="53"/>
  <c r="E74" i="53"/>
  <c r="E73" i="53"/>
  <c r="E72" i="53"/>
  <c r="E71" i="53"/>
  <c r="E70" i="53"/>
  <c r="E69" i="53"/>
  <c r="E68" i="53"/>
  <c r="E65" i="53"/>
  <c r="E64" i="53"/>
  <c r="E63" i="53"/>
  <c r="E62" i="53"/>
  <c r="E61" i="53"/>
  <c r="E60" i="53"/>
  <c r="E59" i="53"/>
  <c r="E58" i="53"/>
  <c r="E57" i="53"/>
  <c r="E54" i="53"/>
  <c r="E53" i="53"/>
  <c r="E52" i="53"/>
  <c r="E51" i="53"/>
  <c r="E50" i="53"/>
  <c r="E49" i="53"/>
  <c r="E48" i="53"/>
  <c r="E47" i="53"/>
  <c r="E46" i="53"/>
  <c r="E43" i="53"/>
  <c r="E42" i="53"/>
  <c r="E41" i="53"/>
  <c r="E40" i="53"/>
  <c r="E39" i="53"/>
  <c r="E38" i="53"/>
  <c r="E37" i="53"/>
  <c r="E36" i="53"/>
  <c r="E35" i="53"/>
  <c r="E32" i="53"/>
  <c r="E31" i="53"/>
  <c r="E30" i="53"/>
  <c r="E27" i="53"/>
  <c r="E26" i="53"/>
  <c r="E25" i="53"/>
  <c r="E24" i="53"/>
  <c r="E23" i="53"/>
  <c r="E22" i="53"/>
  <c r="E21" i="53"/>
  <c r="E20" i="53"/>
  <c r="E17" i="53"/>
  <c r="E16" i="53"/>
  <c r="E15" i="53"/>
  <c r="E14" i="53"/>
  <c r="E13" i="53"/>
  <c r="E12" i="53"/>
  <c r="E11" i="53"/>
  <c r="E10" i="53"/>
  <c r="F221" i="51"/>
  <c r="F220" i="51"/>
  <c r="F217" i="51"/>
  <c r="F216" i="51" s="1"/>
  <c r="F214" i="51"/>
  <c r="F213" i="51" s="1"/>
  <c r="F211" i="51"/>
  <c r="F210" i="51" s="1"/>
  <c r="F208" i="51"/>
  <c r="F207" i="51" s="1"/>
  <c r="F205" i="51"/>
  <c r="F204" i="51" s="1"/>
  <c r="F202" i="51"/>
  <c r="F201" i="51" s="1"/>
  <c r="F199" i="51"/>
  <c r="F198" i="51"/>
  <c r="F195" i="51"/>
  <c r="F194" i="51" s="1"/>
  <c r="F191" i="51"/>
  <c r="F190" i="51"/>
  <c r="F189" i="51"/>
  <c r="F188" i="51"/>
  <c r="F185" i="51"/>
  <c r="F184" i="51"/>
  <c r="F183" i="51"/>
  <c r="F182" i="51"/>
  <c r="F181" i="51"/>
  <c r="F180" i="51"/>
  <c r="F179" i="51"/>
  <c r="F178" i="51"/>
  <c r="F177" i="51"/>
  <c r="F174" i="51"/>
  <c r="F173" i="51"/>
  <c r="F172" i="51"/>
  <c r="F171" i="51"/>
  <c r="F170" i="51"/>
  <c r="F169" i="51"/>
  <c r="F166" i="51"/>
  <c r="F165" i="51"/>
  <c r="F164" i="51"/>
  <c r="F163" i="51"/>
  <c r="F162" i="51"/>
  <c r="F161" i="51"/>
  <c r="F160" i="51"/>
  <c r="F159" i="51"/>
  <c r="F158" i="51"/>
  <c r="F157" i="51"/>
  <c r="F154" i="51"/>
  <c r="F153" i="51"/>
  <c r="F152" i="51"/>
  <c r="F151" i="51"/>
  <c r="F150" i="51"/>
  <c r="F149" i="51"/>
  <c r="F148" i="51"/>
  <c r="F147" i="51"/>
  <c r="F144" i="51"/>
  <c r="F143" i="51"/>
  <c r="F142" i="51"/>
  <c r="F141" i="51"/>
  <c r="F140" i="51"/>
  <c r="F139" i="51"/>
  <c r="F138" i="51"/>
  <c r="F137" i="51"/>
  <c r="F134" i="51"/>
  <c r="F133" i="51"/>
  <c r="F132" i="51"/>
  <c r="F131" i="51"/>
  <c r="F130" i="51"/>
  <c r="F129" i="51"/>
  <c r="F128" i="51"/>
  <c r="F127" i="51"/>
  <c r="F121" i="51"/>
  <c r="F120" i="51"/>
  <c r="F119" i="51"/>
  <c r="F118" i="51"/>
  <c r="F117" i="51"/>
  <c r="F116" i="51"/>
  <c r="F115" i="51"/>
  <c r="F114" i="51"/>
  <c r="F113" i="51"/>
  <c r="F112" i="51"/>
  <c r="F109" i="51"/>
  <c r="F108" i="51"/>
  <c r="F107" i="51"/>
  <c r="F106" i="51"/>
  <c r="F105" i="51"/>
  <c r="F104" i="51"/>
  <c r="F103" i="51"/>
  <c r="F102" i="51"/>
  <c r="F101" i="51"/>
  <c r="F98" i="51"/>
  <c r="F97" i="51"/>
  <c r="F96" i="51"/>
  <c r="F95" i="51"/>
  <c r="F94" i="51"/>
  <c r="F93" i="51"/>
  <c r="F92" i="51"/>
  <c r="F91" i="51"/>
  <c r="F90" i="51"/>
  <c r="F87" i="51"/>
  <c r="F86" i="51"/>
  <c r="F85" i="51"/>
  <c r="F84" i="51"/>
  <c r="F81" i="51"/>
  <c r="F80" i="51"/>
  <c r="F79" i="51"/>
  <c r="F78" i="51"/>
  <c r="F77" i="51"/>
  <c r="F76" i="51"/>
  <c r="F75" i="51"/>
  <c r="F74" i="51"/>
  <c r="F73" i="51"/>
  <c r="F69" i="51"/>
  <c r="F68" i="51"/>
  <c r="F67" i="51"/>
  <c r="F66" i="51"/>
  <c r="F63" i="51"/>
  <c r="F62" i="51"/>
  <c r="F61" i="51"/>
  <c r="F60" i="51"/>
  <c r="F59" i="51"/>
  <c r="F58" i="51"/>
  <c r="F55" i="51"/>
  <c r="F54" i="51"/>
  <c r="F53" i="51"/>
  <c r="F52" i="51"/>
  <c r="F49" i="51"/>
  <c r="F48" i="51"/>
  <c r="F47" i="51"/>
  <c r="F46" i="51"/>
  <c r="F45" i="51"/>
  <c r="F42" i="51"/>
  <c r="F41" i="51"/>
  <c r="F40" i="51"/>
  <c r="F39" i="51"/>
  <c r="F38" i="51"/>
  <c r="F37" i="51"/>
  <c r="F36" i="51"/>
  <c r="F35" i="51"/>
  <c r="F32" i="51"/>
  <c r="F31" i="51"/>
  <c r="F30" i="51"/>
  <c r="F29" i="51"/>
  <c r="F26" i="51"/>
  <c r="F25" i="51"/>
  <c r="F24" i="51"/>
  <c r="F23" i="51"/>
  <c r="F22" i="51"/>
  <c r="F21" i="51"/>
  <c r="F20" i="51"/>
  <c r="F19" i="51"/>
  <c r="E117" i="53" l="1"/>
  <c r="E139" i="53"/>
  <c r="E161" i="53"/>
  <c r="E34" i="53"/>
  <c r="E56" i="53"/>
  <c r="E78" i="53"/>
  <c r="E9" i="53"/>
  <c r="E19" i="53"/>
  <c r="E29" i="53"/>
  <c r="E45" i="53"/>
  <c r="E67" i="53"/>
  <c r="E92" i="53"/>
  <c r="E102" i="53"/>
  <c r="E112" i="53"/>
  <c r="E128" i="53"/>
  <c r="E150" i="53"/>
  <c r="E172" i="53"/>
  <c r="F18" i="51"/>
  <c r="F28" i="51"/>
  <c r="F34" i="51"/>
  <c r="F44" i="51"/>
  <c r="F72" i="51"/>
  <c r="F89" i="51"/>
  <c r="F176" i="51"/>
  <c r="F187" i="51"/>
  <c r="F51" i="51"/>
  <c r="F57" i="51"/>
  <c r="F65" i="51"/>
  <c r="F83" i="51"/>
  <c r="F100" i="51"/>
  <c r="F111" i="51"/>
  <c r="F126" i="51"/>
  <c r="F136" i="51"/>
  <c r="F146" i="51"/>
  <c r="F156" i="51"/>
  <c r="F168" i="51"/>
  <c r="F197" i="51"/>
  <c r="F219" i="51"/>
  <c r="F16" i="51"/>
  <c r="F15" i="51"/>
  <c r="F14" i="51"/>
  <c r="F13" i="51"/>
  <c r="F12" i="51"/>
  <c r="F11" i="51"/>
  <c r="F10" i="51" l="1"/>
  <c r="C46" i="50"/>
  <c r="C45" i="50"/>
  <c r="C42" i="50"/>
  <c r="C41" i="50"/>
  <c r="C38" i="50"/>
  <c r="C37" i="50"/>
  <c r="C34" i="50"/>
  <c r="C33" i="50"/>
  <c r="C30" i="50"/>
  <c r="C29" i="50"/>
  <c r="C26" i="50"/>
  <c r="C25" i="50"/>
  <c r="C22" i="50"/>
  <c r="C21" i="50"/>
  <c r="C18" i="50"/>
  <c r="C17" i="50"/>
  <c r="C14" i="50"/>
  <c r="C13" i="50"/>
  <c r="C10" i="50"/>
  <c r="C9" i="50"/>
  <c r="E159" i="48"/>
  <c r="E158" i="48"/>
  <c r="E152" i="48"/>
  <c r="E151" i="48"/>
  <c r="E150" i="48"/>
  <c r="E149" i="48"/>
  <c r="E148" i="48"/>
  <c r="E147" i="48"/>
  <c r="E146" i="48"/>
  <c r="E145" i="48"/>
  <c r="E142" i="48"/>
  <c r="E141" i="48"/>
  <c r="E140" i="48"/>
  <c r="E139" i="48"/>
  <c r="E138" i="48"/>
  <c r="E137" i="48"/>
  <c r="E136" i="48"/>
  <c r="E133" i="48"/>
  <c r="E132" i="48" s="1"/>
  <c r="E130" i="48"/>
  <c r="E129" i="48"/>
  <c r="E128" i="48"/>
  <c r="E127" i="48"/>
  <c r="E126" i="48"/>
  <c r="E123" i="48"/>
  <c r="E122" i="48"/>
  <c r="E119" i="48"/>
  <c r="E118" i="48"/>
  <c r="E117" i="48"/>
  <c r="E116" i="48"/>
  <c r="E115" i="48"/>
  <c r="E114" i="48"/>
  <c r="E113" i="48"/>
  <c r="E112" i="48"/>
  <c r="E111" i="48"/>
  <c r="E110" i="48"/>
  <c r="E107" i="48"/>
  <c r="E106" i="48"/>
  <c r="E105" i="48"/>
  <c r="E104" i="48"/>
  <c r="E101" i="48"/>
  <c r="E100" i="48"/>
  <c r="E99" i="48"/>
  <c r="E98" i="48"/>
  <c r="E97" i="48"/>
  <c r="E96" i="48"/>
  <c r="E95" i="48"/>
  <c r="E94" i="48"/>
  <c r="E93" i="48"/>
  <c r="E90" i="48"/>
  <c r="E89" i="48"/>
  <c r="E88" i="48"/>
  <c r="E87" i="48"/>
  <c r="E84" i="48"/>
  <c r="E83" i="48"/>
  <c r="E82" i="48"/>
  <c r="E81" i="48"/>
  <c r="E76" i="48"/>
  <c r="E75" i="48"/>
  <c r="E74" i="48"/>
  <c r="E73" i="48"/>
  <c r="E72" i="48"/>
  <c r="E71" i="48"/>
  <c r="E70" i="48"/>
  <c r="E69" i="48"/>
  <c r="E66" i="48"/>
  <c r="E65" i="48"/>
  <c r="E64" i="48"/>
  <c r="E63" i="48"/>
  <c r="E62" i="48"/>
  <c r="E61" i="48"/>
  <c r="E58" i="48"/>
  <c r="E57" i="48" s="1"/>
  <c r="E55" i="48"/>
  <c r="E54" i="48"/>
  <c r="E53" i="48"/>
  <c r="E52" i="48"/>
  <c r="E51" i="48"/>
  <c r="E50" i="48"/>
  <c r="E49" i="48"/>
  <c r="E48" i="48"/>
  <c r="E45" i="48"/>
  <c r="E44" i="48"/>
  <c r="E41" i="48"/>
  <c r="E40" i="48"/>
  <c r="E39" i="48"/>
  <c r="E38" i="48"/>
  <c r="E37" i="48"/>
  <c r="E36" i="48"/>
  <c r="E33" i="48"/>
  <c r="E32" i="48"/>
  <c r="E29" i="48"/>
  <c r="E28" i="48"/>
  <c r="E27" i="48"/>
  <c r="E26" i="48"/>
  <c r="E25" i="48"/>
  <c r="E24" i="48"/>
  <c r="E23" i="48"/>
  <c r="E22" i="48"/>
  <c r="E21" i="48"/>
  <c r="E20" i="48"/>
  <c r="E17" i="48"/>
  <c r="E16" i="48"/>
  <c r="E15" i="48"/>
  <c r="E14" i="48"/>
  <c r="E13" i="48"/>
  <c r="E12" i="48"/>
  <c r="E11" i="48"/>
  <c r="E10" i="48"/>
  <c r="C16" i="50" l="1"/>
  <c r="C8" i="50"/>
  <c r="C12" i="50"/>
  <c r="C20" i="50"/>
  <c r="C24" i="50"/>
  <c r="C28" i="50"/>
  <c r="C32" i="50"/>
  <c r="C36" i="50"/>
  <c r="C40" i="50"/>
  <c r="C44" i="50"/>
  <c r="E68" i="48"/>
  <c r="E80" i="48"/>
  <c r="E144" i="48"/>
  <c r="E157" i="48"/>
  <c r="E86" i="48"/>
  <c r="E60" i="48"/>
  <c r="E92" i="48"/>
  <c r="E103" i="48"/>
  <c r="E109" i="48"/>
  <c r="E121" i="48"/>
  <c r="E125" i="48"/>
  <c r="E135" i="48"/>
  <c r="E19" i="48"/>
  <c r="E31" i="48"/>
  <c r="E35" i="48"/>
  <c r="E43" i="48"/>
  <c r="E47" i="48"/>
  <c r="M114" i="34"/>
  <c r="E18" i="46" l="1"/>
  <c r="E16" i="46"/>
  <c r="E15" i="46"/>
  <c r="E14" i="46"/>
  <c r="E13" i="46"/>
  <c r="C14" i="44"/>
  <c r="C13" i="44"/>
  <c r="C12" i="44"/>
  <c r="C11" i="44"/>
  <c r="G221" i="24" l="1"/>
  <c r="H221" i="24"/>
  <c r="I221" i="24"/>
  <c r="J221" i="24"/>
  <c r="K221" i="24"/>
  <c r="L221" i="24"/>
  <c r="M221" i="24"/>
  <c r="N221" i="24"/>
  <c r="O221" i="24"/>
  <c r="P221" i="24"/>
  <c r="Q221" i="24"/>
  <c r="R221" i="24"/>
  <c r="S221" i="24"/>
  <c r="T221" i="24"/>
  <c r="U221" i="24"/>
  <c r="V221" i="24"/>
  <c r="W221" i="24"/>
  <c r="X221" i="24"/>
  <c r="Y221" i="24"/>
  <c r="Z221" i="24"/>
  <c r="AA221" i="24"/>
  <c r="AB221" i="24"/>
  <c r="AC221" i="24"/>
  <c r="AD221" i="24"/>
  <c r="AE221" i="24"/>
  <c r="AF221" i="24"/>
  <c r="AG221" i="24"/>
  <c r="AH221" i="24"/>
  <c r="AI221" i="24"/>
  <c r="AJ221" i="24"/>
  <c r="AK221" i="24"/>
  <c r="AL221" i="24"/>
  <c r="AM221" i="24"/>
  <c r="AN221" i="24"/>
  <c r="AO221" i="24"/>
  <c r="AP221" i="24"/>
  <c r="AQ221" i="24"/>
  <c r="AR221" i="24"/>
  <c r="AS221" i="24"/>
  <c r="AT221" i="24"/>
  <c r="AU221" i="24"/>
  <c r="AV221" i="24"/>
  <c r="AW221" i="24"/>
  <c r="AX221" i="24"/>
  <c r="AY221" i="24"/>
  <c r="AZ221" i="24"/>
  <c r="BA221" i="24"/>
  <c r="BB221" i="24"/>
  <c r="BC221" i="24"/>
  <c r="BD221" i="24"/>
  <c r="BE221" i="24"/>
  <c r="BF221" i="24"/>
  <c r="F221" i="24"/>
  <c r="G222" i="24"/>
  <c r="H222" i="24"/>
  <c r="I222" i="24"/>
  <c r="J222" i="24"/>
  <c r="K222" i="24"/>
  <c r="L222" i="24"/>
  <c r="M222" i="24"/>
  <c r="N222" i="24"/>
  <c r="O222" i="24"/>
  <c r="P222" i="24"/>
  <c r="Q222" i="24"/>
  <c r="R222" i="24"/>
  <c r="S222" i="24"/>
  <c r="T222" i="24"/>
  <c r="U222" i="24"/>
  <c r="V222" i="24"/>
  <c r="W222" i="24"/>
  <c r="X222" i="24"/>
  <c r="Y222" i="24"/>
  <c r="Z222" i="24"/>
  <c r="AA222" i="24"/>
  <c r="AB222" i="24"/>
  <c r="AC222" i="24"/>
  <c r="AD222" i="24"/>
  <c r="AE222" i="24"/>
  <c r="AF222" i="24"/>
  <c r="AG222" i="24"/>
  <c r="AH222" i="24"/>
  <c r="AI222" i="24"/>
  <c r="AJ222" i="24"/>
  <c r="AK222" i="24"/>
  <c r="AL222" i="24"/>
  <c r="AM222" i="24"/>
  <c r="AN222" i="24"/>
  <c r="AO222" i="24"/>
  <c r="AP222" i="24"/>
  <c r="AQ222" i="24"/>
  <c r="AR222" i="24"/>
  <c r="AS222" i="24"/>
  <c r="AT222" i="24"/>
  <c r="AU222" i="24"/>
  <c r="AV222" i="24"/>
  <c r="AW222" i="24"/>
  <c r="AX222" i="24"/>
  <c r="AY222" i="24"/>
  <c r="AZ222" i="24"/>
  <c r="BA222" i="24"/>
  <c r="BB222" i="24"/>
  <c r="BC222" i="24"/>
  <c r="BD222" i="24"/>
  <c r="BE222" i="24"/>
  <c r="BF222" i="24"/>
  <c r="F222" i="24"/>
  <c r="BE224" i="24" l="1"/>
  <c r="BC224" i="24"/>
  <c r="BA224" i="24"/>
  <c r="AU224" i="24"/>
  <c r="AS224" i="24"/>
  <c r="AQ224" i="24"/>
  <c r="AO224" i="24"/>
  <c r="AK224" i="24"/>
  <c r="AG224" i="24"/>
  <c r="AE224" i="24"/>
  <c r="AC224" i="24"/>
  <c r="AA224" i="24"/>
  <c r="Y224" i="24"/>
  <c r="U224" i="24"/>
  <c r="Q224" i="24"/>
  <c r="K224" i="24"/>
  <c r="AY224" i="24"/>
  <c r="AW224" i="24"/>
  <c r="BD224" i="24"/>
  <c r="BB224" i="24"/>
  <c r="AZ224" i="24"/>
  <c r="AN224" i="24"/>
  <c r="AM224" i="24"/>
  <c r="W224" i="24"/>
  <c r="F224" i="51"/>
  <c r="Z224" i="24"/>
  <c r="P224" i="24"/>
  <c r="L224" i="24"/>
  <c r="J224" i="24"/>
  <c r="AT224" i="24"/>
  <c r="AI224" i="24"/>
  <c r="AJ224" i="24"/>
  <c r="AF224" i="24"/>
  <c r="AD224" i="24"/>
  <c r="AB224" i="24"/>
  <c r="AR224" i="24"/>
  <c r="AX224" i="24"/>
  <c r="O224" i="24"/>
  <c r="S224" i="24"/>
  <c r="V224" i="24"/>
  <c r="AP224" i="24"/>
  <c r="AH224" i="24"/>
  <c r="BF224" i="24"/>
  <c r="AV224" i="24"/>
  <c r="T224" i="24"/>
  <c r="X224" i="24"/>
  <c r="F225" i="51"/>
  <c r="R224" i="24"/>
  <c r="AL224" i="24"/>
  <c r="I224" i="24"/>
  <c r="H224" i="24"/>
  <c r="M224" i="24"/>
  <c r="G224" i="24"/>
  <c r="N224" i="24"/>
  <c r="F224" i="24"/>
  <c r="BI84" i="24"/>
  <c r="BI83" i="24"/>
  <c r="F227" i="51" l="1"/>
  <c r="BI124" i="34"/>
  <c r="BJ84" i="24" l="1"/>
  <c r="BJ83" i="24"/>
  <c r="F80" i="24" l="1"/>
  <c r="G80" i="24"/>
  <c r="H80" i="24"/>
  <c r="I80" i="24"/>
  <c r="J80" i="24"/>
  <c r="K80" i="24"/>
  <c r="L80" i="24"/>
  <c r="M80" i="24"/>
  <c r="N80" i="24"/>
  <c r="O80" i="24"/>
  <c r="Q80" i="24"/>
  <c r="R80" i="24"/>
  <c r="S80" i="24"/>
  <c r="T80" i="24"/>
  <c r="U80" i="24"/>
  <c r="V80" i="24"/>
  <c r="W80" i="24"/>
  <c r="X80" i="24"/>
  <c r="Y80" i="24"/>
  <c r="Z80" i="24"/>
  <c r="AA80" i="24"/>
  <c r="AB80" i="24"/>
  <c r="AC80" i="24"/>
  <c r="AD80" i="24"/>
  <c r="AE80" i="24"/>
  <c r="AF80" i="24"/>
  <c r="AG80" i="24"/>
  <c r="AH80" i="24"/>
  <c r="AI80" i="24"/>
  <c r="AJ80" i="24"/>
  <c r="AK80" i="24"/>
  <c r="AL80" i="24"/>
  <c r="AM80" i="24"/>
  <c r="AN80" i="24"/>
  <c r="AO80" i="24"/>
  <c r="AP80" i="24"/>
  <c r="AQ80" i="24"/>
  <c r="AR80" i="24"/>
  <c r="AS80" i="24"/>
  <c r="AT80" i="24"/>
  <c r="AU80" i="24"/>
  <c r="AV80" i="24"/>
  <c r="AW80" i="24"/>
  <c r="AX80" i="24"/>
  <c r="AY80" i="24"/>
  <c r="AZ80" i="24"/>
  <c r="BA80" i="24"/>
  <c r="BB80" i="24"/>
  <c r="BC80" i="24"/>
  <c r="BD80" i="24"/>
  <c r="BE80" i="24"/>
  <c r="BF80" i="24"/>
  <c r="P80" i="24"/>
  <c r="BG84" i="24"/>
  <c r="BH84" i="24"/>
  <c r="BG83" i="24"/>
  <c r="BH83" i="24"/>
  <c r="BF164" i="23" l="1"/>
  <c r="BG164" i="23"/>
  <c r="BH164" i="23"/>
  <c r="BI164" i="23"/>
  <c r="BF165" i="23"/>
  <c r="D17" i="27" s="1"/>
  <c r="BG165" i="23"/>
  <c r="BH165" i="23"/>
  <c r="BI165" i="23"/>
  <c r="E6" i="35"/>
  <c r="E7" i="35"/>
  <c r="E11" i="35"/>
  <c r="E12" i="35"/>
  <c r="E13" i="35"/>
  <c r="E14" i="35"/>
  <c r="E25" i="35"/>
  <c r="E26" i="35"/>
  <c r="E27" i="35"/>
  <c r="E28" i="35"/>
  <c r="E29" i="35"/>
  <c r="E30" i="35"/>
  <c r="E31" i="35"/>
  <c r="E32" i="35"/>
  <c r="E33" i="35"/>
  <c r="E16" i="35" l="1"/>
  <c r="E10" i="39" s="1"/>
  <c r="E35" i="35"/>
  <c r="E18" i="38" s="1"/>
  <c r="E9" i="35"/>
  <c r="E15" i="40" s="1"/>
  <c r="E40" i="35"/>
  <c r="E18" i="35"/>
  <c r="E17" i="40" s="1"/>
  <c r="F6" i="39"/>
  <c r="F8" i="39" s="1"/>
  <c r="G6" i="39"/>
  <c r="G8" i="39" s="1"/>
  <c r="H6" i="39"/>
  <c r="H8" i="39" s="1"/>
  <c r="I6" i="39"/>
  <c r="I8" i="39" s="1"/>
  <c r="J6" i="39"/>
  <c r="J8" i="39" s="1"/>
  <c r="K6" i="39"/>
  <c r="K8" i="39" s="1"/>
  <c r="L6" i="39"/>
  <c r="L8" i="39" s="1"/>
  <c r="M6" i="39"/>
  <c r="M8" i="39" s="1"/>
  <c r="N6" i="39"/>
  <c r="N8" i="39" s="1"/>
  <c r="O6" i="39"/>
  <c r="O8" i="39" s="1"/>
  <c r="P6" i="39"/>
  <c r="P8" i="39" s="1"/>
  <c r="Q6" i="39"/>
  <c r="Q8" i="39" s="1"/>
  <c r="R6" i="39"/>
  <c r="R8" i="39" s="1"/>
  <c r="S6" i="39"/>
  <c r="S8" i="39" s="1"/>
  <c r="T6" i="39"/>
  <c r="T8" i="39" s="1"/>
  <c r="U6" i="39"/>
  <c r="U8" i="39" s="1"/>
  <c r="V6" i="39"/>
  <c r="V8" i="39" s="1"/>
  <c r="W6" i="39"/>
  <c r="W8" i="39" s="1"/>
  <c r="X6" i="39"/>
  <c r="X8" i="39" s="1"/>
  <c r="Y6" i="39"/>
  <c r="Y8" i="39" s="1"/>
  <c r="Z6" i="39"/>
  <c r="Z8" i="39" s="1"/>
  <c r="AA6" i="39"/>
  <c r="AA8" i="39" s="1"/>
  <c r="AB6" i="39"/>
  <c r="AB8" i="39" s="1"/>
  <c r="AC6" i="39"/>
  <c r="AC8" i="39" s="1"/>
  <c r="AD6" i="39"/>
  <c r="AD8" i="39" s="1"/>
  <c r="AE6" i="39"/>
  <c r="AE8" i="39" s="1"/>
  <c r="AF6" i="39"/>
  <c r="AF8" i="39" s="1"/>
  <c r="AG6" i="39"/>
  <c r="AG8" i="39" s="1"/>
  <c r="AH6" i="39"/>
  <c r="AH8" i="39" s="1"/>
  <c r="AI6" i="39"/>
  <c r="AI8" i="39" s="1"/>
  <c r="AJ6" i="39"/>
  <c r="AJ8" i="39" s="1"/>
  <c r="AK6" i="39"/>
  <c r="AK8" i="39" s="1"/>
  <c r="AL6" i="39"/>
  <c r="AL8" i="39" s="1"/>
  <c r="AM6" i="39"/>
  <c r="AM8" i="39" s="1"/>
  <c r="AN6" i="39"/>
  <c r="AN8" i="39" s="1"/>
  <c r="AO6" i="39"/>
  <c r="AO8" i="39" s="1"/>
  <c r="AP6" i="39"/>
  <c r="AP8" i="39" s="1"/>
  <c r="AQ6" i="39"/>
  <c r="AQ8" i="39" s="1"/>
  <c r="AR6" i="39"/>
  <c r="AR8" i="39" s="1"/>
  <c r="AS6" i="39"/>
  <c r="AS8" i="39" s="1"/>
  <c r="AT6" i="39"/>
  <c r="AT8" i="39" s="1"/>
  <c r="AU6" i="39"/>
  <c r="AU8" i="39" s="1"/>
  <c r="AV6" i="39"/>
  <c r="AV8" i="39" s="1"/>
  <c r="AW6" i="39"/>
  <c r="AW8" i="39" s="1"/>
  <c r="AX6" i="39"/>
  <c r="AX8" i="39" s="1"/>
  <c r="AY6" i="39"/>
  <c r="AY8" i="39" s="1"/>
  <c r="AZ6" i="39"/>
  <c r="AZ8" i="39" s="1"/>
  <c r="BA6" i="39"/>
  <c r="BA8" i="39" s="1"/>
  <c r="BB6" i="39"/>
  <c r="BB8" i="39" s="1"/>
  <c r="BC6" i="39"/>
  <c r="BC8" i="39" s="1"/>
  <c r="BD6" i="39"/>
  <c r="BD8" i="39" s="1"/>
  <c r="BE6" i="39"/>
  <c r="BE8" i="39" s="1"/>
  <c r="E6" i="39"/>
  <c r="E8" i="39" s="1"/>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AH38" i="38"/>
  <c r="AI38" i="38"/>
  <c r="AJ38" i="38"/>
  <c r="AK38" i="38"/>
  <c r="AL38" i="38"/>
  <c r="AM38" i="38"/>
  <c r="AN38" i="38"/>
  <c r="AO38" i="38"/>
  <c r="AP38" i="38"/>
  <c r="AQ38" i="38"/>
  <c r="AR38" i="38"/>
  <c r="AS38" i="38"/>
  <c r="AT38" i="38"/>
  <c r="AU38" i="38"/>
  <c r="AV38" i="38"/>
  <c r="AW38" i="38"/>
  <c r="AX38" i="38"/>
  <c r="AY38" i="38"/>
  <c r="AZ38" i="38"/>
  <c r="BA38" i="38"/>
  <c r="BB38" i="38"/>
  <c r="BC38" i="38"/>
  <c r="BD38" i="38"/>
  <c r="BE38"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AH37" i="38"/>
  <c r="AI37" i="38"/>
  <c r="AJ37" i="38"/>
  <c r="AK37" i="38"/>
  <c r="AL37" i="38"/>
  <c r="AM37" i="38"/>
  <c r="AN37" i="38"/>
  <c r="AO37" i="38"/>
  <c r="AP37" i="38"/>
  <c r="AQ37" i="38"/>
  <c r="AR37" i="38"/>
  <c r="AS37" i="38"/>
  <c r="AT37" i="38"/>
  <c r="AU37" i="38"/>
  <c r="AV37" i="38"/>
  <c r="AW37" i="38"/>
  <c r="AX37" i="38"/>
  <c r="AY37" i="38"/>
  <c r="AZ37" i="38"/>
  <c r="BA37" i="38"/>
  <c r="BB37" i="38"/>
  <c r="BC37" i="38"/>
  <c r="BD37" i="38"/>
  <c r="BE37" i="38"/>
  <c r="F36" i="38"/>
  <c r="G36" i="38"/>
  <c r="H36" i="38"/>
  <c r="I36" i="38"/>
  <c r="J36" i="38"/>
  <c r="K36" i="38"/>
  <c r="L36" i="38"/>
  <c r="L40" i="38" s="1"/>
  <c r="M36" i="38"/>
  <c r="M40" i="38" s="1"/>
  <c r="N36" i="38"/>
  <c r="O36" i="38"/>
  <c r="O40" i="38" s="1"/>
  <c r="P36" i="38"/>
  <c r="P40" i="38" s="1"/>
  <c r="Q36" i="38"/>
  <c r="Q40" i="38" s="1"/>
  <c r="R36" i="38"/>
  <c r="R40" i="38" s="1"/>
  <c r="S36" i="38"/>
  <c r="S40" i="38" s="1"/>
  <c r="T36" i="38"/>
  <c r="U36" i="38"/>
  <c r="V36" i="38"/>
  <c r="W36" i="38"/>
  <c r="X36" i="38"/>
  <c r="Y36" i="38"/>
  <c r="Z36" i="38"/>
  <c r="AA36" i="38"/>
  <c r="AB36" i="38"/>
  <c r="AB40" i="38" s="1"/>
  <c r="AC36" i="38"/>
  <c r="AC40" i="38" s="1"/>
  <c r="AD36" i="38"/>
  <c r="AE36" i="38"/>
  <c r="AE40" i="38" s="1"/>
  <c r="AF36" i="38"/>
  <c r="AF40" i="38" s="1"/>
  <c r="AG36" i="38"/>
  <c r="AG40" i="38" s="1"/>
  <c r="AH36" i="38"/>
  <c r="AH40" i="38" s="1"/>
  <c r="AI36" i="38"/>
  <c r="AI40" i="38" s="1"/>
  <c r="AJ36" i="38"/>
  <c r="AK36" i="38"/>
  <c r="AL36" i="38"/>
  <c r="AM36" i="38"/>
  <c r="AN36" i="38"/>
  <c r="AO36" i="38"/>
  <c r="AP36" i="38"/>
  <c r="AQ36" i="38"/>
  <c r="AR36" i="38"/>
  <c r="AR40" i="38" s="1"/>
  <c r="AS36" i="38"/>
  <c r="AS40" i="38" s="1"/>
  <c r="AT36" i="38"/>
  <c r="AU36" i="38"/>
  <c r="AU40" i="38" s="1"/>
  <c r="AV36" i="38"/>
  <c r="AV40" i="38" s="1"/>
  <c r="AW36" i="38"/>
  <c r="AW40" i="38" s="1"/>
  <c r="AX36" i="38"/>
  <c r="AX40" i="38" s="1"/>
  <c r="AY36" i="38"/>
  <c r="AY40" i="38" s="1"/>
  <c r="AZ36" i="38"/>
  <c r="BA36" i="38"/>
  <c r="BB36" i="38"/>
  <c r="BC36" i="38"/>
  <c r="BD36" i="38"/>
  <c r="BE36"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AH32" i="38"/>
  <c r="AI32" i="38"/>
  <c r="AJ32" i="38"/>
  <c r="AK32" i="38"/>
  <c r="AL32" i="38"/>
  <c r="AM32" i="38"/>
  <c r="AN32" i="38"/>
  <c r="AO32" i="38"/>
  <c r="AP32" i="38"/>
  <c r="AQ32" i="38"/>
  <c r="AR32" i="38"/>
  <c r="AS32" i="38"/>
  <c r="AT32" i="38"/>
  <c r="AU32" i="38"/>
  <c r="AV32" i="38"/>
  <c r="AW32" i="38"/>
  <c r="AX32" i="38"/>
  <c r="AY32" i="38"/>
  <c r="AZ32" i="38"/>
  <c r="BA32" i="38"/>
  <c r="BB32" i="38"/>
  <c r="BC32" i="38"/>
  <c r="BD32" i="38"/>
  <c r="BE32" i="38"/>
  <c r="F31" i="38"/>
  <c r="G31" i="38"/>
  <c r="H31" i="38"/>
  <c r="I31" i="38"/>
  <c r="J31" i="38"/>
  <c r="K31" i="38"/>
  <c r="L31" i="38"/>
  <c r="M31" i="38"/>
  <c r="N31" i="38"/>
  <c r="O31" i="38"/>
  <c r="P31" i="38"/>
  <c r="Q31" i="38"/>
  <c r="R31" i="38"/>
  <c r="S31" i="38"/>
  <c r="T31" i="38"/>
  <c r="U31" i="38"/>
  <c r="V31" i="38"/>
  <c r="W31" i="38"/>
  <c r="X31" i="38"/>
  <c r="Y31" i="38"/>
  <c r="Z31" i="38"/>
  <c r="AA31" i="38"/>
  <c r="AB31" i="38"/>
  <c r="AC31" i="38"/>
  <c r="AD31" i="38"/>
  <c r="AE31" i="38"/>
  <c r="AF31" i="38"/>
  <c r="AG31" i="38"/>
  <c r="AH31" i="38"/>
  <c r="AI31" i="38"/>
  <c r="AJ31" i="38"/>
  <c r="AK31" i="38"/>
  <c r="AL31" i="38"/>
  <c r="AM31" i="38"/>
  <c r="AN31" i="38"/>
  <c r="AO31" i="38"/>
  <c r="AP31" i="38"/>
  <c r="AQ31" i="38"/>
  <c r="AR31" i="38"/>
  <c r="AS31" i="38"/>
  <c r="AT31" i="38"/>
  <c r="AU31" i="38"/>
  <c r="AV31" i="38"/>
  <c r="AW31" i="38"/>
  <c r="AX31" i="38"/>
  <c r="AY31" i="38"/>
  <c r="AZ31" i="38"/>
  <c r="BA31" i="38"/>
  <c r="BB31" i="38"/>
  <c r="BC31" i="38"/>
  <c r="BD31" i="38"/>
  <c r="BE31" i="38"/>
  <c r="F30" i="38"/>
  <c r="G30" i="38"/>
  <c r="H30" i="38"/>
  <c r="I30" i="38"/>
  <c r="J30" i="38"/>
  <c r="K30" i="38"/>
  <c r="L30" i="38"/>
  <c r="M30" i="38"/>
  <c r="N30" i="38"/>
  <c r="O30" i="38"/>
  <c r="P30" i="38"/>
  <c r="Q30" i="38"/>
  <c r="R30" i="38"/>
  <c r="S30" i="38"/>
  <c r="T30" i="38"/>
  <c r="U30" i="38"/>
  <c r="V30" i="38"/>
  <c r="W30" i="38"/>
  <c r="X30" i="38"/>
  <c r="Y30" i="38"/>
  <c r="Z30" i="38"/>
  <c r="AA30" i="38"/>
  <c r="AB30" i="38"/>
  <c r="AC30" i="38"/>
  <c r="AD30" i="38"/>
  <c r="AE30" i="38"/>
  <c r="AF30" i="38"/>
  <c r="AG30" i="38"/>
  <c r="AH30" i="38"/>
  <c r="AI30" i="38"/>
  <c r="AJ30" i="38"/>
  <c r="AK30" i="38"/>
  <c r="AL30" i="38"/>
  <c r="AM30" i="38"/>
  <c r="AN30" i="38"/>
  <c r="AO30" i="38"/>
  <c r="AP30" i="38"/>
  <c r="AQ30" i="38"/>
  <c r="AR30" i="38"/>
  <c r="AS30" i="38"/>
  <c r="AT30" i="38"/>
  <c r="AU30" i="38"/>
  <c r="AV30" i="38"/>
  <c r="AW30" i="38"/>
  <c r="AX30" i="38"/>
  <c r="AY30" i="38"/>
  <c r="AZ30" i="38"/>
  <c r="BA30" i="38"/>
  <c r="BB30" i="38"/>
  <c r="BC30" i="38"/>
  <c r="BD30" i="38"/>
  <c r="BE30"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AH29" i="38"/>
  <c r="AI29" i="38"/>
  <c r="AJ29" i="38"/>
  <c r="AK29" i="38"/>
  <c r="AL29" i="38"/>
  <c r="AM29" i="38"/>
  <c r="AN29" i="38"/>
  <c r="AO29" i="38"/>
  <c r="AP29" i="38"/>
  <c r="AQ29" i="38"/>
  <c r="AR29" i="38"/>
  <c r="AS29" i="38"/>
  <c r="AT29" i="38"/>
  <c r="AU29" i="38"/>
  <c r="AV29" i="38"/>
  <c r="AW29" i="38"/>
  <c r="AX29" i="38"/>
  <c r="AY29" i="38"/>
  <c r="AZ29" i="38"/>
  <c r="BA29" i="38"/>
  <c r="BB29" i="38"/>
  <c r="BC29" i="38"/>
  <c r="BD29" i="38"/>
  <c r="BE29"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AH28" i="38"/>
  <c r="AI28" i="38"/>
  <c r="AJ28" i="38"/>
  <c r="AK28" i="38"/>
  <c r="AL28" i="38"/>
  <c r="AM28" i="38"/>
  <c r="AN28" i="38"/>
  <c r="AO28" i="38"/>
  <c r="AP28" i="38"/>
  <c r="AQ28" i="38"/>
  <c r="AR28" i="38"/>
  <c r="AS28" i="38"/>
  <c r="AT28" i="38"/>
  <c r="AU28" i="38"/>
  <c r="AV28" i="38"/>
  <c r="AW28" i="38"/>
  <c r="AX28" i="38"/>
  <c r="AY28" i="38"/>
  <c r="AZ28" i="38"/>
  <c r="BA28" i="38"/>
  <c r="BB28" i="38"/>
  <c r="BC28" i="38"/>
  <c r="BD28" i="38"/>
  <c r="BE28" i="38"/>
  <c r="F27" i="38"/>
  <c r="G27" i="38"/>
  <c r="H27" i="38"/>
  <c r="H34" i="38" s="1"/>
  <c r="I27" i="38"/>
  <c r="I34" i="38" s="1"/>
  <c r="J27" i="38"/>
  <c r="J34" i="38" s="1"/>
  <c r="K27" i="38"/>
  <c r="K34" i="38" s="1"/>
  <c r="L27" i="38"/>
  <c r="M27" i="38"/>
  <c r="N27" i="38"/>
  <c r="O27" i="38"/>
  <c r="P27" i="38"/>
  <c r="Q27" i="38"/>
  <c r="R27" i="38"/>
  <c r="S27" i="38"/>
  <c r="T27" i="38"/>
  <c r="U27" i="38"/>
  <c r="V27" i="38"/>
  <c r="W27" i="38"/>
  <c r="X27" i="38"/>
  <c r="Y27" i="38"/>
  <c r="Y34" i="38" s="1"/>
  <c r="Z27" i="38"/>
  <c r="Z34" i="38" s="1"/>
  <c r="AA27" i="38"/>
  <c r="AA34" i="38" s="1"/>
  <c r="AB27" i="38"/>
  <c r="AC27" i="38"/>
  <c r="AD27" i="38"/>
  <c r="AE27" i="38"/>
  <c r="AF27" i="38"/>
  <c r="AG27" i="38"/>
  <c r="AH27" i="38"/>
  <c r="AI27" i="38"/>
  <c r="AJ27" i="38"/>
  <c r="AK27" i="38"/>
  <c r="AL27" i="38"/>
  <c r="AM27" i="38"/>
  <c r="AN27" i="38"/>
  <c r="AN34" i="38" s="1"/>
  <c r="AO27" i="38"/>
  <c r="AO34" i="38" s="1"/>
  <c r="AP27" i="38"/>
  <c r="AP34" i="38" s="1"/>
  <c r="AQ27" i="38"/>
  <c r="AQ34" i="38" s="1"/>
  <c r="AR27" i="38"/>
  <c r="AS27" i="38"/>
  <c r="AT27" i="38"/>
  <c r="AU27" i="38"/>
  <c r="AV27" i="38"/>
  <c r="AW27" i="38"/>
  <c r="AX27" i="38"/>
  <c r="AY27" i="38"/>
  <c r="AZ27" i="38"/>
  <c r="BA27" i="38"/>
  <c r="BB27" i="38"/>
  <c r="BC27" i="38"/>
  <c r="BD27" i="38"/>
  <c r="BD34" i="38" s="1"/>
  <c r="BE27" i="38"/>
  <c r="BE34" i="38" s="1"/>
  <c r="F7" i="38"/>
  <c r="G7" i="38"/>
  <c r="H7" i="38"/>
  <c r="I7" i="38"/>
  <c r="J7" i="38"/>
  <c r="K7" i="38"/>
  <c r="L7" i="38"/>
  <c r="M7" i="38"/>
  <c r="N7" i="38"/>
  <c r="O7" i="38"/>
  <c r="P7" i="38"/>
  <c r="Q7" i="38"/>
  <c r="R7" i="38"/>
  <c r="S7" i="38"/>
  <c r="T7" i="38"/>
  <c r="U7" i="38"/>
  <c r="V7" i="38"/>
  <c r="W7" i="38"/>
  <c r="X7" i="38"/>
  <c r="Y7" i="38"/>
  <c r="Z7" i="38"/>
  <c r="AA7" i="38"/>
  <c r="AB7" i="38"/>
  <c r="AC7" i="38"/>
  <c r="AD7" i="38"/>
  <c r="AE7" i="38"/>
  <c r="AF7" i="38"/>
  <c r="AG7" i="38"/>
  <c r="AH7" i="38"/>
  <c r="AI7" i="38"/>
  <c r="AJ7" i="38"/>
  <c r="AK7" i="38"/>
  <c r="AL7" i="38"/>
  <c r="AM7" i="38"/>
  <c r="AN7" i="38"/>
  <c r="AO7" i="38"/>
  <c r="AP7" i="38"/>
  <c r="AQ7" i="38"/>
  <c r="AR7" i="38"/>
  <c r="AS7" i="38"/>
  <c r="AT7" i="38"/>
  <c r="AU7" i="38"/>
  <c r="AV7" i="38"/>
  <c r="AW7" i="38"/>
  <c r="AX7" i="38"/>
  <c r="AY7" i="38"/>
  <c r="AZ7" i="38"/>
  <c r="BA7" i="38"/>
  <c r="BB7" i="38"/>
  <c r="BC7" i="38"/>
  <c r="BD7" i="38"/>
  <c r="BE7" i="38"/>
  <c r="F6" i="38"/>
  <c r="G6" i="38"/>
  <c r="H6" i="38"/>
  <c r="H9" i="38" s="1"/>
  <c r="I6" i="38"/>
  <c r="I9" i="38" s="1"/>
  <c r="J6" i="38"/>
  <c r="J9" i="38" s="1"/>
  <c r="K6" i="38"/>
  <c r="K9" i="38" s="1"/>
  <c r="L6" i="38"/>
  <c r="L9" i="38" s="1"/>
  <c r="M6" i="38"/>
  <c r="M9" i="38" s="1"/>
  <c r="N6" i="38"/>
  <c r="O6" i="38"/>
  <c r="P6" i="38"/>
  <c r="P9" i="38" s="1"/>
  <c r="Q6" i="38"/>
  <c r="Q9" i="38" s="1"/>
  <c r="R6" i="38"/>
  <c r="R9" i="38" s="1"/>
  <c r="S6" i="38"/>
  <c r="S9" i="38" s="1"/>
  <c r="T6" i="38"/>
  <c r="U6" i="38"/>
  <c r="V6" i="38"/>
  <c r="W6" i="38"/>
  <c r="X6" i="38"/>
  <c r="Y6" i="38"/>
  <c r="Y9" i="38" s="1"/>
  <c r="Z6" i="38"/>
  <c r="Z9" i="38" s="1"/>
  <c r="AA6" i="38"/>
  <c r="AA9" i="38" s="1"/>
  <c r="AB6" i="38"/>
  <c r="AB9" i="38" s="1"/>
  <c r="AC6" i="38"/>
  <c r="AC9" i="38" s="1"/>
  <c r="AD6" i="38"/>
  <c r="AE6" i="38"/>
  <c r="AE9" i="38" s="1"/>
  <c r="AF6" i="38"/>
  <c r="AF9" i="38" s="1"/>
  <c r="AG6" i="38"/>
  <c r="AG9" i="38" s="1"/>
  <c r="AH6" i="38"/>
  <c r="AH9" i="38" s="1"/>
  <c r="AI6" i="38"/>
  <c r="AI9" i="38" s="1"/>
  <c r="AJ6" i="38"/>
  <c r="AK6" i="38"/>
  <c r="AL6" i="38"/>
  <c r="AM6" i="38"/>
  <c r="AN6" i="38"/>
  <c r="AN9" i="38" s="1"/>
  <c r="AO6" i="38"/>
  <c r="AO9" i="38" s="1"/>
  <c r="AP6" i="38"/>
  <c r="AP9" i="38" s="1"/>
  <c r="AQ6" i="38"/>
  <c r="AQ9" i="38" s="1"/>
  <c r="AR6" i="38"/>
  <c r="AR9" i="38" s="1"/>
  <c r="AS6" i="38"/>
  <c r="AS9" i="38" s="1"/>
  <c r="AT6" i="38"/>
  <c r="AU6" i="38"/>
  <c r="AU9" i="38" s="1"/>
  <c r="AV6" i="38"/>
  <c r="AV9" i="38" s="1"/>
  <c r="AW6" i="38"/>
  <c r="AW9" i="38" s="1"/>
  <c r="AX6" i="38"/>
  <c r="AX9" i="38" s="1"/>
  <c r="AY6" i="38"/>
  <c r="AY9" i="38" s="1"/>
  <c r="AZ6" i="38"/>
  <c r="BA6" i="38"/>
  <c r="BB6" i="38"/>
  <c r="BC6" i="38"/>
  <c r="BD6" i="38"/>
  <c r="BD9" i="38" s="1"/>
  <c r="BE6" i="38"/>
  <c r="BE9" i="38" s="1"/>
  <c r="E38" i="38"/>
  <c r="E37" i="38"/>
  <c r="E36" i="38"/>
  <c r="E32" i="38"/>
  <c r="E31" i="38"/>
  <c r="E30" i="38"/>
  <c r="E29" i="38"/>
  <c r="E28" i="38"/>
  <c r="E27" i="38"/>
  <c r="E7" i="38"/>
  <c r="E6" i="38"/>
  <c r="F31" i="37"/>
  <c r="G31" i="37"/>
  <c r="H31" i="37"/>
  <c r="I31" i="37"/>
  <c r="J31" i="37"/>
  <c r="K31" i="37"/>
  <c r="L31" i="37"/>
  <c r="M31" i="37"/>
  <c r="N31" i="37"/>
  <c r="O31" i="37"/>
  <c r="P31" i="37"/>
  <c r="Q31" i="37"/>
  <c r="R31" i="37"/>
  <c r="S31" i="37"/>
  <c r="T31" i="37"/>
  <c r="U31" i="37"/>
  <c r="V31" i="37"/>
  <c r="W31" i="37"/>
  <c r="X31" i="37"/>
  <c r="Y31" i="37"/>
  <c r="Z31" i="37"/>
  <c r="AA31" i="37"/>
  <c r="AB31" i="37"/>
  <c r="AC31" i="37"/>
  <c r="AD31" i="37"/>
  <c r="AE31" i="37"/>
  <c r="AF31" i="37"/>
  <c r="AG31" i="37"/>
  <c r="AH31" i="37"/>
  <c r="AI31" i="37"/>
  <c r="AJ31" i="37"/>
  <c r="AK31" i="37"/>
  <c r="AL31" i="37"/>
  <c r="AM31" i="37"/>
  <c r="AN31" i="37"/>
  <c r="AO31" i="37"/>
  <c r="AP31" i="37"/>
  <c r="AQ31" i="37"/>
  <c r="AR31" i="37"/>
  <c r="AS31" i="37"/>
  <c r="AT31" i="37"/>
  <c r="AU31" i="37"/>
  <c r="AV31" i="37"/>
  <c r="AW31" i="37"/>
  <c r="AX31" i="37"/>
  <c r="AY31" i="37"/>
  <c r="AZ31" i="37"/>
  <c r="BA31" i="37"/>
  <c r="BB31" i="37"/>
  <c r="BC31" i="37"/>
  <c r="BD31" i="37"/>
  <c r="BE31" i="37"/>
  <c r="F30" i="37"/>
  <c r="G30" i="37"/>
  <c r="H30" i="37"/>
  <c r="I30" i="37"/>
  <c r="J30" i="37"/>
  <c r="K30" i="37"/>
  <c r="L30" i="37"/>
  <c r="M30" i="37"/>
  <c r="N30" i="37"/>
  <c r="O30" i="37"/>
  <c r="P30" i="37"/>
  <c r="Q30" i="37"/>
  <c r="R30" i="37"/>
  <c r="S30" i="37"/>
  <c r="T30" i="37"/>
  <c r="U30" i="37"/>
  <c r="V30" i="37"/>
  <c r="W30" i="37"/>
  <c r="X30" i="37"/>
  <c r="Y30" i="37"/>
  <c r="Z30" i="37"/>
  <c r="AA30" i="37"/>
  <c r="AB30" i="37"/>
  <c r="AC30" i="37"/>
  <c r="AD30" i="37"/>
  <c r="AE30" i="37"/>
  <c r="AF30" i="37"/>
  <c r="AG30" i="37"/>
  <c r="AH30" i="37"/>
  <c r="AI30" i="37"/>
  <c r="AJ30" i="37"/>
  <c r="AK30" i="37"/>
  <c r="AL30" i="37"/>
  <c r="AM30" i="37"/>
  <c r="AN30" i="37"/>
  <c r="AO30" i="37"/>
  <c r="AP30" i="37"/>
  <c r="AQ30" i="37"/>
  <c r="AR30" i="37"/>
  <c r="AS30" i="37"/>
  <c r="AT30" i="37"/>
  <c r="AU30" i="37"/>
  <c r="AV30" i="37"/>
  <c r="AW30" i="37"/>
  <c r="AX30" i="37"/>
  <c r="AY30" i="37"/>
  <c r="AZ30" i="37"/>
  <c r="BA30" i="37"/>
  <c r="BB30" i="37"/>
  <c r="BC30" i="37"/>
  <c r="BD30" i="37"/>
  <c r="BE30" i="37"/>
  <c r="F29" i="37"/>
  <c r="G29" i="37"/>
  <c r="H29" i="37"/>
  <c r="I29" i="37"/>
  <c r="J29" i="37"/>
  <c r="K29" i="37"/>
  <c r="L29" i="37"/>
  <c r="M29" i="37"/>
  <c r="N29" i="37"/>
  <c r="O29" i="37"/>
  <c r="P29" i="37"/>
  <c r="Q29" i="37"/>
  <c r="R29" i="37"/>
  <c r="S29" i="37"/>
  <c r="T29" i="37"/>
  <c r="U29" i="37"/>
  <c r="V29" i="37"/>
  <c r="W29" i="37"/>
  <c r="X29" i="37"/>
  <c r="Y29" i="37"/>
  <c r="Z29" i="37"/>
  <c r="AA29" i="37"/>
  <c r="AB29" i="37"/>
  <c r="AC29" i="37"/>
  <c r="AD29" i="37"/>
  <c r="AE29" i="37"/>
  <c r="AF29" i="37"/>
  <c r="AG29" i="37"/>
  <c r="AH29" i="37"/>
  <c r="AI29" i="37"/>
  <c r="AJ29" i="37"/>
  <c r="AK29" i="37"/>
  <c r="AL29" i="37"/>
  <c r="AM29" i="37"/>
  <c r="AN29" i="37"/>
  <c r="AO29" i="37"/>
  <c r="AP29" i="37"/>
  <c r="AQ29" i="37"/>
  <c r="AR29" i="37"/>
  <c r="AS29" i="37"/>
  <c r="AT29" i="37"/>
  <c r="AU29" i="37"/>
  <c r="AV29" i="37"/>
  <c r="AW29" i="37"/>
  <c r="AX29" i="37"/>
  <c r="AY29" i="37"/>
  <c r="AZ29" i="37"/>
  <c r="BA29" i="37"/>
  <c r="BB29" i="37"/>
  <c r="BC29" i="37"/>
  <c r="BD29" i="37"/>
  <c r="BE29" i="37"/>
  <c r="F28" i="37"/>
  <c r="G28" i="37"/>
  <c r="H28" i="37"/>
  <c r="I28" i="37"/>
  <c r="J28" i="37"/>
  <c r="K28" i="37"/>
  <c r="L28" i="37"/>
  <c r="M28" i="37"/>
  <c r="N28" i="37"/>
  <c r="O28" i="37"/>
  <c r="P28" i="37"/>
  <c r="Q28" i="37"/>
  <c r="R28" i="37"/>
  <c r="S28" i="37"/>
  <c r="T28" i="37"/>
  <c r="U28" i="37"/>
  <c r="V28" i="37"/>
  <c r="W28" i="37"/>
  <c r="X28" i="37"/>
  <c r="Y28" i="37"/>
  <c r="Z28" i="37"/>
  <c r="AA28" i="37"/>
  <c r="AB28" i="37"/>
  <c r="AC28" i="37"/>
  <c r="AD28" i="37"/>
  <c r="AE28" i="37"/>
  <c r="AF28" i="37"/>
  <c r="AG28" i="37"/>
  <c r="AH28" i="37"/>
  <c r="AI28" i="37"/>
  <c r="AJ28" i="37"/>
  <c r="AK28" i="37"/>
  <c r="AL28" i="37"/>
  <c r="AM28" i="37"/>
  <c r="AN28" i="37"/>
  <c r="AO28" i="37"/>
  <c r="AP28" i="37"/>
  <c r="AQ28" i="37"/>
  <c r="AR28" i="37"/>
  <c r="AS28" i="37"/>
  <c r="AT28" i="37"/>
  <c r="AU28" i="37"/>
  <c r="AV28" i="37"/>
  <c r="AW28" i="37"/>
  <c r="AX28" i="37"/>
  <c r="AY28" i="37"/>
  <c r="AZ28" i="37"/>
  <c r="BA28" i="37"/>
  <c r="BB28" i="37"/>
  <c r="BC28" i="37"/>
  <c r="BD28" i="37"/>
  <c r="BE28" i="37"/>
  <c r="F27" i="37"/>
  <c r="G27" i="37"/>
  <c r="H27" i="37"/>
  <c r="I27" i="37"/>
  <c r="J27" i="37"/>
  <c r="K27" i="37"/>
  <c r="L27" i="37"/>
  <c r="M27" i="37"/>
  <c r="N27" i="37"/>
  <c r="O27" i="37"/>
  <c r="P27" i="37"/>
  <c r="Q27" i="37"/>
  <c r="R27" i="37"/>
  <c r="S27" i="37"/>
  <c r="T27" i="37"/>
  <c r="U27" i="37"/>
  <c r="V27" i="37"/>
  <c r="W27" i="37"/>
  <c r="X27" i="37"/>
  <c r="Y27" i="37"/>
  <c r="Z27" i="37"/>
  <c r="AA27" i="37"/>
  <c r="AB27" i="37"/>
  <c r="AC27" i="37"/>
  <c r="AD27" i="37"/>
  <c r="AE27" i="37"/>
  <c r="AF27" i="37"/>
  <c r="AG27" i="37"/>
  <c r="AH27" i="37"/>
  <c r="AI27" i="37"/>
  <c r="AJ27" i="37"/>
  <c r="AK27" i="37"/>
  <c r="AL27" i="37"/>
  <c r="AM27" i="37"/>
  <c r="AN27" i="37"/>
  <c r="AO27" i="37"/>
  <c r="AP27" i="37"/>
  <c r="AQ27" i="37"/>
  <c r="AR27" i="37"/>
  <c r="AS27" i="37"/>
  <c r="AT27" i="37"/>
  <c r="AU27" i="37"/>
  <c r="AV27" i="37"/>
  <c r="AW27" i="37"/>
  <c r="AX27" i="37"/>
  <c r="AY27" i="37"/>
  <c r="AZ27" i="37"/>
  <c r="BA27" i="37"/>
  <c r="BB27" i="37"/>
  <c r="BC27" i="37"/>
  <c r="BD27" i="37"/>
  <c r="BE27" i="37"/>
  <c r="F26" i="37"/>
  <c r="G26" i="37"/>
  <c r="H26" i="37"/>
  <c r="I26" i="37"/>
  <c r="J26" i="37"/>
  <c r="K26" i="37"/>
  <c r="L26" i="37"/>
  <c r="M26" i="37"/>
  <c r="N26" i="37"/>
  <c r="O26" i="37"/>
  <c r="P26" i="37"/>
  <c r="Q26" i="37"/>
  <c r="R26" i="37"/>
  <c r="S26" i="37"/>
  <c r="T26" i="37"/>
  <c r="U26" i="37"/>
  <c r="V26" i="37"/>
  <c r="W26" i="37"/>
  <c r="X26" i="37"/>
  <c r="Y26" i="37"/>
  <c r="Z26" i="37"/>
  <c r="AA26" i="37"/>
  <c r="AB26" i="37"/>
  <c r="AC26" i="37"/>
  <c r="AD26" i="37"/>
  <c r="AE26" i="37"/>
  <c r="AF26" i="37"/>
  <c r="AG26" i="37"/>
  <c r="AH26" i="37"/>
  <c r="AI26" i="37"/>
  <c r="AJ26" i="37"/>
  <c r="AK26" i="37"/>
  <c r="AL26" i="37"/>
  <c r="AM26" i="37"/>
  <c r="AN26" i="37"/>
  <c r="AO26" i="37"/>
  <c r="AP26" i="37"/>
  <c r="AQ26" i="37"/>
  <c r="AR26" i="37"/>
  <c r="AS26" i="37"/>
  <c r="AT26" i="37"/>
  <c r="AU26" i="37"/>
  <c r="AV26" i="37"/>
  <c r="AW26" i="37"/>
  <c r="AX26" i="37"/>
  <c r="AY26" i="37"/>
  <c r="AZ26" i="37"/>
  <c r="BA26" i="37"/>
  <c r="BB26" i="37"/>
  <c r="BC26" i="37"/>
  <c r="BD26" i="37"/>
  <c r="BE26" i="37"/>
  <c r="F16" i="37"/>
  <c r="G16" i="37"/>
  <c r="H16" i="37"/>
  <c r="I16" i="37"/>
  <c r="J16" i="37"/>
  <c r="K16" i="37"/>
  <c r="L16" i="37"/>
  <c r="M16" i="37"/>
  <c r="N16" i="37"/>
  <c r="O16" i="37"/>
  <c r="P16" i="37"/>
  <c r="Q16" i="37"/>
  <c r="R16" i="37"/>
  <c r="S16" i="37"/>
  <c r="T16" i="37"/>
  <c r="U16" i="37"/>
  <c r="V16" i="37"/>
  <c r="W16" i="37"/>
  <c r="X16" i="37"/>
  <c r="Y16" i="37"/>
  <c r="Z16" i="37"/>
  <c r="AA16" i="37"/>
  <c r="AB16" i="37"/>
  <c r="AC16" i="37"/>
  <c r="AD16" i="37"/>
  <c r="AE16" i="37"/>
  <c r="AF16" i="37"/>
  <c r="AG16" i="37"/>
  <c r="AH16" i="37"/>
  <c r="AI16" i="37"/>
  <c r="AJ16" i="37"/>
  <c r="AK16" i="37"/>
  <c r="AL16" i="37"/>
  <c r="AM16" i="37"/>
  <c r="AN16" i="37"/>
  <c r="AO16" i="37"/>
  <c r="AP16" i="37"/>
  <c r="AQ16" i="37"/>
  <c r="AR16" i="37"/>
  <c r="AS16" i="37"/>
  <c r="AT16" i="37"/>
  <c r="AU16" i="37"/>
  <c r="AV16" i="37"/>
  <c r="AW16" i="37"/>
  <c r="AX16" i="37"/>
  <c r="AY16" i="37"/>
  <c r="AZ16" i="37"/>
  <c r="BA16" i="37"/>
  <c r="BB16" i="37"/>
  <c r="BC16" i="37"/>
  <c r="BD16" i="37"/>
  <c r="BE16" i="37"/>
  <c r="F15" i="37"/>
  <c r="G15" i="37"/>
  <c r="H15" i="37"/>
  <c r="I15" i="37"/>
  <c r="J15" i="37"/>
  <c r="K15" i="37"/>
  <c r="L15" i="37"/>
  <c r="M15" i="37"/>
  <c r="N15" i="37"/>
  <c r="O15" i="37"/>
  <c r="P15" i="37"/>
  <c r="Q15" i="37"/>
  <c r="R15" i="37"/>
  <c r="S15" i="37"/>
  <c r="T15" i="37"/>
  <c r="U15" i="37"/>
  <c r="V15" i="37"/>
  <c r="W15" i="37"/>
  <c r="X15" i="37"/>
  <c r="Y15" i="37"/>
  <c r="Z15" i="37"/>
  <c r="AA15" i="37"/>
  <c r="AB15" i="37"/>
  <c r="AC15" i="37"/>
  <c r="AD15" i="37"/>
  <c r="AE15" i="37"/>
  <c r="AF15" i="37"/>
  <c r="AG15" i="37"/>
  <c r="AH15" i="37"/>
  <c r="AI15" i="37"/>
  <c r="AJ15" i="37"/>
  <c r="AK15" i="37"/>
  <c r="AL15" i="37"/>
  <c r="AM15" i="37"/>
  <c r="AN15" i="37"/>
  <c r="AO15" i="37"/>
  <c r="AP15" i="37"/>
  <c r="AQ15" i="37"/>
  <c r="AR15" i="37"/>
  <c r="AS15" i="37"/>
  <c r="AT15" i="37"/>
  <c r="AU15" i="37"/>
  <c r="AV15" i="37"/>
  <c r="AW15" i="37"/>
  <c r="AX15" i="37"/>
  <c r="AY15" i="37"/>
  <c r="AZ15" i="37"/>
  <c r="BA15" i="37"/>
  <c r="BB15" i="37"/>
  <c r="BC15" i="37"/>
  <c r="BD15" i="37"/>
  <c r="BE15" i="37"/>
  <c r="F14" i="37"/>
  <c r="G14" i="37"/>
  <c r="H14" i="37"/>
  <c r="I14" i="37"/>
  <c r="J14" i="37"/>
  <c r="K14" i="37"/>
  <c r="L14" i="37"/>
  <c r="M14" i="37"/>
  <c r="N14" i="37"/>
  <c r="O14" i="37"/>
  <c r="P14" i="37"/>
  <c r="Q14" i="37"/>
  <c r="R14" i="37"/>
  <c r="S14" i="37"/>
  <c r="T14" i="37"/>
  <c r="U14" i="37"/>
  <c r="V14" i="37"/>
  <c r="W14" i="37"/>
  <c r="X14" i="37"/>
  <c r="Y14" i="37"/>
  <c r="Z14" i="37"/>
  <c r="AA14" i="37"/>
  <c r="AB14" i="37"/>
  <c r="AC14" i="37"/>
  <c r="AD14" i="37"/>
  <c r="AE14" i="37"/>
  <c r="AF14" i="37"/>
  <c r="AG14" i="37"/>
  <c r="AH14" i="37"/>
  <c r="AI14" i="37"/>
  <c r="AJ14" i="37"/>
  <c r="AK14" i="37"/>
  <c r="AL14" i="37"/>
  <c r="AM14" i="37"/>
  <c r="AN14" i="37"/>
  <c r="AO14" i="37"/>
  <c r="AP14" i="37"/>
  <c r="AQ14" i="37"/>
  <c r="AR14" i="37"/>
  <c r="AS14" i="37"/>
  <c r="AT14" i="37"/>
  <c r="AU14" i="37"/>
  <c r="AV14" i="37"/>
  <c r="AW14" i="37"/>
  <c r="AX14" i="37"/>
  <c r="AY14" i="37"/>
  <c r="AZ14" i="37"/>
  <c r="BA14" i="37"/>
  <c r="BB14" i="37"/>
  <c r="BC14" i="37"/>
  <c r="BD14" i="37"/>
  <c r="BE14" i="37"/>
  <c r="F13" i="37"/>
  <c r="G13" i="37"/>
  <c r="H13" i="37"/>
  <c r="I13" i="37"/>
  <c r="J13" i="37"/>
  <c r="K13" i="37"/>
  <c r="L13" i="37"/>
  <c r="M13" i="37"/>
  <c r="N13" i="37"/>
  <c r="O13" i="37"/>
  <c r="P13" i="37"/>
  <c r="Q13" i="37"/>
  <c r="R13" i="37"/>
  <c r="S13" i="37"/>
  <c r="T13" i="37"/>
  <c r="U13" i="37"/>
  <c r="V13" i="37"/>
  <c r="W13" i="37"/>
  <c r="X13" i="37"/>
  <c r="Y13" i="37"/>
  <c r="Z13" i="37"/>
  <c r="AA13" i="37"/>
  <c r="AB13" i="37"/>
  <c r="AC13" i="37"/>
  <c r="AD13" i="37"/>
  <c r="AE13" i="37"/>
  <c r="AF13" i="37"/>
  <c r="AG13" i="37"/>
  <c r="AH13" i="37"/>
  <c r="AI13" i="37"/>
  <c r="AJ13" i="37"/>
  <c r="AK13" i="37"/>
  <c r="AL13" i="37"/>
  <c r="AM13" i="37"/>
  <c r="AN13" i="37"/>
  <c r="AO13" i="37"/>
  <c r="AP13" i="37"/>
  <c r="AQ13" i="37"/>
  <c r="AR13" i="37"/>
  <c r="AS13" i="37"/>
  <c r="AT13" i="37"/>
  <c r="AU13" i="37"/>
  <c r="AV13" i="37"/>
  <c r="AW13" i="37"/>
  <c r="AX13" i="37"/>
  <c r="AY13" i="37"/>
  <c r="AZ13" i="37"/>
  <c r="BA13" i="37"/>
  <c r="BB13" i="37"/>
  <c r="BC13" i="37"/>
  <c r="BD13" i="37"/>
  <c r="BE13" i="37"/>
  <c r="F12" i="37"/>
  <c r="G12" i="37"/>
  <c r="H12" i="37"/>
  <c r="I12" i="37"/>
  <c r="J12" i="37"/>
  <c r="K12" i="37"/>
  <c r="L12" i="37"/>
  <c r="M12" i="37"/>
  <c r="N12" i="37"/>
  <c r="O12" i="37"/>
  <c r="P12" i="37"/>
  <c r="Q12" i="37"/>
  <c r="R12" i="37"/>
  <c r="S12" i="37"/>
  <c r="T12" i="37"/>
  <c r="U12" i="37"/>
  <c r="V12" i="37"/>
  <c r="W12" i="37"/>
  <c r="X12" i="37"/>
  <c r="Y12" i="37"/>
  <c r="Z12" i="37"/>
  <c r="AA12" i="37"/>
  <c r="AB12" i="37"/>
  <c r="AC12" i="37"/>
  <c r="AD12" i="37"/>
  <c r="AE12" i="37"/>
  <c r="AF12" i="37"/>
  <c r="AG12" i="37"/>
  <c r="AH12" i="37"/>
  <c r="AI12" i="37"/>
  <c r="AJ12" i="37"/>
  <c r="AK12" i="37"/>
  <c r="AL12" i="37"/>
  <c r="AM12" i="37"/>
  <c r="AN12" i="37"/>
  <c r="AO12" i="37"/>
  <c r="AP12" i="37"/>
  <c r="AQ12" i="37"/>
  <c r="AR12" i="37"/>
  <c r="AS12" i="37"/>
  <c r="AT12" i="37"/>
  <c r="AU12" i="37"/>
  <c r="AV12" i="37"/>
  <c r="AW12" i="37"/>
  <c r="AX12" i="37"/>
  <c r="AY12" i="37"/>
  <c r="AZ12" i="37"/>
  <c r="BA12" i="37"/>
  <c r="BB12" i="37"/>
  <c r="BC12" i="37"/>
  <c r="BD12" i="37"/>
  <c r="BE12" i="37"/>
  <c r="F11" i="37"/>
  <c r="G11" i="37"/>
  <c r="H11" i="37"/>
  <c r="I11" i="37"/>
  <c r="J11" i="37"/>
  <c r="K11" i="37"/>
  <c r="L11" i="37"/>
  <c r="M11" i="37"/>
  <c r="N11" i="37"/>
  <c r="O11" i="37"/>
  <c r="P11" i="37"/>
  <c r="Q11" i="37"/>
  <c r="R11" i="37"/>
  <c r="S11" i="37"/>
  <c r="T11" i="37"/>
  <c r="U11" i="37"/>
  <c r="V11" i="37"/>
  <c r="W11" i="37"/>
  <c r="X11" i="37"/>
  <c r="Y11" i="37"/>
  <c r="Z11" i="37"/>
  <c r="AA11" i="37"/>
  <c r="AB11" i="37"/>
  <c r="AC11" i="37"/>
  <c r="AD11" i="37"/>
  <c r="AE11" i="37"/>
  <c r="AF11" i="37"/>
  <c r="AG11" i="37"/>
  <c r="AH11" i="37"/>
  <c r="AI11" i="37"/>
  <c r="AJ11" i="37"/>
  <c r="AK11" i="37"/>
  <c r="AL11" i="37"/>
  <c r="AM11" i="37"/>
  <c r="AN11" i="37"/>
  <c r="AO11" i="37"/>
  <c r="AP11" i="37"/>
  <c r="AQ11" i="37"/>
  <c r="AR11" i="37"/>
  <c r="AS11" i="37"/>
  <c r="AT11" i="37"/>
  <c r="AU11" i="37"/>
  <c r="AV11" i="37"/>
  <c r="AW11" i="37"/>
  <c r="AX11" i="37"/>
  <c r="AY11" i="37"/>
  <c r="AZ11" i="37"/>
  <c r="BA11" i="37"/>
  <c r="BB11" i="37"/>
  <c r="BC11" i="37"/>
  <c r="BD11" i="37"/>
  <c r="BE11" i="37"/>
  <c r="F10" i="37"/>
  <c r="G10" i="37"/>
  <c r="H10" i="37"/>
  <c r="I10" i="37"/>
  <c r="J10" i="37"/>
  <c r="K10" i="37"/>
  <c r="L10" i="37"/>
  <c r="M10" i="37"/>
  <c r="N10" i="37"/>
  <c r="O10" i="37"/>
  <c r="P10" i="37"/>
  <c r="Q10" i="37"/>
  <c r="R10" i="37"/>
  <c r="S10" i="37"/>
  <c r="T10" i="37"/>
  <c r="U10" i="37"/>
  <c r="V10" i="37"/>
  <c r="W10" i="37"/>
  <c r="X10" i="37"/>
  <c r="Y10" i="37"/>
  <c r="Z10" i="37"/>
  <c r="AA10" i="37"/>
  <c r="AB10" i="37"/>
  <c r="AC10" i="37"/>
  <c r="AD10" i="37"/>
  <c r="AE10" i="37"/>
  <c r="AF10" i="37"/>
  <c r="AG10" i="37"/>
  <c r="AH10" i="37"/>
  <c r="AI10" i="37"/>
  <c r="AJ10" i="37"/>
  <c r="AK10" i="37"/>
  <c r="AL10" i="37"/>
  <c r="AM10" i="37"/>
  <c r="AN10" i="37"/>
  <c r="AO10" i="37"/>
  <c r="AP10" i="37"/>
  <c r="AQ10" i="37"/>
  <c r="AR10" i="37"/>
  <c r="AS10" i="37"/>
  <c r="AT10" i="37"/>
  <c r="AU10" i="37"/>
  <c r="AV10" i="37"/>
  <c r="AW10" i="37"/>
  <c r="AX10" i="37"/>
  <c r="AY10" i="37"/>
  <c r="AZ10" i="37"/>
  <c r="BA10" i="37"/>
  <c r="BB10" i="37"/>
  <c r="BC10" i="37"/>
  <c r="BD10" i="37"/>
  <c r="BE10" i="37"/>
  <c r="F9" i="37"/>
  <c r="G9" i="37"/>
  <c r="H9" i="37"/>
  <c r="I9" i="37"/>
  <c r="J9" i="37"/>
  <c r="K9" i="37"/>
  <c r="L9" i="37"/>
  <c r="M9" i="37"/>
  <c r="N9" i="37"/>
  <c r="O9" i="37"/>
  <c r="P9" i="37"/>
  <c r="Q9" i="37"/>
  <c r="R9" i="37"/>
  <c r="S9" i="37"/>
  <c r="T9" i="37"/>
  <c r="U9" i="37"/>
  <c r="V9" i="37"/>
  <c r="W9" i="37"/>
  <c r="X9" i="37"/>
  <c r="Y9" i="37"/>
  <c r="Z9" i="37"/>
  <c r="AA9" i="37"/>
  <c r="AB9" i="37"/>
  <c r="AC9" i="37"/>
  <c r="AD9" i="37"/>
  <c r="AE9" i="37"/>
  <c r="AF9" i="37"/>
  <c r="AG9" i="37"/>
  <c r="AH9" i="37"/>
  <c r="AI9" i="37"/>
  <c r="AJ9" i="37"/>
  <c r="AK9" i="37"/>
  <c r="AL9" i="37"/>
  <c r="AM9" i="37"/>
  <c r="AN9" i="37"/>
  <c r="AO9" i="37"/>
  <c r="AP9" i="37"/>
  <c r="AQ9" i="37"/>
  <c r="AR9" i="37"/>
  <c r="AS9" i="37"/>
  <c r="AT9" i="37"/>
  <c r="AU9" i="37"/>
  <c r="AV9" i="37"/>
  <c r="AW9" i="37"/>
  <c r="AX9" i="37"/>
  <c r="AY9" i="37"/>
  <c r="AZ9" i="37"/>
  <c r="BA9" i="37"/>
  <c r="BB9" i="37"/>
  <c r="BC9" i="37"/>
  <c r="BD9" i="37"/>
  <c r="BE9" i="37"/>
  <c r="F8" i="37"/>
  <c r="G8" i="37"/>
  <c r="H8" i="37"/>
  <c r="I8" i="37"/>
  <c r="J8" i="37"/>
  <c r="K8" i="37"/>
  <c r="L8" i="37"/>
  <c r="M8" i="37"/>
  <c r="N8" i="37"/>
  <c r="O8" i="37"/>
  <c r="P8" i="37"/>
  <c r="Q8" i="37"/>
  <c r="R8" i="37"/>
  <c r="S8" i="37"/>
  <c r="T8" i="37"/>
  <c r="U8" i="37"/>
  <c r="V8" i="37"/>
  <c r="W8" i="37"/>
  <c r="X8" i="37"/>
  <c r="Y8" i="37"/>
  <c r="Z8" i="37"/>
  <c r="AA8" i="37"/>
  <c r="AB8" i="37"/>
  <c r="AC8" i="37"/>
  <c r="AD8" i="37"/>
  <c r="AE8" i="37"/>
  <c r="AF8" i="37"/>
  <c r="AG8" i="37"/>
  <c r="AH8" i="37"/>
  <c r="AI8" i="37"/>
  <c r="AJ8" i="37"/>
  <c r="AK8" i="37"/>
  <c r="AL8" i="37"/>
  <c r="AM8" i="37"/>
  <c r="AN8" i="37"/>
  <c r="AO8" i="37"/>
  <c r="AP8" i="37"/>
  <c r="AQ8" i="37"/>
  <c r="AR8" i="37"/>
  <c r="AS8" i="37"/>
  <c r="AT8" i="37"/>
  <c r="AU8" i="37"/>
  <c r="AV8" i="37"/>
  <c r="AW8" i="37"/>
  <c r="AX8" i="37"/>
  <c r="AY8" i="37"/>
  <c r="AZ8" i="37"/>
  <c r="BA8" i="37"/>
  <c r="BB8" i="37"/>
  <c r="BC8" i="37"/>
  <c r="BD8" i="37"/>
  <c r="BE8" i="37"/>
  <c r="F6" i="37"/>
  <c r="F18" i="37" s="1"/>
  <c r="F20" i="37" s="1"/>
  <c r="F31" i="40" s="1"/>
  <c r="G6" i="37"/>
  <c r="G18" i="37" s="1"/>
  <c r="G20" i="37" s="1"/>
  <c r="G31" i="40" s="1"/>
  <c r="H6" i="37"/>
  <c r="H18" i="37" s="1"/>
  <c r="H20" i="37" s="1"/>
  <c r="H31" i="40" s="1"/>
  <c r="I6" i="37"/>
  <c r="J6" i="37"/>
  <c r="K6" i="37"/>
  <c r="L6" i="37"/>
  <c r="M6" i="37"/>
  <c r="N6" i="37"/>
  <c r="O6" i="37"/>
  <c r="P6" i="37"/>
  <c r="Q6" i="37"/>
  <c r="R6" i="37"/>
  <c r="S6" i="37"/>
  <c r="T6" i="37"/>
  <c r="U6" i="37"/>
  <c r="U18" i="37" s="1"/>
  <c r="U20" i="37" s="1"/>
  <c r="U31" i="40" s="1"/>
  <c r="V6" i="37"/>
  <c r="V18" i="37" s="1"/>
  <c r="V20" i="37" s="1"/>
  <c r="V31" i="40" s="1"/>
  <c r="W6" i="37"/>
  <c r="W18" i="37" s="1"/>
  <c r="W20" i="37" s="1"/>
  <c r="W31" i="40" s="1"/>
  <c r="X6" i="37"/>
  <c r="Y6" i="37"/>
  <c r="Z6" i="37"/>
  <c r="AA6" i="37"/>
  <c r="AB6" i="37"/>
  <c r="AC6" i="37"/>
  <c r="AD6" i="37"/>
  <c r="AE6" i="37"/>
  <c r="AF6" i="37"/>
  <c r="AG6" i="37"/>
  <c r="AH6" i="37"/>
  <c r="AI6" i="37"/>
  <c r="AJ6" i="37"/>
  <c r="AK6" i="37"/>
  <c r="AL6" i="37"/>
  <c r="AL18" i="37" s="1"/>
  <c r="AL20" i="37" s="1"/>
  <c r="AL31" i="40" s="1"/>
  <c r="AM6" i="37"/>
  <c r="AM18" i="37" s="1"/>
  <c r="AM20" i="37" s="1"/>
  <c r="AM31" i="40" s="1"/>
  <c r="AN6" i="37"/>
  <c r="AN18" i="37" s="1"/>
  <c r="AN20" i="37" s="1"/>
  <c r="AN31" i="40" s="1"/>
  <c r="AO6" i="37"/>
  <c r="AP6" i="37"/>
  <c r="AQ6" i="37"/>
  <c r="AR6" i="37"/>
  <c r="AS6" i="37"/>
  <c r="AT6" i="37"/>
  <c r="AU6" i="37"/>
  <c r="AV6" i="37"/>
  <c r="AW6" i="37"/>
  <c r="AX6" i="37"/>
  <c r="AY6" i="37"/>
  <c r="AZ6" i="37"/>
  <c r="BA6" i="37"/>
  <c r="BA18" i="37" s="1"/>
  <c r="BA20" i="37" s="1"/>
  <c r="BA31" i="40" s="1"/>
  <c r="BB6" i="37"/>
  <c r="BB18" i="37" s="1"/>
  <c r="BB20" i="37" s="1"/>
  <c r="BB31" i="40" s="1"/>
  <c r="BC6" i="37"/>
  <c r="BC18" i="37" s="1"/>
  <c r="BC20" i="37" s="1"/>
  <c r="BC31" i="40" s="1"/>
  <c r="BD6" i="37"/>
  <c r="BD18" i="37" s="1"/>
  <c r="BD20" i="37" s="1"/>
  <c r="BD31" i="40" s="1"/>
  <c r="BE6" i="37"/>
  <c r="E31" i="37"/>
  <c r="E30" i="37"/>
  <c r="E29" i="37"/>
  <c r="E28" i="37"/>
  <c r="E27" i="37"/>
  <c r="E26" i="37"/>
  <c r="E16" i="37"/>
  <c r="E15" i="37"/>
  <c r="E14" i="37"/>
  <c r="E13" i="37"/>
  <c r="E12" i="37"/>
  <c r="E11" i="37"/>
  <c r="E10" i="37"/>
  <c r="E9" i="37"/>
  <c r="E8" i="37"/>
  <c r="E6" i="37"/>
  <c r="F28" i="36"/>
  <c r="G28" i="36"/>
  <c r="H28" i="36"/>
  <c r="I28" i="36"/>
  <c r="J28" i="36"/>
  <c r="K28" i="36"/>
  <c r="L28" i="36"/>
  <c r="M28" i="36"/>
  <c r="N28" i="36"/>
  <c r="O28" i="36"/>
  <c r="P28" i="36"/>
  <c r="Q28" i="36"/>
  <c r="R28" i="36"/>
  <c r="S28" i="36"/>
  <c r="T28" i="36"/>
  <c r="U28" i="36"/>
  <c r="V28" i="36"/>
  <c r="W28" i="36"/>
  <c r="X28" i="36"/>
  <c r="Y28" i="36"/>
  <c r="Z28" i="36"/>
  <c r="AA28" i="36"/>
  <c r="AB28" i="36"/>
  <c r="AC28" i="36"/>
  <c r="AD28" i="36"/>
  <c r="AE28" i="36"/>
  <c r="AF28" i="36"/>
  <c r="AG28" i="36"/>
  <c r="AH28" i="36"/>
  <c r="AI28" i="36"/>
  <c r="AJ28" i="36"/>
  <c r="AK28" i="36"/>
  <c r="AL28" i="36"/>
  <c r="AM28" i="36"/>
  <c r="AN28" i="36"/>
  <c r="AO28" i="36"/>
  <c r="AP28" i="36"/>
  <c r="AQ28" i="36"/>
  <c r="AR28" i="36"/>
  <c r="AS28" i="36"/>
  <c r="AT28" i="36"/>
  <c r="AU28" i="36"/>
  <c r="AV28" i="36"/>
  <c r="AW28" i="36"/>
  <c r="AX28" i="36"/>
  <c r="AY28" i="36"/>
  <c r="AZ28" i="36"/>
  <c r="BA28" i="36"/>
  <c r="BB28" i="36"/>
  <c r="BC28" i="36"/>
  <c r="BD28" i="36"/>
  <c r="BE28" i="36"/>
  <c r="F27" i="36"/>
  <c r="G27" i="36"/>
  <c r="H27" i="36"/>
  <c r="I27" i="36"/>
  <c r="J27" i="36"/>
  <c r="K27" i="36"/>
  <c r="L27" i="36"/>
  <c r="M27" i="36"/>
  <c r="N27" i="36"/>
  <c r="O27" i="36"/>
  <c r="P27" i="36"/>
  <c r="Q27" i="36"/>
  <c r="R27" i="36"/>
  <c r="S27" i="36"/>
  <c r="T27" i="36"/>
  <c r="U27" i="36"/>
  <c r="V27" i="36"/>
  <c r="W27" i="36"/>
  <c r="X27" i="36"/>
  <c r="Y27" i="36"/>
  <c r="Z27" i="36"/>
  <c r="AA27" i="36"/>
  <c r="AB27" i="36"/>
  <c r="AC27" i="36"/>
  <c r="AD27" i="36"/>
  <c r="AE27" i="36"/>
  <c r="AF27" i="36"/>
  <c r="AG27" i="36"/>
  <c r="AH27" i="36"/>
  <c r="AI27" i="36"/>
  <c r="AJ27" i="36"/>
  <c r="AK27" i="36"/>
  <c r="AL27" i="36"/>
  <c r="AM27" i="36"/>
  <c r="AN27" i="36"/>
  <c r="AO27" i="36"/>
  <c r="AP27" i="36"/>
  <c r="AQ27" i="36"/>
  <c r="AR27" i="36"/>
  <c r="AS27" i="36"/>
  <c r="AT27" i="36"/>
  <c r="AU27" i="36"/>
  <c r="AV27" i="36"/>
  <c r="AW27" i="36"/>
  <c r="AX27" i="36"/>
  <c r="AY27" i="36"/>
  <c r="AZ27" i="36"/>
  <c r="BA27" i="36"/>
  <c r="BB27" i="36"/>
  <c r="BC27" i="36"/>
  <c r="BD27" i="36"/>
  <c r="BE27" i="36"/>
  <c r="F26" i="36"/>
  <c r="G26" i="36"/>
  <c r="H26" i="36"/>
  <c r="I26" i="36"/>
  <c r="J26" i="36"/>
  <c r="K26" i="36"/>
  <c r="L26" i="36"/>
  <c r="M26" i="36"/>
  <c r="N26" i="36"/>
  <c r="O26" i="36"/>
  <c r="P26" i="36"/>
  <c r="Q26" i="36"/>
  <c r="R26" i="36"/>
  <c r="S26" i="36"/>
  <c r="T26" i="36"/>
  <c r="U26" i="36"/>
  <c r="V26" i="36"/>
  <c r="W26" i="36"/>
  <c r="X26" i="36"/>
  <c r="Y26" i="36"/>
  <c r="Z26" i="36"/>
  <c r="AA26" i="36"/>
  <c r="AB26" i="36"/>
  <c r="AC26" i="36"/>
  <c r="AD26" i="36"/>
  <c r="AE26" i="36"/>
  <c r="AF26" i="36"/>
  <c r="AG26" i="36"/>
  <c r="AH26" i="36"/>
  <c r="AI26" i="36"/>
  <c r="AJ26" i="36"/>
  <c r="AK26" i="36"/>
  <c r="AL26" i="36"/>
  <c r="AM26" i="36"/>
  <c r="AN26" i="36"/>
  <c r="AO26" i="36"/>
  <c r="AP26" i="36"/>
  <c r="AQ26" i="36"/>
  <c r="AR26" i="36"/>
  <c r="AS26" i="36"/>
  <c r="AT26" i="36"/>
  <c r="AU26" i="36"/>
  <c r="AV26" i="36"/>
  <c r="AW26" i="36"/>
  <c r="AX26" i="36"/>
  <c r="AY26" i="36"/>
  <c r="AZ26" i="36"/>
  <c r="BA26" i="36"/>
  <c r="BB26" i="36"/>
  <c r="BC26" i="36"/>
  <c r="BD26" i="36"/>
  <c r="BE26" i="36"/>
  <c r="F25" i="36"/>
  <c r="G25" i="36"/>
  <c r="H25" i="36"/>
  <c r="I25" i="36"/>
  <c r="J25" i="36"/>
  <c r="K25" i="36"/>
  <c r="L25" i="36"/>
  <c r="M25" i="36"/>
  <c r="N25" i="36"/>
  <c r="O25" i="36"/>
  <c r="P25" i="36"/>
  <c r="Q25" i="36"/>
  <c r="R25" i="36"/>
  <c r="S25" i="36"/>
  <c r="T25" i="36"/>
  <c r="U25" i="36"/>
  <c r="V25" i="36"/>
  <c r="W25" i="36"/>
  <c r="X25" i="36"/>
  <c r="Y25" i="36"/>
  <c r="Z25" i="36"/>
  <c r="AA25" i="36"/>
  <c r="AB25" i="36"/>
  <c r="AC25" i="36"/>
  <c r="AD25" i="36"/>
  <c r="AE25" i="36"/>
  <c r="AF25" i="36"/>
  <c r="AG25" i="36"/>
  <c r="AH25" i="36"/>
  <c r="AI25" i="36"/>
  <c r="AJ25" i="36"/>
  <c r="AK25" i="36"/>
  <c r="AL25" i="36"/>
  <c r="AM25" i="36"/>
  <c r="AN25" i="36"/>
  <c r="AO25" i="36"/>
  <c r="AP25" i="36"/>
  <c r="AQ25" i="36"/>
  <c r="AR25" i="36"/>
  <c r="AS25" i="36"/>
  <c r="AT25" i="36"/>
  <c r="AU25" i="36"/>
  <c r="AV25" i="36"/>
  <c r="AW25" i="36"/>
  <c r="AX25" i="36"/>
  <c r="AY25" i="36"/>
  <c r="AZ25" i="36"/>
  <c r="BA25" i="36"/>
  <c r="BB25" i="36"/>
  <c r="BC25" i="36"/>
  <c r="BD25" i="36"/>
  <c r="BE25" i="36"/>
  <c r="F15" i="36"/>
  <c r="G15" i="36"/>
  <c r="H15" i="36"/>
  <c r="I15" i="36"/>
  <c r="J15" i="36"/>
  <c r="K15" i="36"/>
  <c r="L15" i="36"/>
  <c r="M15" i="36"/>
  <c r="N15" i="36"/>
  <c r="O15" i="36"/>
  <c r="P15" i="36"/>
  <c r="Q15" i="36"/>
  <c r="R15" i="36"/>
  <c r="S15" i="36"/>
  <c r="T15" i="36"/>
  <c r="U15" i="36"/>
  <c r="V15" i="36"/>
  <c r="W15" i="36"/>
  <c r="X15" i="36"/>
  <c r="Y15" i="36"/>
  <c r="Z15" i="36"/>
  <c r="AA15" i="36"/>
  <c r="AB15" i="36"/>
  <c r="AC15" i="36"/>
  <c r="AD15" i="36"/>
  <c r="AE15" i="36"/>
  <c r="AF15" i="36"/>
  <c r="AG15" i="36"/>
  <c r="AH15" i="36"/>
  <c r="AI15" i="36"/>
  <c r="AJ15" i="36"/>
  <c r="AK15" i="36"/>
  <c r="AL15" i="36"/>
  <c r="AM15" i="36"/>
  <c r="AN15" i="36"/>
  <c r="AO15" i="36"/>
  <c r="AP15" i="36"/>
  <c r="AQ15" i="36"/>
  <c r="AR15" i="36"/>
  <c r="AS15" i="36"/>
  <c r="AT15" i="36"/>
  <c r="AU15" i="36"/>
  <c r="AV15" i="36"/>
  <c r="AW15" i="36"/>
  <c r="AX15" i="36"/>
  <c r="AY15" i="36"/>
  <c r="AZ15" i="36"/>
  <c r="BA15" i="36"/>
  <c r="BB15" i="36"/>
  <c r="BC15" i="36"/>
  <c r="BD15" i="36"/>
  <c r="BE15" i="36"/>
  <c r="F14" i="36"/>
  <c r="G14" i="36"/>
  <c r="H14" i="36"/>
  <c r="I14" i="36"/>
  <c r="J14" i="36"/>
  <c r="K14" i="36"/>
  <c r="L14" i="36"/>
  <c r="M14" i="36"/>
  <c r="N14" i="36"/>
  <c r="O14" i="36"/>
  <c r="P14" i="36"/>
  <c r="Q14" i="36"/>
  <c r="R14" i="36"/>
  <c r="S14" i="36"/>
  <c r="T14" i="36"/>
  <c r="U14" i="36"/>
  <c r="V14" i="36"/>
  <c r="W14" i="36"/>
  <c r="X14" i="36"/>
  <c r="Y14" i="36"/>
  <c r="Z14" i="36"/>
  <c r="AA14" i="36"/>
  <c r="AB14" i="36"/>
  <c r="AC14" i="36"/>
  <c r="AD14" i="36"/>
  <c r="AE14" i="36"/>
  <c r="AF14" i="36"/>
  <c r="AG14" i="36"/>
  <c r="AH14" i="36"/>
  <c r="AI14" i="36"/>
  <c r="AJ14" i="36"/>
  <c r="AK14" i="36"/>
  <c r="AL14" i="36"/>
  <c r="AM14" i="36"/>
  <c r="AN14" i="36"/>
  <c r="AO14" i="36"/>
  <c r="AP14" i="36"/>
  <c r="AQ14" i="36"/>
  <c r="AR14" i="36"/>
  <c r="AS14" i="36"/>
  <c r="AT14" i="36"/>
  <c r="AU14" i="36"/>
  <c r="AV14" i="36"/>
  <c r="AW14" i="36"/>
  <c r="AX14" i="36"/>
  <c r="AY14" i="36"/>
  <c r="AZ14" i="36"/>
  <c r="BA14" i="36"/>
  <c r="BB14" i="36"/>
  <c r="BC14" i="36"/>
  <c r="BD14" i="36"/>
  <c r="BE14" i="36"/>
  <c r="F13" i="36"/>
  <c r="G13" i="36"/>
  <c r="H13" i="36"/>
  <c r="I13" i="36"/>
  <c r="J13" i="36"/>
  <c r="K13" i="36"/>
  <c r="L13" i="36"/>
  <c r="M13" i="36"/>
  <c r="N13" i="36"/>
  <c r="O13" i="36"/>
  <c r="P13" i="36"/>
  <c r="Q13" i="36"/>
  <c r="R13" i="36"/>
  <c r="S13" i="36"/>
  <c r="T13" i="36"/>
  <c r="U13" i="36"/>
  <c r="V13" i="36"/>
  <c r="W13" i="36"/>
  <c r="X13" i="36"/>
  <c r="Y13" i="36"/>
  <c r="Z13" i="36"/>
  <c r="AA13" i="36"/>
  <c r="AB13" i="36"/>
  <c r="AC13" i="36"/>
  <c r="AD13" i="36"/>
  <c r="AE13" i="36"/>
  <c r="AF13" i="36"/>
  <c r="AG13" i="36"/>
  <c r="AH13" i="36"/>
  <c r="AI13" i="36"/>
  <c r="AJ13" i="36"/>
  <c r="AK13" i="36"/>
  <c r="AL13" i="36"/>
  <c r="AM13" i="36"/>
  <c r="AN13" i="36"/>
  <c r="AO13" i="36"/>
  <c r="AP13" i="36"/>
  <c r="AQ13" i="36"/>
  <c r="AR13" i="36"/>
  <c r="AS13" i="36"/>
  <c r="AT13" i="36"/>
  <c r="AU13" i="36"/>
  <c r="AV13" i="36"/>
  <c r="AW13" i="36"/>
  <c r="AX13" i="36"/>
  <c r="AY13" i="36"/>
  <c r="AZ13" i="36"/>
  <c r="BA13" i="36"/>
  <c r="BB13" i="36"/>
  <c r="BC13" i="36"/>
  <c r="BD13" i="36"/>
  <c r="BE13" i="36"/>
  <c r="F12" i="36"/>
  <c r="G12" i="36"/>
  <c r="H12" i="36"/>
  <c r="I12" i="36"/>
  <c r="J12" i="36"/>
  <c r="K12" i="36"/>
  <c r="L12" i="36"/>
  <c r="M12" i="36"/>
  <c r="N12" i="36"/>
  <c r="O12" i="36"/>
  <c r="P12" i="36"/>
  <c r="Q12" i="36"/>
  <c r="R12" i="36"/>
  <c r="S12" i="36"/>
  <c r="T12" i="36"/>
  <c r="U12" i="36"/>
  <c r="V12" i="36"/>
  <c r="W12" i="36"/>
  <c r="X12" i="36"/>
  <c r="Y12" i="36"/>
  <c r="Z12" i="36"/>
  <c r="AA12" i="36"/>
  <c r="AB12" i="36"/>
  <c r="AC12" i="36"/>
  <c r="AD12" i="36"/>
  <c r="AE12" i="36"/>
  <c r="AF12" i="36"/>
  <c r="AG12" i="36"/>
  <c r="AH12" i="36"/>
  <c r="AI12" i="36"/>
  <c r="AJ12" i="36"/>
  <c r="AK12" i="36"/>
  <c r="AL12" i="36"/>
  <c r="AM12" i="36"/>
  <c r="AN12" i="36"/>
  <c r="AO12" i="36"/>
  <c r="AP12" i="36"/>
  <c r="AQ12" i="36"/>
  <c r="AR12" i="36"/>
  <c r="AS12" i="36"/>
  <c r="AT12" i="36"/>
  <c r="AU12" i="36"/>
  <c r="AV12" i="36"/>
  <c r="AW12" i="36"/>
  <c r="AX12" i="36"/>
  <c r="AY12" i="36"/>
  <c r="AZ12" i="36"/>
  <c r="BA12" i="36"/>
  <c r="BB12" i="36"/>
  <c r="BC12" i="36"/>
  <c r="BD12" i="36"/>
  <c r="BE12" i="36"/>
  <c r="F11" i="36"/>
  <c r="G11" i="36"/>
  <c r="H11" i="36"/>
  <c r="I11" i="36"/>
  <c r="J11" i="36"/>
  <c r="K11" i="36"/>
  <c r="L11" i="36"/>
  <c r="M11" i="36"/>
  <c r="N11" i="36"/>
  <c r="O11" i="36"/>
  <c r="P11" i="36"/>
  <c r="Q11" i="36"/>
  <c r="Q17" i="36" s="1"/>
  <c r="R11" i="36"/>
  <c r="R17" i="36" s="1"/>
  <c r="S11" i="36"/>
  <c r="S17" i="36" s="1"/>
  <c r="T11" i="36"/>
  <c r="T17" i="36" s="1"/>
  <c r="U11" i="36"/>
  <c r="V11" i="36"/>
  <c r="W11" i="36"/>
  <c r="X11" i="36"/>
  <c r="Y11" i="36"/>
  <c r="Z11" i="36"/>
  <c r="AA11" i="36"/>
  <c r="AB11" i="36"/>
  <c r="AC11" i="36"/>
  <c r="AD11" i="36"/>
  <c r="AE11" i="36"/>
  <c r="AF11" i="36"/>
  <c r="AG11" i="36"/>
  <c r="AG17" i="36" s="1"/>
  <c r="AH11" i="36"/>
  <c r="AH17" i="36" s="1"/>
  <c r="AI11" i="36"/>
  <c r="AJ11" i="36"/>
  <c r="AK11" i="36"/>
  <c r="AL11" i="36"/>
  <c r="AM11" i="36"/>
  <c r="AN11" i="36"/>
  <c r="AO11" i="36"/>
  <c r="AP11" i="36"/>
  <c r="AQ11" i="36"/>
  <c r="AR11" i="36"/>
  <c r="AS11" i="36"/>
  <c r="AT11" i="36"/>
  <c r="AU11" i="36"/>
  <c r="AV11" i="36"/>
  <c r="AW11" i="36"/>
  <c r="AW17" i="36" s="1"/>
  <c r="AX11" i="36"/>
  <c r="AX17" i="36" s="1"/>
  <c r="AY11" i="36"/>
  <c r="AY17" i="36" s="1"/>
  <c r="AZ11" i="36"/>
  <c r="AZ17" i="36" s="1"/>
  <c r="BA11" i="36"/>
  <c r="BB11" i="36"/>
  <c r="BC11" i="36"/>
  <c r="BD11" i="36"/>
  <c r="BE11" i="36"/>
  <c r="F7" i="36"/>
  <c r="G7" i="36"/>
  <c r="H7" i="36"/>
  <c r="I7" i="36"/>
  <c r="J7" i="36"/>
  <c r="K7" i="36"/>
  <c r="L7" i="36"/>
  <c r="M7" i="36"/>
  <c r="N7" i="36"/>
  <c r="O7" i="36"/>
  <c r="P7" i="36"/>
  <c r="Q7" i="36"/>
  <c r="R7" i="36"/>
  <c r="S7" i="36"/>
  <c r="T7" i="36"/>
  <c r="U7" i="36"/>
  <c r="V7" i="36"/>
  <c r="W7" i="36"/>
  <c r="X7" i="36"/>
  <c r="Y7" i="36"/>
  <c r="Z7" i="36"/>
  <c r="AA7" i="36"/>
  <c r="AB7" i="36"/>
  <c r="AC7" i="36"/>
  <c r="AD7" i="36"/>
  <c r="AE7" i="36"/>
  <c r="AF7" i="36"/>
  <c r="AG7" i="36"/>
  <c r="AH7" i="36"/>
  <c r="AI7" i="36"/>
  <c r="AJ7" i="36"/>
  <c r="AK7" i="36"/>
  <c r="AL7" i="36"/>
  <c r="AM7" i="36"/>
  <c r="AN7" i="36"/>
  <c r="AO7" i="36"/>
  <c r="AP7" i="36"/>
  <c r="AQ7" i="36"/>
  <c r="AR7" i="36"/>
  <c r="AS7" i="36"/>
  <c r="AT7" i="36"/>
  <c r="AU7" i="36"/>
  <c r="AV7" i="36"/>
  <c r="AW7" i="36"/>
  <c r="AX7" i="36"/>
  <c r="AY7" i="36"/>
  <c r="AZ7" i="36"/>
  <c r="BA7" i="36"/>
  <c r="BB7" i="36"/>
  <c r="BC7" i="36"/>
  <c r="BD7" i="36"/>
  <c r="BE7" i="36"/>
  <c r="F6" i="36"/>
  <c r="F9" i="36" s="1"/>
  <c r="G6" i="36"/>
  <c r="G9" i="36" s="1"/>
  <c r="H6" i="36"/>
  <c r="H9" i="36" s="1"/>
  <c r="I6" i="36"/>
  <c r="I9" i="36" s="1"/>
  <c r="J6" i="36"/>
  <c r="J9" i="36" s="1"/>
  <c r="K6" i="36"/>
  <c r="K9" i="36" s="1"/>
  <c r="L6" i="36"/>
  <c r="L9" i="36" s="1"/>
  <c r="M6" i="36"/>
  <c r="N6" i="36"/>
  <c r="O6" i="36"/>
  <c r="P6" i="36"/>
  <c r="Q6" i="36"/>
  <c r="Q9" i="36" s="1"/>
  <c r="R6" i="36"/>
  <c r="R9" i="36" s="1"/>
  <c r="S6" i="36"/>
  <c r="S9" i="36" s="1"/>
  <c r="T6" i="36"/>
  <c r="T9" i="36" s="1"/>
  <c r="U6" i="36"/>
  <c r="U9" i="36" s="1"/>
  <c r="V6" i="36"/>
  <c r="V9" i="36" s="1"/>
  <c r="W6" i="36"/>
  <c r="W9" i="36" s="1"/>
  <c r="X6" i="36"/>
  <c r="Y6" i="36"/>
  <c r="Y9" i="36" s="1"/>
  <c r="Z6" i="36"/>
  <c r="Z9" i="36" s="1"/>
  <c r="AA6" i="36"/>
  <c r="AA9" i="36" s="1"/>
  <c r="AB6" i="36"/>
  <c r="AB9" i="36" s="1"/>
  <c r="AC6" i="36"/>
  <c r="AD6" i="36"/>
  <c r="AE6" i="36"/>
  <c r="AF6" i="36"/>
  <c r="AG6" i="36"/>
  <c r="AG9" i="36" s="1"/>
  <c r="AH6" i="36"/>
  <c r="AH9" i="36" s="1"/>
  <c r="AI6" i="36"/>
  <c r="AI9" i="36" s="1"/>
  <c r="AJ6" i="36"/>
  <c r="AJ9" i="36" s="1"/>
  <c r="AK6" i="36"/>
  <c r="AL6" i="36"/>
  <c r="AL9" i="36" s="1"/>
  <c r="AM6" i="36"/>
  <c r="AM9" i="36" s="1"/>
  <c r="AN6" i="36"/>
  <c r="AN9" i="36" s="1"/>
  <c r="AO6" i="36"/>
  <c r="AO9" i="36" s="1"/>
  <c r="AP6" i="36"/>
  <c r="AP9" i="36" s="1"/>
  <c r="AQ6" i="36"/>
  <c r="AQ9" i="36" s="1"/>
  <c r="AR6" i="36"/>
  <c r="AR9" i="36" s="1"/>
  <c r="AS6" i="36"/>
  <c r="AT6" i="36"/>
  <c r="AU6" i="36"/>
  <c r="AV6" i="36"/>
  <c r="AW6" i="36"/>
  <c r="AW9" i="36" s="1"/>
  <c r="AX6" i="36"/>
  <c r="AX9" i="36" s="1"/>
  <c r="AY6" i="36"/>
  <c r="AY9" i="36" s="1"/>
  <c r="AZ6" i="36"/>
  <c r="AZ9" i="36" s="1"/>
  <c r="BA6" i="36"/>
  <c r="BA9" i="36" s="1"/>
  <c r="BB6" i="36"/>
  <c r="BB9" i="36" s="1"/>
  <c r="BC6" i="36"/>
  <c r="BC9" i="36" s="1"/>
  <c r="BD6" i="36"/>
  <c r="BD9" i="36" s="1"/>
  <c r="BE6" i="36"/>
  <c r="BE9" i="36" s="1"/>
  <c r="E28" i="36"/>
  <c r="E27" i="36"/>
  <c r="E26" i="36"/>
  <c r="E25" i="36"/>
  <c r="E15" i="36"/>
  <c r="E14" i="36"/>
  <c r="E13" i="36"/>
  <c r="E12" i="36"/>
  <c r="E11" i="36"/>
  <c r="E7" i="36"/>
  <c r="E6" i="36"/>
  <c r="AV17" i="36" l="1"/>
  <c r="AF17" i="36"/>
  <c r="P17" i="36"/>
  <c r="AZ18" i="37"/>
  <c r="AZ20" i="37" s="1"/>
  <c r="AZ31" i="40" s="1"/>
  <c r="AJ18" i="37"/>
  <c r="AJ20" i="37" s="1"/>
  <c r="AJ31" i="40" s="1"/>
  <c r="T18" i="37"/>
  <c r="T20" i="37" s="1"/>
  <c r="T31" i="40" s="1"/>
  <c r="BC34" i="38"/>
  <c r="BC42" i="38" s="1"/>
  <c r="BC39" i="40" s="1"/>
  <c r="AM34" i="38"/>
  <c r="W34" i="38"/>
  <c r="G34" i="38"/>
  <c r="G42" i="38" s="1"/>
  <c r="G39" i="40" s="1"/>
  <c r="AU17" i="36"/>
  <c r="AE17" i="36"/>
  <c r="O17" i="36"/>
  <c r="O32" i="36" s="1"/>
  <c r="AY18" i="37"/>
  <c r="AY20" i="37" s="1"/>
  <c r="AY31" i="40" s="1"/>
  <c r="AI18" i="37"/>
  <c r="AI20" i="37" s="1"/>
  <c r="AI31" i="40" s="1"/>
  <c r="S18" i="37"/>
  <c r="S20" i="37" s="1"/>
  <c r="S31" i="40" s="1"/>
  <c r="AT9" i="38"/>
  <c r="AD9" i="38"/>
  <c r="N9" i="38"/>
  <c r="BB34" i="38"/>
  <c r="AL34" i="38"/>
  <c r="V34" i="38"/>
  <c r="F34" i="38"/>
  <c r="AT40" i="38"/>
  <c r="AT42" i="38" s="1"/>
  <c r="AT39" i="40" s="1"/>
  <c r="AD40" i="38"/>
  <c r="AD42" i="38" s="1"/>
  <c r="AD39" i="40" s="1"/>
  <c r="N40" i="38"/>
  <c r="N42" i="38" s="1"/>
  <c r="N39" i="40" s="1"/>
  <c r="AT17" i="36"/>
  <c r="BA34" i="38"/>
  <c r="AB17" i="36"/>
  <c r="AB19" i="36" s="1"/>
  <c r="AB27" i="40" s="1"/>
  <c r="AI34" i="38"/>
  <c r="AI42" i="38" s="1"/>
  <c r="AI39" i="40" s="1"/>
  <c r="AQ40" i="38"/>
  <c r="AQ42" i="38" s="1"/>
  <c r="AQ39" i="40" s="1"/>
  <c r="AA40" i="38"/>
  <c r="AA42" i="38" s="1"/>
  <c r="AA39" i="40" s="1"/>
  <c r="K40" i="38"/>
  <c r="AQ17" i="36"/>
  <c r="AA17" i="36"/>
  <c r="K17" i="36"/>
  <c r="AU18" i="37"/>
  <c r="AU20" i="37" s="1"/>
  <c r="AU31" i="40" s="1"/>
  <c r="AE18" i="37"/>
  <c r="AE20" i="37" s="1"/>
  <c r="AE31" i="40" s="1"/>
  <c r="O18" i="37"/>
  <c r="O20" i="37" s="1"/>
  <c r="O31" i="40" s="1"/>
  <c r="AX34" i="38"/>
  <c r="AX42" i="38" s="1"/>
  <c r="AX39" i="40" s="1"/>
  <c r="AH34" i="38"/>
  <c r="AH42" i="38" s="1"/>
  <c r="AH39" i="40" s="1"/>
  <c r="R34" i="38"/>
  <c r="R42" i="38" s="1"/>
  <c r="R39" i="40" s="1"/>
  <c r="AP40" i="38"/>
  <c r="Z40" i="38"/>
  <c r="J40" i="38"/>
  <c r="J42" i="38" s="1"/>
  <c r="J39" i="40" s="1"/>
  <c r="Q18" i="37"/>
  <c r="Q20" i="37" s="1"/>
  <c r="Q31" i="40" s="1"/>
  <c r="AZ34" i="38"/>
  <c r="AZ42" i="38" s="1"/>
  <c r="AZ39" i="40" s="1"/>
  <c r="P18" i="37"/>
  <c r="P20" i="37" s="1"/>
  <c r="P31" i="40" s="1"/>
  <c r="AY34" i="38"/>
  <c r="AP17" i="36"/>
  <c r="Z17" i="36"/>
  <c r="J17" i="36"/>
  <c r="AT18" i="37"/>
  <c r="AT20" i="37" s="1"/>
  <c r="AT31" i="40" s="1"/>
  <c r="AD18" i="37"/>
  <c r="AD20" i="37" s="1"/>
  <c r="AD31" i="40" s="1"/>
  <c r="N18" i="37"/>
  <c r="N20" i="37" s="1"/>
  <c r="N31" i="40" s="1"/>
  <c r="AW34" i="38"/>
  <c r="AW42" i="38" s="1"/>
  <c r="AW39" i="40" s="1"/>
  <c r="AG34" i="38"/>
  <c r="Q34" i="38"/>
  <c r="Q42" i="38" s="1"/>
  <c r="Q39" i="40" s="1"/>
  <c r="BE40" i="38"/>
  <c r="AO40" i="38"/>
  <c r="Y40" i="38"/>
  <c r="Y42" i="38" s="1"/>
  <c r="Y39" i="40" s="1"/>
  <c r="I40" i="38"/>
  <c r="I42" i="38" s="1"/>
  <c r="I39" i="40" s="1"/>
  <c r="AX18" i="37"/>
  <c r="AX20" i="37" s="1"/>
  <c r="AX31" i="40" s="1"/>
  <c r="AC17" i="36"/>
  <c r="AC35" i="37" s="1"/>
  <c r="Y17" i="36"/>
  <c r="I17" i="36"/>
  <c r="AS18" i="37"/>
  <c r="AS20" i="37" s="1"/>
  <c r="AS31" i="40" s="1"/>
  <c r="AC18" i="37"/>
  <c r="AC20" i="37" s="1"/>
  <c r="AC31" i="40" s="1"/>
  <c r="M18" i="37"/>
  <c r="M20" i="37" s="1"/>
  <c r="M31" i="40" s="1"/>
  <c r="AV34" i="38"/>
  <c r="AF34" i="38"/>
  <c r="AF42" i="38" s="1"/>
  <c r="AF39" i="40" s="1"/>
  <c r="P34" i="38"/>
  <c r="BD40" i="38"/>
  <c r="BD42" i="38" s="1"/>
  <c r="BD39" i="40" s="1"/>
  <c r="AN40" i="38"/>
  <c r="H40" i="38"/>
  <c r="AD17" i="36"/>
  <c r="M17" i="36"/>
  <c r="L17" i="36"/>
  <c r="L20" i="38" s="1"/>
  <c r="AF18" i="37"/>
  <c r="AF20" i="37" s="1"/>
  <c r="AF31" i="40" s="1"/>
  <c r="S34" i="38"/>
  <c r="S42" i="38" s="1"/>
  <c r="S39" i="40" s="1"/>
  <c r="BE17" i="36"/>
  <c r="AV9" i="36"/>
  <c r="AF9" i="36"/>
  <c r="P9" i="36"/>
  <c r="BD17" i="36"/>
  <c r="AN17" i="36"/>
  <c r="H17" i="36"/>
  <c r="H20" i="38" s="1"/>
  <c r="AR18" i="37"/>
  <c r="AR20" i="37" s="1"/>
  <c r="AR31" i="40" s="1"/>
  <c r="AB18" i="37"/>
  <c r="AB20" i="37" s="1"/>
  <c r="AB31" i="40" s="1"/>
  <c r="L18" i="37"/>
  <c r="L20" i="37" s="1"/>
  <c r="L31" i="40" s="1"/>
  <c r="BC9" i="38"/>
  <c r="AM9" i="38"/>
  <c r="W9" i="38"/>
  <c r="G9" i="38"/>
  <c r="AU34" i="38"/>
  <c r="AU42" i="38" s="1"/>
  <c r="AU39" i="40" s="1"/>
  <c r="AE34" i="38"/>
  <c r="AE42" i="38" s="1"/>
  <c r="AE39" i="40" s="1"/>
  <c r="O34" i="38"/>
  <c r="BC40" i="38"/>
  <c r="AM40" i="38"/>
  <c r="W40" i="38"/>
  <c r="G40" i="38"/>
  <c r="AH18" i="37"/>
  <c r="AH20" i="37" s="1"/>
  <c r="AH31" i="40" s="1"/>
  <c r="AS17" i="36"/>
  <c r="AS20" i="38" s="1"/>
  <c r="AG18" i="37"/>
  <c r="AG20" i="37" s="1"/>
  <c r="AG31" i="40" s="1"/>
  <c r="AJ34" i="38"/>
  <c r="AO17" i="36"/>
  <c r="AO20" i="38" s="1"/>
  <c r="AU9" i="36"/>
  <c r="AE9" i="36"/>
  <c r="O9" i="36"/>
  <c r="BC17" i="36"/>
  <c r="BC35" i="37" s="1"/>
  <c r="AM17" i="36"/>
  <c r="AM35" i="37" s="1"/>
  <c r="W17" i="36"/>
  <c r="W35" i="37" s="1"/>
  <c r="W37" i="37" s="1"/>
  <c r="W33" i="40" s="1"/>
  <c r="G17" i="36"/>
  <c r="AQ18" i="37"/>
  <c r="AQ20" i="37" s="1"/>
  <c r="AQ31" i="40" s="1"/>
  <c r="AA18" i="37"/>
  <c r="AA20" i="37" s="1"/>
  <c r="AA31" i="40" s="1"/>
  <c r="K18" i="37"/>
  <c r="K20" i="37" s="1"/>
  <c r="K31" i="40" s="1"/>
  <c r="BB9" i="38"/>
  <c r="AL9" i="38"/>
  <c r="V9" i="38"/>
  <c r="F9" i="38"/>
  <c r="AT34" i="38"/>
  <c r="AD34" i="38"/>
  <c r="N34" i="38"/>
  <c r="BB40" i="38"/>
  <c r="AL40" i="38"/>
  <c r="AL42" i="38" s="1"/>
  <c r="AL39" i="40" s="1"/>
  <c r="V40" i="38"/>
  <c r="V42" i="38" s="1"/>
  <c r="V39" i="40" s="1"/>
  <c r="F40" i="38"/>
  <c r="F42" i="38" s="1"/>
  <c r="F39" i="40" s="1"/>
  <c r="N17" i="36"/>
  <c r="N32" i="36" s="1"/>
  <c r="N34" i="36" s="1"/>
  <c r="N29" i="40" s="1"/>
  <c r="R18" i="37"/>
  <c r="R20" i="37" s="1"/>
  <c r="R31" i="40" s="1"/>
  <c r="AW18" i="37"/>
  <c r="AW20" i="37" s="1"/>
  <c r="AW31" i="40" s="1"/>
  <c r="T34" i="38"/>
  <c r="AV18" i="37"/>
  <c r="AV20" i="37" s="1"/>
  <c r="AV31" i="40" s="1"/>
  <c r="AT9" i="36"/>
  <c r="N9" i="36"/>
  <c r="BB17" i="36"/>
  <c r="V17" i="36"/>
  <c r="V35" i="37" s="1"/>
  <c r="F17" i="36"/>
  <c r="F32" i="36" s="1"/>
  <c r="AP18" i="37"/>
  <c r="AP20" i="37" s="1"/>
  <c r="AP31" i="40" s="1"/>
  <c r="Z18" i="37"/>
  <c r="Z20" i="37" s="1"/>
  <c r="Z31" i="40" s="1"/>
  <c r="J18" i="37"/>
  <c r="J20" i="37" s="1"/>
  <c r="J31" i="40" s="1"/>
  <c r="BA9" i="38"/>
  <c r="U9" i="38"/>
  <c r="AS34" i="38"/>
  <c r="AS42" i="38" s="1"/>
  <c r="AS39" i="40" s="1"/>
  <c r="AC34" i="38"/>
  <c r="AC42" i="38" s="1"/>
  <c r="AC39" i="40" s="1"/>
  <c r="M34" i="38"/>
  <c r="BA40" i="38"/>
  <c r="U40" i="38"/>
  <c r="U34" i="38"/>
  <c r="AR17" i="36"/>
  <c r="AD9" i="36"/>
  <c r="AL17" i="36"/>
  <c r="AS9" i="36"/>
  <c r="AS19" i="36" s="1"/>
  <c r="AS27" i="40" s="1"/>
  <c r="AC9" i="36"/>
  <c r="M9" i="36"/>
  <c r="BA17" i="36"/>
  <c r="U17" i="36"/>
  <c r="BE18" i="37"/>
  <c r="BE20" i="37" s="1"/>
  <c r="BE31" i="40" s="1"/>
  <c r="AO18" i="37"/>
  <c r="AO20" i="37" s="1"/>
  <c r="AO31" i="40" s="1"/>
  <c r="Y18" i="37"/>
  <c r="Y20" i="37" s="1"/>
  <c r="Y31" i="40" s="1"/>
  <c r="I18" i="37"/>
  <c r="I20" i="37" s="1"/>
  <c r="I31" i="40" s="1"/>
  <c r="AZ9" i="38"/>
  <c r="AJ9" i="38"/>
  <c r="T9" i="38"/>
  <c r="AR34" i="38"/>
  <c r="AB34" i="38"/>
  <c r="L34" i="38"/>
  <c r="AZ40" i="38"/>
  <c r="AJ40" i="38"/>
  <c r="AJ42" i="38" s="1"/>
  <c r="AJ39" i="40" s="1"/>
  <c r="T40" i="38"/>
  <c r="E22" i="40"/>
  <c r="E42" i="35"/>
  <c r="E24" i="40" s="1"/>
  <c r="AJ17" i="36"/>
  <c r="AJ20" i="38" s="1"/>
  <c r="AI17" i="36"/>
  <c r="AI35" i="37" s="1"/>
  <c r="N33" i="37"/>
  <c r="N30" i="36"/>
  <c r="N13" i="40" s="1"/>
  <c r="AT33" i="37"/>
  <c r="AT30" i="36"/>
  <c r="AT13" i="40" s="1"/>
  <c r="R33" i="37"/>
  <c r="R30" i="36"/>
  <c r="R13" i="40" s="1"/>
  <c r="AX33" i="37"/>
  <c r="AX30" i="36"/>
  <c r="AX13" i="40" s="1"/>
  <c r="BE42" i="38"/>
  <c r="BE39" i="40" s="1"/>
  <c r="BE33" i="37"/>
  <c r="BE30" i="36"/>
  <c r="BE13" i="40" s="1"/>
  <c r="V33" i="37"/>
  <c r="V30" i="36"/>
  <c r="V13" i="40" s="1"/>
  <c r="T42" i="38"/>
  <c r="T39" i="40" s="1"/>
  <c r="T30" i="36"/>
  <c r="T13" i="40" s="1"/>
  <c r="BC33" i="37"/>
  <c r="BC30" i="36"/>
  <c r="BC13" i="40" s="1"/>
  <c r="BB42" i="38"/>
  <c r="BB39" i="40" s="1"/>
  <c r="BB33" i="37"/>
  <c r="BB30" i="36"/>
  <c r="BB13" i="40" s="1"/>
  <c r="AZ30" i="36"/>
  <c r="AZ13" i="40" s="1"/>
  <c r="AY42" i="38"/>
  <c r="AY39" i="40" s="1"/>
  <c r="AY33" i="37"/>
  <c r="AY30" i="36"/>
  <c r="AY13" i="40" s="1"/>
  <c r="AW33" i="37"/>
  <c r="AW30" i="36"/>
  <c r="AW13" i="40" s="1"/>
  <c r="AV42" i="38"/>
  <c r="AV39" i="40" s="1"/>
  <c r="AV30" i="36"/>
  <c r="AV13" i="40" s="1"/>
  <c r="AS33" i="37"/>
  <c r="AS30" i="36"/>
  <c r="AS13" i="40" s="1"/>
  <c r="AQ33" i="37"/>
  <c r="AQ30" i="36"/>
  <c r="AQ13" i="40" s="1"/>
  <c r="AP42" i="38"/>
  <c r="AP39" i="40" s="1"/>
  <c r="AP33" i="37"/>
  <c r="AP30" i="36"/>
  <c r="AP13" i="40" s="1"/>
  <c r="AO42" i="38"/>
  <c r="AO39" i="40" s="1"/>
  <c r="AO33" i="37"/>
  <c r="AO30" i="36"/>
  <c r="AO13" i="40" s="1"/>
  <c r="AN42" i="38"/>
  <c r="AN39" i="40" s="1"/>
  <c r="AN30" i="36"/>
  <c r="AN13" i="40" s="1"/>
  <c r="AM42" i="38"/>
  <c r="AM39" i="40" s="1"/>
  <c r="AM33" i="37"/>
  <c r="AM30" i="36"/>
  <c r="AM13" i="40" s="1"/>
  <c r="AL33" i="37"/>
  <c r="AL30" i="36"/>
  <c r="AL13" i="40" s="1"/>
  <c r="AJ30" i="36"/>
  <c r="AJ13" i="40" s="1"/>
  <c r="AI33" i="37"/>
  <c r="AI30" i="36"/>
  <c r="AI13" i="40" s="1"/>
  <c r="AH33" i="37"/>
  <c r="AH30" i="36"/>
  <c r="AH13" i="40" s="1"/>
  <c r="AG42" i="38"/>
  <c r="AG39" i="40" s="1"/>
  <c r="AG33" i="37"/>
  <c r="AG30" i="36"/>
  <c r="AG13" i="40" s="1"/>
  <c r="AF30" i="36"/>
  <c r="AF13" i="40" s="1"/>
  <c r="AB42" i="38"/>
  <c r="AB39" i="40" s="1"/>
  <c r="AB30" i="36"/>
  <c r="AB13" i="40" s="1"/>
  <c r="BF12" i="36"/>
  <c r="J33" i="37"/>
  <c r="J30" i="36"/>
  <c r="J13" i="40" s="1"/>
  <c r="AE33" i="37"/>
  <c r="AE30" i="36"/>
  <c r="AE13" i="40" s="1"/>
  <c r="AC33" i="37"/>
  <c r="AC30" i="36"/>
  <c r="AC13" i="40" s="1"/>
  <c r="AA33" i="37"/>
  <c r="AA30" i="36"/>
  <c r="AA13" i="40" s="1"/>
  <c r="Y33" i="37"/>
  <c r="Y30" i="36"/>
  <c r="Y13" i="40" s="1"/>
  <c r="U42" i="38"/>
  <c r="U39" i="40" s="1"/>
  <c r="U33" i="37"/>
  <c r="U30" i="36"/>
  <c r="U13" i="40" s="1"/>
  <c r="AU33" i="37"/>
  <c r="AU30" i="36"/>
  <c r="AU13" i="40" s="1"/>
  <c r="S33" i="37"/>
  <c r="S30" i="36"/>
  <c r="S13" i="40" s="1"/>
  <c r="W42" i="38"/>
  <c r="W39" i="40" s="1"/>
  <c r="BF36" i="38"/>
  <c r="W33" i="37"/>
  <c r="W30" i="36"/>
  <c r="W13" i="40" s="1"/>
  <c r="AD33" i="37"/>
  <c r="BG8" i="39"/>
  <c r="AD30" i="36"/>
  <c r="AD13" i="40" s="1"/>
  <c r="Q33" i="37"/>
  <c r="Q30" i="36"/>
  <c r="Q13" i="40" s="1"/>
  <c r="P42" i="38"/>
  <c r="P39" i="40" s="1"/>
  <c r="P30" i="36"/>
  <c r="P13" i="40" s="1"/>
  <c r="H42" i="38"/>
  <c r="H39" i="40" s="1"/>
  <c r="BF26" i="37"/>
  <c r="H30" i="36"/>
  <c r="H13" i="40" s="1"/>
  <c r="BF25" i="36"/>
  <c r="K42" i="38"/>
  <c r="K39" i="40" s="1"/>
  <c r="K33" i="37"/>
  <c r="K30" i="36"/>
  <c r="K13" i="40" s="1"/>
  <c r="G33" i="37"/>
  <c r="BF27" i="38"/>
  <c r="G30" i="36"/>
  <c r="G13" i="40" s="1"/>
  <c r="BF15" i="36"/>
  <c r="I33" i="37"/>
  <c r="BF6" i="36"/>
  <c r="BF26" i="36"/>
  <c r="I30" i="36"/>
  <c r="I13" i="40" s="1"/>
  <c r="BD30" i="36"/>
  <c r="BD13" i="40" s="1"/>
  <c r="BF7" i="36"/>
  <c r="L42" i="38"/>
  <c r="L39" i="40" s="1"/>
  <c r="BF13" i="37"/>
  <c r="L30" i="36"/>
  <c r="L13" i="40" s="1"/>
  <c r="BF14" i="36"/>
  <c r="BF32" i="38"/>
  <c r="BF30" i="38"/>
  <c r="BF28" i="38"/>
  <c r="BF37" i="38"/>
  <c r="BF30" i="37"/>
  <c r="F33" i="37"/>
  <c r="BF28" i="37"/>
  <c r="BF8" i="39"/>
  <c r="F30" i="36"/>
  <c r="F13" i="40" s="1"/>
  <c r="BF28" i="36"/>
  <c r="BF13" i="36"/>
  <c r="BF31" i="38"/>
  <c r="BF29" i="38"/>
  <c r="M42" i="38"/>
  <c r="M39" i="40" s="1"/>
  <c r="M33" i="37"/>
  <c r="M30" i="36"/>
  <c r="M13" i="40" s="1"/>
  <c r="BF6" i="38"/>
  <c r="BA42" i="38"/>
  <c r="BA39" i="40" s="1"/>
  <c r="BA33" i="37"/>
  <c r="BA30" i="36"/>
  <c r="BA13" i="40" s="1"/>
  <c r="O42" i="38"/>
  <c r="O39" i="40" s="1"/>
  <c r="BF38" i="38"/>
  <c r="BF11" i="36"/>
  <c r="O33" i="37"/>
  <c r="O30" i="36"/>
  <c r="O13" i="40" s="1"/>
  <c r="O9" i="38"/>
  <c r="BF7" i="38"/>
  <c r="AR42" i="38"/>
  <c r="AR39" i="40" s="1"/>
  <c r="BH8" i="39"/>
  <c r="AR30" i="36"/>
  <c r="AR13" i="40" s="1"/>
  <c r="Z42" i="38"/>
  <c r="Z39" i="40" s="1"/>
  <c r="Z33" i="37"/>
  <c r="Z30" i="36"/>
  <c r="Z13" i="40" s="1"/>
  <c r="E9" i="36"/>
  <c r="E17" i="36"/>
  <c r="BF27" i="36"/>
  <c r="E30" i="36"/>
  <c r="E13" i="40" s="1"/>
  <c r="BD20" i="38"/>
  <c r="BD35" i="37"/>
  <c r="BD32" i="36"/>
  <c r="BD19" i="36"/>
  <c r="BD27" i="40" s="1"/>
  <c r="BB20" i="38"/>
  <c r="BB35" i="37"/>
  <c r="BB32" i="36"/>
  <c r="BB19" i="36"/>
  <c r="BB27" i="40" s="1"/>
  <c r="AZ20" i="38"/>
  <c r="AZ35" i="37"/>
  <c r="AZ32" i="36"/>
  <c r="AZ19" i="36"/>
  <c r="AZ27" i="40" s="1"/>
  <c r="AX20" i="38"/>
  <c r="AX35" i="37"/>
  <c r="AX32" i="36"/>
  <c r="AX19" i="36"/>
  <c r="AX27" i="40" s="1"/>
  <c r="AV20" i="38"/>
  <c r="AV35" i="37"/>
  <c r="AV32" i="36"/>
  <c r="AV19" i="36"/>
  <c r="AV27" i="40" s="1"/>
  <c r="AT20" i="38"/>
  <c r="AT35" i="37"/>
  <c r="AT32" i="36"/>
  <c r="AT19" i="36"/>
  <c r="AT27" i="40" s="1"/>
  <c r="AR20" i="38"/>
  <c r="AR35" i="37"/>
  <c r="AR32" i="36"/>
  <c r="AR19" i="36"/>
  <c r="AR27" i="40" s="1"/>
  <c r="AP20" i="38"/>
  <c r="AP35" i="37"/>
  <c r="AP32" i="36"/>
  <c r="AP19" i="36"/>
  <c r="AP27" i="40" s="1"/>
  <c r="AN20" i="38"/>
  <c r="AN35" i="37"/>
  <c r="AN32" i="36"/>
  <c r="AN19" i="36"/>
  <c r="AN27" i="40" s="1"/>
  <c r="AL20" i="38"/>
  <c r="AL35" i="37"/>
  <c r="AL32" i="36"/>
  <c r="AL19" i="36"/>
  <c r="AL27" i="40" s="1"/>
  <c r="AH20" i="38"/>
  <c r="AH35" i="37"/>
  <c r="AH32" i="36"/>
  <c r="AH19" i="36"/>
  <c r="AH27" i="40" s="1"/>
  <c r="AF20" i="38"/>
  <c r="AF35" i="37"/>
  <c r="AF32" i="36"/>
  <c r="AF19" i="36"/>
  <c r="AF27" i="40" s="1"/>
  <c r="AD20" i="38"/>
  <c r="AD35" i="37"/>
  <c r="AD32" i="36"/>
  <c r="AD34" i="36" s="1"/>
  <c r="AD29" i="40" s="1"/>
  <c r="AD19" i="36"/>
  <c r="AD27" i="40" s="1"/>
  <c r="AB20" i="38"/>
  <c r="AB35" i="37"/>
  <c r="AB32" i="36"/>
  <c r="AB34" i="36" s="1"/>
  <c r="AB29" i="40" s="1"/>
  <c r="Z20" i="38"/>
  <c r="Z35" i="37"/>
  <c r="Z32" i="36"/>
  <c r="Z19" i="36"/>
  <c r="Z27" i="40" s="1"/>
  <c r="V32" i="36"/>
  <c r="V19" i="36"/>
  <c r="V27" i="40" s="1"/>
  <c r="T20" i="38"/>
  <c r="T35" i="37"/>
  <c r="T32" i="36"/>
  <c r="T19" i="36"/>
  <c r="T27" i="40" s="1"/>
  <c r="R20" i="38"/>
  <c r="R35" i="37"/>
  <c r="R32" i="36"/>
  <c r="R19" i="36"/>
  <c r="R27" i="40" s="1"/>
  <c r="P20" i="38"/>
  <c r="P35" i="37"/>
  <c r="P32" i="36"/>
  <c r="P19" i="36"/>
  <c r="P27" i="40" s="1"/>
  <c r="J20" i="38"/>
  <c r="J35" i="37"/>
  <c r="J32" i="36"/>
  <c r="J34" i="36" s="1"/>
  <c r="J29" i="40" s="1"/>
  <c r="J19" i="36"/>
  <c r="J27" i="40" s="1"/>
  <c r="F19" i="36"/>
  <c r="F27" i="40" s="1"/>
  <c r="BH6" i="36"/>
  <c r="AK9" i="36"/>
  <c r="BE20" i="38"/>
  <c r="BE35" i="37"/>
  <c r="BE32" i="36"/>
  <c r="BE34" i="36" s="1"/>
  <c r="BE29" i="40" s="1"/>
  <c r="BE19" i="36"/>
  <c r="BE27" i="40" s="1"/>
  <c r="BC20" i="38"/>
  <c r="BA20" i="38"/>
  <c r="BA35" i="37"/>
  <c r="BA32" i="36"/>
  <c r="BA19" i="36"/>
  <c r="BA27" i="40" s="1"/>
  <c r="AY20" i="38"/>
  <c r="AY35" i="37"/>
  <c r="AY32" i="36"/>
  <c r="AY34" i="36" s="1"/>
  <c r="AY29" i="40" s="1"/>
  <c r="AY19" i="36"/>
  <c r="AY27" i="40" s="1"/>
  <c r="AW20" i="38"/>
  <c r="AW35" i="37"/>
  <c r="AW32" i="36"/>
  <c r="AW19" i="36"/>
  <c r="AW27" i="40" s="1"/>
  <c r="AU20" i="38"/>
  <c r="AU35" i="37"/>
  <c r="AU32" i="36"/>
  <c r="AU19" i="36"/>
  <c r="AU27" i="40" s="1"/>
  <c r="AQ20" i="38"/>
  <c r="AQ35" i="37"/>
  <c r="AQ32" i="36"/>
  <c r="AQ19" i="36"/>
  <c r="AQ27" i="40" s="1"/>
  <c r="AO32" i="36"/>
  <c r="AO19" i="36"/>
  <c r="AO27" i="40" s="1"/>
  <c r="AM20" i="38"/>
  <c r="AG20" i="38"/>
  <c r="AG35" i="37"/>
  <c r="AG32" i="36"/>
  <c r="AG19" i="36"/>
  <c r="AG27" i="40" s="1"/>
  <c r="AE20" i="38"/>
  <c r="AE35" i="37"/>
  <c r="AE32" i="36"/>
  <c r="AE19" i="36"/>
  <c r="AE27" i="40" s="1"/>
  <c r="AC19" i="36"/>
  <c r="AC27" i="40" s="1"/>
  <c r="AA20" i="38"/>
  <c r="AA35" i="37"/>
  <c r="AA32" i="36"/>
  <c r="AA19" i="36"/>
  <c r="AA27" i="40" s="1"/>
  <c r="Y20" i="38"/>
  <c r="Y35" i="37"/>
  <c r="Y32" i="36"/>
  <c r="Y34" i="36" s="1"/>
  <c r="Y29" i="40" s="1"/>
  <c r="Y19" i="36"/>
  <c r="Y27" i="40" s="1"/>
  <c r="U20" i="38"/>
  <c r="U35" i="37"/>
  <c r="U37" i="37" s="1"/>
  <c r="U33" i="40" s="1"/>
  <c r="U32" i="36"/>
  <c r="U34" i="36" s="1"/>
  <c r="U29" i="40" s="1"/>
  <c r="U19" i="36"/>
  <c r="U27" i="40" s="1"/>
  <c r="S20" i="38"/>
  <c r="S35" i="37"/>
  <c r="S32" i="36"/>
  <c r="S19" i="36"/>
  <c r="S27" i="40" s="1"/>
  <c r="Q20" i="38"/>
  <c r="Q35" i="37"/>
  <c r="Q32" i="36"/>
  <c r="Q19" i="36"/>
  <c r="Q27" i="40" s="1"/>
  <c r="O20" i="38"/>
  <c r="O35" i="37"/>
  <c r="M20" i="38"/>
  <c r="M35" i="37"/>
  <c r="M37" i="37" s="1"/>
  <c r="M33" i="40" s="1"/>
  <c r="M32" i="36"/>
  <c r="M34" i="36" s="1"/>
  <c r="M29" i="40" s="1"/>
  <c r="M19" i="36"/>
  <c r="M27" i="40" s="1"/>
  <c r="K20" i="38"/>
  <c r="K35" i="37"/>
  <c r="K32" i="36"/>
  <c r="K34" i="36" s="1"/>
  <c r="K29" i="40" s="1"/>
  <c r="K19" i="36"/>
  <c r="K27" i="40" s="1"/>
  <c r="I20" i="38"/>
  <c r="I35" i="37"/>
  <c r="I32" i="36"/>
  <c r="I34" i="36" s="1"/>
  <c r="I29" i="40" s="1"/>
  <c r="I19" i="36"/>
  <c r="I27" i="40" s="1"/>
  <c r="G20" i="38"/>
  <c r="G35" i="37"/>
  <c r="G32" i="36"/>
  <c r="G34" i="36" s="1"/>
  <c r="G29" i="40" s="1"/>
  <c r="G19" i="36"/>
  <c r="G27" i="40" s="1"/>
  <c r="BG6" i="36"/>
  <c r="BG7" i="36"/>
  <c r="X9" i="36"/>
  <c r="BG9" i="36" s="1"/>
  <c r="BG11" i="36"/>
  <c r="BG12" i="36"/>
  <c r="BG13" i="36"/>
  <c r="BG14" i="36"/>
  <c r="BG15" i="36"/>
  <c r="X17" i="36"/>
  <c r="BG25" i="36"/>
  <c r="BG26" i="36"/>
  <c r="BG27" i="36"/>
  <c r="BG28" i="36"/>
  <c r="X30" i="36"/>
  <c r="BH7" i="36"/>
  <c r="BH11" i="36"/>
  <c r="BH12" i="36"/>
  <c r="BH13" i="36"/>
  <c r="BH14" i="36"/>
  <c r="BH15" i="36"/>
  <c r="AK17" i="36"/>
  <c r="BH25" i="36"/>
  <c r="BH26" i="36"/>
  <c r="BH27" i="36"/>
  <c r="BH28" i="36"/>
  <c r="AK30" i="36"/>
  <c r="BG9" i="37"/>
  <c r="BF9" i="37"/>
  <c r="BG10" i="37"/>
  <c r="BG11" i="37"/>
  <c r="BG12" i="37"/>
  <c r="BG16" i="37"/>
  <c r="BG26" i="37"/>
  <c r="BD33" i="37"/>
  <c r="AZ33" i="37"/>
  <c r="AV33" i="37"/>
  <c r="AR33" i="37"/>
  <c r="AN33" i="37"/>
  <c r="AJ33" i="37"/>
  <c r="AF33" i="37"/>
  <c r="AB33" i="37"/>
  <c r="X33" i="37"/>
  <c r="BG27" i="37"/>
  <c r="T33" i="37"/>
  <c r="P33" i="37"/>
  <c r="L33" i="37"/>
  <c r="H33" i="37"/>
  <c r="BG28" i="37"/>
  <c r="BH29" i="37"/>
  <c r="BG29" i="37"/>
  <c r="BF29" i="37"/>
  <c r="BG30" i="37"/>
  <c r="BG31" i="37"/>
  <c r="E33" i="37"/>
  <c r="BG6" i="37"/>
  <c r="X18" i="37"/>
  <c r="BG8" i="37"/>
  <c r="BH9" i="37"/>
  <c r="BH13" i="37"/>
  <c r="BG13" i="37"/>
  <c r="BG14" i="37"/>
  <c r="BG15" i="37"/>
  <c r="BF6" i="37"/>
  <c r="BF11" i="37"/>
  <c r="BF15" i="37"/>
  <c r="E18" i="37"/>
  <c r="BF27" i="37"/>
  <c r="BF31" i="37"/>
  <c r="BH11" i="37"/>
  <c r="BH15" i="37"/>
  <c r="BH27" i="37"/>
  <c r="BH31" i="37"/>
  <c r="BF8" i="37"/>
  <c r="BF10" i="37"/>
  <c r="BF12" i="37"/>
  <c r="BF14" i="37"/>
  <c r="BF16" i="37"/>
  <c r="BH6" i="37"/>
  <c r="BH8" i="37"/>
  <c r="BH10" i="37"/>
  <c r="BH12" i="37"/>
  <c r="BH14" i="37"/>
  <c r="BH16" i="37"/>
  <c r="AK18" i="37"/>
  <c r="BH26" i="37"/>
  <c r="BH28" i="37"/>
  <c r="BH30" i="37"/>
  <c r="AK33" i="37"/>
  <c r="E34" i="38"/>
  <c r="E40" i="38"/>
  <c r="BH6" i="38"/>
  <c r="BH7" i="38"/>
  <c r="AK9" i="38"/>
  <c r="BH9" i="38" s="1"/>
  <c r="E9" i="38"/>
  <c r="BG6" i="38"/>
  <c r="BG7" i="38"/>
  <c r="X9" i="38"/>
  <c r="BG9" i="38" s="1"/>
  <c r="BG27" i="38"/>
  <c r="BG28" i="38"/>
  <c r="BG29" i="38"/>
  <c r="BG30" i="38"/>
  <c r="BG31" i="38"/>
  <c r="BG32" i="38"/>
  <c r="X34" i="38"/>
  <c r="BG36" i="38"/>
  <c r="BG37" i="38"/>
  <c r="BG38" i="38"/>
  <c r="X40" i="38"/>
  <c r="BH27" i="38"/>
  <c r="BH28" i="38"/>
  <c r="BH29" i="38"/>
  <c r="BH30" i="38"/>
  <c r="BH31" i="38"/>
  <c r="BH32" i="38"/>
  <c r="AK34" i="38"/>
  <c r="BH34" i="38" s="1"/>
  <c r="BH36" i="38"/>
  <c r="BH37" i="38"/>
  <c r="BH38" i="38"/>
  <c r="AK40" i="38"/>
  <c r="BF6" i="39"/>
  <c r="E12" i="39"/>
  <c r="E41" i="40" s="1"/>
  <c r="BG6" i="39"/>
  <c r="BH6" i="39"/>
  <c r="F38" i="35"/>
  <c r="G38" i="35"/>
  <c r="H38" i="35"/>
  <c r="I38" i="35"/>
  <c r="J38" i="35"/>
  <c r="K38" i="35"/>
  <c r="L38" i="35"/>
  <c r="M38" i="35"/>
  <c r="N38" i="35"/>
  <c r="O38" i="35"/>
  <c r="P38" i="35"/>
  <c r="Q38" i="35"/>
  <c r="R38" i="35"/>
  <c r="S38" i="35"/>
  <c r="T38" i="35"/>
  <c r="U38" i="35"/>
  <c r="W38" i="35"/>
  <c r="W40" i="35" s="1"/>
  <c r="X38" i="35"/>
  <c r="Y38" i="35"/>
  <c r="Y40" i="35" s="1"/>
  <c r="Z38" i="35"/>
  <c r="AA38" i="35"/>
  <c r="AB38" i="35"/>
  <c r="AC38" i="35"/>
  <c r="AC40" i="35" s="1"/>
  <c r="AD38" i="35"/>
  <c r="AE38" i="35"/>
  <c r="AE40" i="35" s="1"/>
  <c r="AF38" i="35"/>
  <c r="AG38" i="35"/>
  <c r="AH38" i="35"/>
  <c r="AH40" i="35" s="1"/>
  <c r="AI38" i="35"/>
  <c r="AI40" i="35" s="1"/>
  <c r="AJ38" i="35"/>
  <c r="AK38" i="35"/>
  <c r="AL38" i="35"/>
  <c r="AL40" i="35" s="1"/>
  <c r="AM38" i="35"/>
  <c r="AM40" i="35" s="1"/>
  <c r="AN38" i="35"/>
  <c r="AN40" i="35" s="1"/>
  <c r="AO38" i="35"/>
  <c r="AO40" i="35" s="1"/>
  <c r="AP38" i="35"/>
  <c r="AP40" i="35" s="1"/>
  <c r="AQ38" i="35"/>
  <c r="AR38" i="35"/>
  <c r="AR40" i="35" s="1"/>
  <c r="AS38" i="35"/>
  <c r="AS40" i="35" s="1"/>
  <c r="AT38" i="35"/>
  <c r="AT40" i="35" s="1"/>
  <c r="AU38" i="35"/>
  <c r="AU40" i="35" s="1"/>
  <c r="AV38" i="35"/>
  <c r="AW38" i="35"/>
  <c r="AX38" i="35"/>
  <c r="AY38" i="35"/>
  <c r="AZ38" i="35"/>
  <c r="BA38" i="35"/>
  <c r="BB38" i="35"/>
  <c r="BB40" i="35" s="1"/>
  <c r="BC38" i="35"/>
  <c r="BC40" i="35" s="1"/>
  <c r="BD38" i="35"/>
  <c r="BD40" i="35" s="1"/>
  <c r="BE38" i="35"/>
  <c r="BE40" i="35" s="1"/>
  <c r="V40" i="35"/>
  <c r="Z40" i="35"/>
  <c r="AA40" i="35"/>
  <c r="AB40" i="35"/>
  <c r="AD40" i="35"/>
  <c r="AF40" i="35"/>
  <c r="AJ40" i="35"/>
  <c r="AQ40" i="35"/>
  <c r="AV40" i="35"/>
  <c r="AW40" i="35"/>
  <c r="AX40" i="35"/>
  <c r="AX42" i="35" s="1"/>
  <c r="AX24" i="40" s="1"/>
  <c r="AY40" i="35"/>
  <c r="AZ40" i="35"/>
  <c r="BA40" i="35"/>
  <c r="F33" i="35"/>
  <c r="G33" i="35"/>
  <c r="H33" i="35"/>
  <c r="I33" i="35"/>
  <c r="J33" i="35"/>
  <c r="K33" i="35"/>
  <c r="L33" i="35"/>
  <c r="M33" i="35"/>
  <c r="N33" i="35"/>
  <c r="O33" i="35"/>
  <c r="P33" i="35"/>
  <c r="Q33" i="35"/>
  <c r="R33" i="35"/>
  <c r="S33" i="35"/>
  <c r="T33" i="35"/>
  <c r="U33" i="35"/>
  <c r="V33" i="35"/>
  <c r="W33" i="35"/>
  <c r="X33" i="35"/>
  <c r="Y33" i="35"/>
  <c r="Z33" i="35"/>
  <c r="AA33" i="35"/>
  <c r="AB33" i="35"/>
  <c r="AC33" i="35"/>
  <c r="AD33" i="35"/>
  <c r="AE33" i="35"/>
  <c r="AF33" i="35"/>
  <c r="AG33" i="35"/>
  <c r="AH33" i="35"/>
  <c r="AI33" i="35"/>
  <c r="AJ33" i="35"/>
  <c r="AK33" i="35"/>
  <c r="AL33" i="35"/>
  <c r="AM33" i="35"/>
  <c r="AN33" i="35"/>
  <c r="AO33" i="35"/>
  <c r="AP33" i="35"/>
  <c r="AQ33" i="35"/>
  <c r="AR33" i="35"/>
  <c r="AS33" i="35"/>
  <c r="AT33" i="35"/>
  <c r="AU33" i="35"/>
  <c r="AV33" i="35"/>
  <c r="AW33" i="35"/>
  <c r="AX33" i="35"/>
  <c r="AY33" i="35"/>
  <c r="AZ33" i="35"/>
  <c r="BA33" i="35"/>
  <c r="BB33" i="35"/>
  <c r="BC33" i="35"/>
  <c r="BD33" i="35"/>
  <c r="BE33" i="35"/>
  <c r="F32" i="35"/>
  <c r="G32" i="35"/>
  <c r="H32" i="35"/>
  <c r="I32" i="35"/>
  <c r="J32" i="35"/>
  <c r="K32" i="35"/>
  <c r="L32" i="35"/>
  <c r="M32" i="35"/>
  <c r="N32" i="35"/>
  <c r="O32" i="35"/>
  <c r="P32" i="35"/>
  <c r="Q32" i="35"/>
  <c r="R32" i="35"/>
  <c r="S32" i="35"/>
  <c r="T32" i="35"/>
  <c r="U32" i="35"/>
  <c r="V32" i="35"/>
  <c r="W32" i="35"/>
  <c r="X32" i="35"/>
  <c r="Y32" i="35"/>
  <c r="Z32" i="35"/>
  <c r="AA32" i="35"/>
  <c r="AB32" i="35"/>
  <c r="AC32" i="35"/>
  <c r="AD32" i="35"/>
  <c r="AE32" i="35"/>
  <c r="AF32" i="35"/>
  <c r="AG32" i="35"/>
  <c r="AH32" i="35"/>
  <c r="AI32" i="35"/>
  <c r="AJ32" i="35"/>
  <c r="AK32" i="35"/>
  <c r="AL32" i="35"/>
  <c r="AM32" i="35"/>
  <c r="AN32" i="35"/>
  <c r="AO32" i="35"/>
  <c r="AP32" i="35"/>
  <c r="AQ32" i="35"/>
  <c r="AR32" i="35"/>
  <c r="AS32" i="35"/>
  <c r="AT32" i="35"/>
  <c r="AU32" i="35"/>
  <c r="AV32" i="35"/>
  <c r="AW32" i="35"/>
  <c r="AX32" i="35"/>
  <c r="AY32" i="35"/>
  <c r="AZ32" i="35"/>
  <c r="BA32" i="35"/>
  <c r="BB32" i="35"/>
  <c r="BC32" i="35"/>
  <c r="BD32" i="35"/>
  <c r="BE32" i="35"/>
  <c r="F31" i="35"/>
  <c r="G31" i="35"/>
  <c r="H31" i="35"/>
  <c r="I31" i="35"/>
  <c r="J31" i="35"/>
  <c r="K31" i="35"/>
  <c r="L31" i="35"/>
  <c r="M31" i="35"/>
  <c r="N31" i="35"/>
  <c r="O31" i="35"/>
  <c r="P31" i="35"/>
  <c r="Q31" i="35"/>
  <c r="R31" i="35"/>
  <c r="S31" i="35"/>
  <c r="T31" i="35"/>
  <c r="U31" i="35"/>
  <c r="V31" i="35"/>
  <c r="W31" i="35"/>
  <c r="X31" i="35"/>
  <c r="Y31" i="35"/>
  <c r="Z31" i="35"/>
  <c r="AA31" i="35"/>
  <c r="AB31" i="35"/>
  <c r="AC31" i="35"/>
  <c r="AD31" i="35"/>
  <c r="AE31" i="35"/>
  <c r="AF31" i="35"/>
  <c r="AG31" i="35"/>
  <c r="AH31" i="35"/>
  <c r="AI31" i="35"/>
  <c r="AJ31" i="35"/>
  <c r="AK31" i="35"/>
  <c r="AL31" i="35"/>
  <c r="AM31" i="35"/>
  <c r="AN31" i="35"/>
  <c r="AO31" i="35"/>
  <c r="AP31" i="35"/>
  <c r="AQ31" i="35"/>
  <c r="AR31" i="35"/>
  <c r="AS31" i="35"/>
  <c r="AT31" i="35"/>
  <c r="AU31" i="35"/>
  <c r="AV31" i="35"/>
  <c r="AW31" i="35"/>
  <c r="AX31" i="35"/>
  <c r="AY31" i="35"/>
  <c r="AZ31" i="35"/>
  <c r="BA31" i="35"/>
  <c r="BB31" i="35"/>
  <c r="BC31" i="35"/>
  <c r="BD31" i="35"/>
  <c r="BE31" i="35"/>
  <c r="F30" i="35"/>
  <c r="G30" i="35"/>
  <c r="H30" i="35"/>
  <c r="I30" i="35"/>
  <c r="J30" i="35"/>
  <c r="K30" i="35"/>
  <c r="L30" i="35"/>
  <c r="M30" i="35"/>
  <c r="N30" i="35"/>
  <c r="O30" i="35"/>
  <c r="P30" i="35"/>
  <c r="Q30" i="35"/>
  <c r="R30" i="35"/>
  <c r="S30" i="35"/>
  <c r="T30" i="35"/>
  <c r="U30" i="35"/>
  <c r="V30" i="35"/>
  <c r="W30" i="35"/>
  <c r="X30" i="35"/>
  <c r="Y30" i="35"/>
  <c r="Z30" i="35"/>
  <c r="AA30" i="35"/>
  <c r="AB30" i="35"/>
  <c r="AC30" i="35"/>
  <c r="AD30" i="35"/>
  <c r="AE30" i="35"/>
  <c r="AF30" i="35"/>
  <c r="AG30" i="35"/>
  <c r="AH30" i="35"/>
  <c r="AI30" i="35"/>
  <c r="AJ30" i="35"/>
  <c r="AK30" i="35"/>
  <c r="AL30" i="35"/>
  <c r="AM30" i="35"/>
  <c r="AN30" i="35"/>
  <c r="AO30" i="35"/>
  <c r="AP30" i="35"/>
  <c r="AQ30" i="35"/>
  <c r="AR30" i="35"/>
  <c r="AS30" i="35"/>
  <c r="AT30" i="35"/>
  <c r="AU30" i="35"/>
  <c r="AV30" i="35"/>
  <c r="AW30" i="35"/>
  <c r="AX30" i="35"/>
  <c r="AY30" i="35"/>
  <c r="AZ30" i="35"/>
  <c r="BA30" i="35"/>
  <c r="BB30" i="35"/>
  <c r="BC30" i="35"/>
  <c r="BD30" i="35"/>
  <c r="BE30" i="35"/>
  <c r="F29" i="35"/>
  <c r="G29" i="35"/>
  <c r="H29" i="35"/>
  <c r="I29" i="35"/>
  <c r="J29" i="35"/>
  <c r="K29" i="35"/>
  <c r="L29" i="35"/>
  <c r="M29" i="35"/>
  <c r="N29" i="35"/>
  <c r="O29" i="35"/>
  <c r="P29" i="35"/>
  <c r="Q29" i="35"/>
  <c r="R29" i="35"/>
  <c r="S29" i="35"/>
  <c r="T29" i="35"/>
  <c r="U29" i="35"/>
  <c r="V29" i="35"/>
  <c r="W29" i="35"/>
  <c r="X29" i="35"/>
  <c r="Y29" i="35"/>
  <c r="Z29" i="35"/>
  <c r="AA29" i="35"/>
  <c r="AB29" i="35"/>
  <c r="AC29" i="35"/>
  <c r="AD29" i="35"/>
  <c r="AE29" i="35"/>
  <c r="AF29" i="35"/>
  <c r="AG29" i="35"/>
  <c r="AH29" i="35"/>
  <c r="AI29" i="35"/>
  <c r="AJ29" i="35"/>
  <c r="AK29" i="35"/>
  <c r="AL29" i="35"/>
  <c r="AM29" i="35"/>
  <c r="AN29" i="35"/>
  <c r="AO29" i="35"/>
  <c r="AP29" i="35"/>
  <c r="AQ29" i="35"/>
  <c r="AR29" i="35"/>
  <c r="AS29" i="35"/>
  <c r="AT29" i="35"/>
  <c r="AU29" i="35"/>
  <c r="AV29" i="35"/>
  <c r="AW29" i="35"/>
  <c r="AX29" i="35"/>
  <c r="AY29" i="35"/>
  <c r="AZ29" i="35"/>
  <c r="BA29" i="35"/>
  <c r="BB29" i="35"/>
  <c r="BC29" i="35"/>
  <c r="BD29" i="35"/>
  <c r="BE29" i="35"/>
  <c r="F28" i="35"/>
  <c r="G28" i="35"/>
  <c r="H28" i="35"/>
  <c r="H35" i="35" s="1"/>
  <c r="I28" i="35"/>
  <c r="J28" i="35"/>
  <c r="K28" i="35"/>
  <c r="K35" i="35" s="1"/>
  <c r="L28" i="35"/>
  <c r="L35" i="35" s="1"/>
  <c r="M28" i="35"/>
  <c r="N28" i="35"/>
  <c r="O28" i="35"/>
  <c r="P28" i="35"/>
  <c r="Q28" i="35"/>
  <c r="R28" i="35"/>
  <c r="S28" i="35"/>
  <c r="T28" i="35"/>
  <c r="U28" i="35"/>
  <c r="V28" i="35"/>
  <c r="W28" i="35"/>
  <c r="X28" i="35"/>
  <c r="Y28" i="35"/>
  <c r="Z28" i="35"/>
  <c r="AA28" i="35"/>
  <c r="AB28" i="35"/>
  <c r="AC28" i="35"/>
  <c r="AD28" i="35"/>
  <c r="AE28" i="35"/>
  <c r="AF28" i="35"/>
  <c r="AG28" i="35"/>
  <c r="AH28" i="35"/>
  <c r="AI28" i="35"/>
  <c r="AJ28" i="35"/>
  <c r="AK28" i="35"/>
  <c r="AL28" i="35"/>
  <c r="AM28" i="35"/>
  <c r="AN28" i="35"/>
  <c r="AN35" i="35" s="1"/>
  <c r="AO28" i="35"/>
  <c r="AP28" i="35"/>
  <c r="AQ28" i="35"/>
  <c r="AR28" i="35"/>
  <c r="AS28" i="35"/>
  <c r="AT28" i="35"/>
  <c r="AU28" i="35"/>
  <c r="AV28" i="35"/>
  <c r="AW28" i="35"/>
  <c r="AX28" i="35"/>
  <c r="AY28" i="35"/>
  <c r="AZ28" i="35"/>
  <c r="BA28" i="35"/>
  <c r="BB28" i="35"/>
  <c r="BC28" i="35"/>
  <c r="BC35" i="35" s="1"/>
  <c r="BD28" i="35"/>
  <c r="BD35" i="35" s="1"/>
  <c r="BE28" i="35"/>
  <c r="F27" i="35"/>
  <c r="G27" i="35"/>
  <c r="H27" i="35"/>
  <c r="I27" i="35"/>
  <c r="J27" i="35"/>
  <c r="K27" i="35"/>
  <c r="L27" i="35"/>
  <c r="M27" i="35"/>
  <c r="N27" i="35"/>
  <c r="O27" i="35"/>
  <c r="P27" i="35"/>
  <c r="Q27" i="35"/>
  <c r="R27" i="35"/>
  <c r="S27" i="35"/>
  <c r="T27" i="35"/>
  <c r="U27" i="35"/>
  <c r="V27" i="35"/>
  <c r="W27" i="35"/>
  <c r="X27" i="35"/>
  <c r="Y27" i="35"/>
  <c r="Z27" i="35"/>
  <c r="AA27" i="35"/>
  <c r="AB27" i="35"/>
  <c r="AC27" i="35"/>
  <c r="AD27" i="35"/>
  <c r="AE27" i="35"/>
  <c r="AF27" i="35"/>
  <c r="AG27" i="35"/>
  <c r="AH27" i="35"/>
  <c r="AI27" i="35"/>
  <c r="AJ27" i="35"/>
  <c r="AK27" i="35"/>
  <c r="AL27" i="35"/>
  <c r="AM27" i="35"/>
  <c r="AN27" i="35"/>
  <c r="AO27" i="35"/>
  <c r="AP27" i="35"/>
  <c r="AQ27" i="35"/>
  <c r="AR27" i="35"/>
  <c r="AS27" i="35"/>
  <c r="AT27" i="35"/>
  <c r="AU27" i="35"/>
  <c r="AV27" i="35"/>
  <c r="AW27" i="35"/>
  <c r="AX27" i="35"/>
  <c r="AY27" i="35"/>
  <c r="AZ27" i="35"/>
  <c r="BA27" i="35"/>
  <c r="BB27" i="35"/>
  <c r="BC27" i="35"/>
  <c r="BD27" i="35"/>
  <c r="BE27" i="35"/>
  <c r="F26" i="35"/>
  <c r="G26" i="35"/>
  <c r="H26" i="35"/>
  <c r="I26" i="35"/>
  <c r="J26" i="35"/>
  <c r="K26" i="35"/>
  <c r="L26" i="35"/>
  <c r="M26" i="35"/>
  <c r="M35" i="35" s="1"/>
  <c r="N26" i="35"/>
  <c r="N35" i="35" s="1"/>
  <c r="O26" i="35"/>
  <c r="P26" i="35"/>
  <c r="Q26" i="35"/>
  <c r="R26" i="35"/>
  <c r="S26" i="35"/>
  <c r="T26" i="35"/>
  <c r="U26" i="35"/>
  <c r="V26" i="35"/>
  <c r="V35" i="35" s="1"/>
  <c r="W26" i="35"/>
  <c r="X26" i="35"/>
  <c r="Y26" i="35"/>
  <c r="Z26" i="35"/>
  <c r="AA26" i="35"/>
  <c r="AB26" i="35"/>
  <c r="AC26" i="35"/>
  <c r="AD26" i="35"/>
  <c r="AE26" i="35"/>
  <c r="AF26" i="35"/>
  <c r="AG26" i="35"/>
  <c r="AH26" i="35"/>
  <c r="AI26" i="35"/>
  <c r="AJ26" i="35"/>
  <c r="AJ35" i="35" s="1"/>
  <c r="AK26" i="35"/>
  <c r="AL26" i="35"/>
  <c r="AL35" i="35" s="1"/>
  <c r="AM26" i="35"/>
  <c r="AN26" i="35"/>
  <c r="AO26" i="35"/>
  <c r="AP26" i="35"/>
  <c r="AQ26" i="35"/>
  <c r="AR26" i="35"/>
  <c r="AS26" i="35"/>
  <c r="AT26" i="35"/>
  <c r="AU26" i="35"/>
  <c r="AV26" i="35"/>
  <c r="AW26" i="35"/>
  <c r="AX26" i="35"/>
  <c r="AY26" i="35"/>
  <c r="AY35" i="35" s="1"/>
  <c r="AZ26" i="35"/>
  <c r="AZ35" i="35" s="1"/>
  <c r="BA26" i="35"/>
  <c r="BB26" i="35"/>
  <c r="BB35" i="35" s="1"/>
  <c r="BC26" i="35"/>
  <c r="BD26" i="35"/>
  <c r="BE26" i="35"/>
  <c r="F25" i="35"/>
  <c r="G25" i="35"/>
  <c r="H25" i="35"/>
  <c r="I25" i="35"/>
  <c r="J25" i="35"/>
  <c r="K25" i="35"/>
  <c r="L25" i="35"/>
  <c r="M25" i="35"/>
  <c r="N25" i="35"/>
  <c r="O25" i="35"/>
  <c r="P25" i="35"/>
  <c r="Q25" i="35"/>
  <c r="Q35" i="35" s="1"/>
  <c r="R25" i="35"/>
  <c r="R35" i="35" s="1"/>
  <c r="S25" i="35"/>
  <c r="T25" i="35"/>
  <c r="U25" i="35"/>
  <c r="V25" i="35"/>
  <c r="W25" i="35"/>
  <c r="W35" i="35" s="1"/>
  <c r="X25" i="35"/>
  <c r="Y25" i="35"/>
  <c r="Z25" i="35"/>
  <c r="Z35" i="35" s="1"/>
  <c r="AA25" i="35"/>
  <c r="AA35" i="35" s="1"/>
  <c r="AB25" i="35"/>
  <c r="AB35" i="35" s="1"/>
  <c r="AC25" i="35"/>
  <c r="AD25" i="35"/>
  <c r="AE25" i="35"/>
  <c r="AE35" i="35" s="1"/>
  <c r="AF25" i="35"/>
  <c r="AF35" i="35" s="1"/>
  <c r="AG25" i="35"/>
  <c r="AG35" i="35" s="1"/>
  <c r="AH25" i="35"/>
  <c r="AH35" i="35" s="1"/>
  <c r="AI25" i="35"/>
  <c r="AJ25" i="35"/>
  <c r="AK25" i="35"/>
  <c r="AL25" i="35"/>
  <c r="AM25" i="35"/>
  <c r="AN25" i="35"/>
  <c r="AO25" i="35"/>
  <c r="AO35" i="35" s="1"/>
  <c r="AP25" i="35"/>
  <c r="AQ25" i="35"/>
  <c r="AR25" i="35"/>
  <c r="AS25" i="35"/>
  <c r="AT25" i="35"/>
  <c r="AU25" i="35"/>
  <c r="AU35" i="35" s="1"/>
  <c r="AV25" i="35"/>
  <c r="AV35" i="35" s="1"/>
  <c r="AW25" i="35"/>
  <c r="AW35" i="35" s="1"/>
  <c r="AX25" i="35"/>
  <c r="AX35" i="35" s="1"/>
  <c r="AY25" i="35"/>
  <c r="AZ25" i="35"/>
  <c r="BA25" i="35"/>
  <c r="BB25" i="35"/>
  <c r="BC25" i="35"/>
  <c r="BD25" i="35"/>
  <c r="BE25" i="35"/>
  <c r="O35" i="35"/>
  <c r="P35" i="35"/>
  <c r="U35" i="35"/>
  <c r="AM35" i="35"/>
  <c r="AQ35" i="35"/>
  <c r="AR35" i="35"/>
  <c r="AS35" i="35"/>
  <c r="AT35" i="35"/>
  <c r="F14" i="35"/>
  <c r="G14" i="35"/>
  <c r="H14" i="35"/>
  <c r="I14" i="35"/>
  <c r="J14" i="35"/>
  <c r="K14" i="35"/>
  <c r="L14" i="35"/>
  <c r="M14" i="35"/>
  <c r="N14" i="35"/>
  <c r="O14" i="35"/>
  <c r="P14" i="35"/>
  <c r="Q14" i="35"/>
  <c r="R14" i="35"/>
  <c r="S14" i="35"/>
  <c r="T14" i="35"/>
  <c r="U14" i="35"/>
  <c r="V14" i="35"/>
  <c r="W14" i="35"/>
  <c r="X14" i="35"/>
  <c r="Y14" i="35"/>
  <c r="Z14" i="35"/>
  <c r="AA14" i="35"/>
  <c r="AB14" i="35"/>
  <c r="AC14" i="35"/>
  <c r="AD14" i="35"/>
  <c r="AE14" i="35"/>
  <c r="AF14" i="35"/>
  <c r="AG14" i="35"/>
  <c r="AH14" i="35"/>
  <c r="AI14" i="35"/>
  <c r="AJ14" i="35"/>
  <c r="AK14" i="35"/>
  <c r="AL14" i="35"/>
  <c r="AM14" i="35"/>
  <c r="AN14" i="35"/>
  <c r="AO14" i="35"/>
  <c r="AP14" i="35"/>
  <c r="AQ14" i="35"/>
  <c r="AR14" i="35"/>
  <c r="AS14" i="35"/>
  <c r="AT14" i="35"/>
  <c r="AU14" i="35"/>
  <c r="AV14" i="35"/>
  <c r="AW14" i="35"/>
  <c r="AX14" i="35"/>
  <c r="AY14" i="35"/>
  <c r="AZ14" i="35"/>
  <c r="BA14" i="35"/>
  <c r="BB14" i="35"/>
  <c r="BC14" i="35"/>
  <c r="BD14" i="35"/>
  <c r="BE14" i="35"/>
  <c r="F13" i="35"/>
  <c r="G13" i="35"/>
  <c r="H13" i="35"/>
  <c r="I13" i="35"/>
  <c r="J13" i="35"/>
  <c r="K13" i="35"/>
  <c r="L13" i="35"/>
  <c r="M13" i="35"/>
  <c r="N13" i="35"/>
  <c r="O13" i="35"/>
  <c r="P13" i="35"/>
  <c r="Q13" i="35"/>
  <c r="R13" i="35"/>
  <c r="S13" i="35"/>
  <c r="T13" i="35"/>
  <c r="U13" i="35"/>
  <c r="V13" i="35"/>
  <c r="W13" i="35"/>
  <c r="X13" i="35"/>
  <c r="Y13" i="35"/>
  <c r="Z13" i="35"/>
  <c r="AA13" i="35"/>
  <c r="AB13" i="35"/>
  <c r="AC13" i="35"/>
  <c r="AD13" i="35"/>
  <c r="AE13" i="35"/>
  <c r="AF13" i="35"/>
  <c r="AG13" i="35"/>
  <c r="AH13" i="35"/>
  <c r="AI13" i="35"/>
  <c r="AJ13" i="35"/>
  <c r="AK13" i="35"/>
  <c r="AL13" i="35"/>
  <c r="AM13" i="35"/>
  <c r="AN13" i="35"/>
  <c r="AO13" i="35"/>
  <c r="AP13" i="35"/>
  <c r="AQ13" i="35"/>
  <c r="AR13" i="35"/>
  <c r="AS13" i="35"/>
  <c r="AT13" i="35"/>
  <c r="AU13" i="35"/>
  <c r="AV13" i="35"/>
  <c r="AW13" i="35"/>
  <c r="AX13" i="35"/>
  <c r="AY13" i="35"/>
  <c r="AZ13" i="35"/>
  <c r="BA13" i="35"/>
  <c r="BB13" i="35"/>
  <c r="BC13" i="35"/>
  <c r="BD13" i="35"/>
  <c r="BE13" i="35"/>
  <c r="F12" i="35"/>
  <c r="G12" i="35"/>
  <c r="H12" i="35"/>
  <c r="I12" i="35"/>
  <c r="J12" i="35"/>
  <c r="K12" i="35"/>
  <c r="L12" i="35"/>
  <c r="M12" i="35"/>
  <c r="N12" i="35"/>
  <c r="O12" i="35"/>
  <c r="P12" i="35"/>
  <c r="Q12" i="35"/>
  <c r="R12" i="35"/>
  <c r="S12" i="35"/>
  <c r="T12" i="35"/>
  <c r="U12" i="35"/>
  <c r="V12" i="35"/>
  <c r="W12" i="35"/>
  <c r="X12" i="35"/>
  <c r="Y12" i="35"/>
  <c r="Z12" i="35"/>
  <c r="AA12" i="35"/>
  <c r="AB12" i="35"/>
  <c r="AC12" i="35"/>
  <c r="AD12" i="35"/>
  <c r="AE12" i="35"/>
  <c r="AF12" i="35"/>
  <c r="AG12" i="35"/>
  <c r="AH12" i="35"/>
  <c r="AI12" i="35"/>
  <c r="AJ12" i="35"/>
  <c r="AK12" i="35"/>
  <c r="AL12" i="35"/>
  <c r="AM12" i="35"/>
  <c r="AN12" i="35"/>
  <c r="AO12" i="35"/>
  <c r="AP12" i="35"/>
  <c r="AQ12" i="35"/>
  <c r="AR12" i="35"/>
  <c r="AS12" i="35"/>
  <c r="AT12" i="35"/>
  <c r="AU12" i="35"/>
  <c r="AV12" i="35"/>
  <c r="AW12" i="35"/>
  <c r="AX12" i="35"/>
  <c r="AY12" i="35"/>
  <c r="AZ12" i="35"/>
  <c r="BA12" i="35"/>
  <c r="BB12" i="35"/>
  <c r="BC12" i="35"/>
  <c r="BD12" i="35"/>
  <c r="BE12" i="35"/>
  <c r="F11" i="35"/>
  <c r="G11" i="35"/>
  <c r="H11" i="35"/>
  <c r="I11" i="35"/>
  <c r="J11" i="35"/>
  <c r="K11" i="35"/>
  <c r="L11" i="35"/>
  <c r="M11" i="35"/>
  <c r="N11" i="35"/>
  <c r="N16" i="35" s="1"/>
  <c r="O11" i="35"/>
  <c r="O16" i="35" s="1"/>
  <c r="P11" i="35"/>
  <c r="P16" i="35" s="1"/>
  <c r="Q11" i="35"/>
  <c r="R11" i="35"/>
  <c r="S11" i="35"/>
  <c r="T11" i="35"/>
  <c r="U11" i="35"/>
  <c r="V11" i="35"/>
  <c r="W11" i="35"/>
  <c r="X11" i="35"/>
  <c r="Y11" i="35"/>
  <c r="Z11" i="35"/>
  <c r="AA11" i="35"/>
  <c r="AB11" i="35"/>
  <c r="AC11" i="35"/>
  <c r="AD11" i="35"/>
  <c r="AD16" i="35" s="1"/>
  <c r="AE11" i="35"/>
  <c r="AE16" i="35" s="1"/>
  <c r="AF11" i="35"/>
  <c r="AF16" i="35" s="1"/>
  <c r="AG11" i="35"/>
  <c r="AH11" i="35"/>
  <c r="AI11" i="35"/>
  <c r="AJ11" i="35"/>
  <c r="AK11" i="35"/>
  <c r="AL11" i="35"/>
  <c r="AM11" i="35"/>
  <c r="AN11" i="35"/>
  <c r="AO11" i="35"/>
  <c r="AP11" i="35"/>
  <c r="AQ11" i="35"/>
  <c r="AR11" i="35"/>
  <c r="AS11" i="35"/>
  <c r="AT11" i="35"/>
  <c r="AT16" i="35" s="1"/>
  <c r="AU11" i="35"/>
  <c r="AU16" i="35" s="1"/>
  <c r="AV11" i="35"/>
  <c r="AV16" i="35" s="1"/>
  <c r="AW11" i="35"/>
  <c r="AX11" i="35"/>
  <c r="AY11" i="35"/>
  <c r="AZ11" i="35"/>
  <c r="BA11" i="35"/>
  <c r="BB11" i="35"/>
  <c r="BC11" i="35"/>
  <c r="BD11" i="35"/>
  <c r="BE11" i="35"/>
  <c r="F7" i="35"/>
  <c r="G7" i="35"/>
  <c r="H7" i="35"/>
  <c r="I7" i="35"/>
  <c r="J7" i="35"/>
  <c r="K7" i="35"/>
  <c r="L7" i="35"/>
  <c r="M7" i="35"/>
  <c r="N7" i="35"/>
  <c r="O7" i="35"/>
  <c r="P7" i="35"/>
  <c r="Q7" i="35"/>
  <c r="R7" i="35"/>
  <c r="S7" i="35"/>
  <c r="T7" i="35"/>
  <c r="U7" i="35"/>
  <c r="V7" i="35"/>
  <c r="W7" i="35"/>
  <c r="X7" i="35"/>
  <c r="Y7" i="35"/>
  <c r="Z7" i="35"/>
  <c r="AA7" i="35"/>
  <c r="AB7" i="35"/>
  <c r="AC7" i="35"/>
  <c r="AD7" i="35"/>
  <c r="AE7" i="35"/>
  <c r="AF7" i="35"/>
  <c r="AG7" i="35"/>
  <c r="AH7" i="35"/>
  <c r="AI7" i="35"/>
  <c r="AJ7" i="35"/>
  <c r="AK7" i="35"/>
  <c r="AL7" i="35"/>
  <c r="AM7" i="35"/>
  <c r="AN7" i="35"/>
  <c r="AO7" i="35"/>
  <c r="AP7" i="35"/>
  <c r="AQ7" i="35"/>
  <c r="AR7" i="35"/>
  <c r="AS7" i="35"/>
  <c r="AT7" i="35"/>
  <c r="AU7" i="35"/>
  <c r="AV7" i="35"/>
  <c r="AW7" i="35"/>
  <c r="AX7" i="35"/>
  <c r="AY7" i="35"/>
  <c r="AZ7" i="35"/>
  <c r="BA7" i="35"/>
  <c r="BB7" i="35"/>
  <c r="BC7" i="35"/>
  <c r="BD7" i="35"/>
  <c r="BE7" i="35"/>
  <c r="F6" i="35"/>
  <c r="G6" i="35"/>
  <c r="G9" i="35" s="1"/>
  <c r="G15" i="40" s="1"/>
  <c r="H6" i="35"/>
  <c r="H9" i="35" s="1"/>
  <c r="H15" i="40" s="1"/>
  <c r="I6" i="35"/>
  <c r="J6" i="35"/>
  <c r="K6" i="35"/>
  <c r="L6" i="35"/>
  <c r="M6" i="35"/>
  <c r="M9" i="35" s="1"/>
  <c r="M15" i="40" s="1"/>
  <c r="N6" i="35"/>
  <c r="N9" i="35" s="1"/>
  <c r="N15" i="40" s="1"/>
  <c r="O6" i="35"/>
  <c r="O9" i="35" s="1"/>
  <c r="O15" i="40" s="1"/>
  <c r="P6" i="35"/>
  <c r="P9" i="35" s="1"/>
  <c r="P15" i="40" s="1"/>
  <c r="Q6" i="35"/>
  <c r="Q9" i="35" s="1"/>
  <c r="Q15" i="40" s="1"/>
  <c r="R6" i="35"/>
  <c r="R9" i="35" s="1"/>
  <c r="R15" i="40" s="1"/>
  <c r="S6" i="35"/>
  <c r="T6" i="35"/>
  <c r="U6" i="35"/>
  <c r="U9" i="35" s="1"/>
  <c r="U15" i="40" s="1"/>
  <c r="V6" i="35"/>
  <c r="V9" i="35" s="1"/>
  <c r="V15" i="40" s="1"/>
  <c r="W6" i="35"/>
  <c r="W9" i="35" s="1"/>
  <c r="W15" i="40" s="1"/>
  <c r="X6" i="35"/>
  <c r="Y6" i="35"/>
  <c r="Z6" i="35"/>
  <c r="AA6" i="35"/>
  <c r="AB6" i="35"/>
  <c r="AC6" i="35"/>
  <c r="AC9" i="35" s="1"/>
  <c r="AC15" i="40" s="1"/>
  <c r="AD6" i="35"/>
  <c r="AD9" i="35" s="1"/>
  <c r="AD15" i="40" s="1"/>
  <c r="AE6" i="35"/>
  <c r="AE9" i="35" s="1"/>
  <c r="AE15" i="40" s="1"/>
  <c r="AF6" i="35"/>
  <c r="AF9" i="35" s="1"/>
  <c r="AF15" i="40" s="1"/>
  <c r="AG6" i="35"/>
  <c r="AG9" i="35" s="1"/>
  <c r="AG15" i="40" s="1"/>
  <c r="AH6" i="35"/>
  <c r="AH9" i="35" s="1"/>
  <c r="AH15" i="40" s="1"/>
  <c r="AI6" i="35"/>
  <c r="AJ6" i="35"/>
  <c r="AK6" i="35"/>
  <c r="AL6" i="35"/>
  <c r="AL9" i="35" s="1"/>
  <c r="AL15" i="40" s="1"/>
  <c r="AM6" i="35"/>
  <c r="AM9" i="35" s="1"/>
  <c r="AM15" i="40" s="1"/>
  <c r="AN6" i="35"/>
  <c r="AN9" i="35" s="1"/>
  <c r="AN15" i="40" s="1"/>
  <c r="AO6" i="35"/>
  <c r="AP6" i="35"/>
  <c r="AQ6" i="35"/>
  <c r="AR6" i="35"/>
  <c r="AS6" i="35"/>
  <c r="AS9" i="35" s="1"/>
  <c r="AS15" i="40" s="1"/>
  <c r="AT6" i="35"/>
  <c r="AT9" i="35" s="1"/>
  <c r="AT15" i="40" s="1"/>
  <c r="AU6" i="35"/>
  <c r="AU9" i="35" s="1"/>
  <c r="AU15" i="40" s="1"/>
  <c r="AV6" i="35"/>
  <c r="AV9" i="35" s="1"/>
  <c r="AV15" i="40" s="1"/>
  <c r="AW6" i="35"/>
  <c r="AW9" i="35" s="1"/>
  <c r="AW15" i="40" s="1"/>
  <c r="AX6" i="35"/>
  <c r="AX9" i="35" s="1"/>
  <c r="AX15" i="40" s="1"/>
  <c r="AY6" i="35"/>
  <c r="AZ6" i="35"/>
  <c r="BA6" i="35"/>
  <c r="BA9" i="35" s="1"/>
  <c r="BA15" i="40" s="1"/>
  <c r="BB6" i="35"/>
  <c r="BB9" i="35" s="1"/>
  <c r="BB15" i="40" s="1"/>
  <c r="BC6" i="35"/>
  <c r="BC9" i="35" s="1"/>
  <c r="BC15" i="40" s="1"/>
  <c r="BD6" i="35"/>
  <c r="BD9" i="35" s="1"/>
  <c r="BD15" i="40" s="1"/>
  <c r="BE6" i="35"/>
  <c r="AO35" i="37" l="1"/>
  <c r="L19" i="36"/>
  <c r="L27" i="40" s="1"/>
  <c r="T9" i="35"/>
  <c r="T15" i="40" s="1"/>
  <c r="AB16" i="35"/>
  <c r="O19" i="36"/>
  <c r="O27" i="40" s="1"/>
  <c r="W19" i="36"/>
  <c r="W27" i="40" s="1"/>
  <c r="L32" i="36"/>
  <c r="L34" i="36" s="1"/>
  <c r="L29" i="40" s="1"/>
  <c r="AC32" i="36"/>
  <c r="AC34" i="36" s="1"/>
  <c r="AC29" i="40" s="1"/>
  <c r="AC20" i="38"/>
  <c r="AZ9" i="35"/>
  <c r="AZ15" i="40" s="1"/>
  <c r="AJ9" i="35"/>
  <c r="AJ15" i="40" s="1"/>
  <c r="AR16" i="35"/>
  <c r="AR18" i="35" s="1"/>
  <c r="AR17" i="40" s="1"/>
  <c r="L16" i="35"/>
  <c r="AD35" i="35"/>
  <c r="AD42" i="35" s="1"/>
  <c r="AD24" i="40" s="1"/>
  <c r="AY9" i="35"/>
  <c r="AY15" i="40" s="1"/>
  <c r="AI9" i="35"/>
  <c r="AI15" i="40" s="1"/>
  <c r="S9" i="35"/>
  <c r="S15" i="40" s="1"/>
  <c r="AQ16" i="35"/>
  <c r="AA16" i="35"/>
  <c r="K16" i="35"/>
  <c r="AC35" i="35"/>
  <c r="W32" i="36"/>
  <c r="W34" i="36" s="1"/>
  <c r="W29" i="40" s="1"/>
  <c r="BH9" i="36"/>
  <c r="L35" i="37"/>
  <c r="BD34" i="36"/>
  <c r="BD29" i="40" s="1"/>
  <c r="Y16" i="35"/>
  <c r="Y18" i="35" s="1"/>
  <c r="Y17" i="40" s="1"/>
  <c r="W20" i="38"/>
  <c r="H16" i="35"/>
  <c r="H10" i="39" s="1"/>
  <c r="H12" i="39" s="1"/>
  <c r="H41" i="40" s="1"/>
  <c r="BB16" i="35"/>
  <c r="BB10" i="39" s="1"/>
  <c r="BB12" i="39" s="1"/>
  <c r="BB41" i="40" s="1"/>
  <c r="AL16" i="35"/>
  <c r="AL18" i="35" s="1"/>
  <c r="AL17" i="40" s="1"/>
  <c r="V16" i="35"/>
  <c r="V10" i="39" s="1"/>
  <c r="V12" i="39" s="1"/>
  <c r="V41" i="40" s="1"/>
  <c r="I37" i="37"/>
  <c r="I33" i="40" s="1"/>
  <c r="AS32" i="36"/>
  <c r="AS34" i="36" s="1"/>
  <c r="AS29" i="40" s="1"/>
  <c r="BA34" i="36"/>
  <c r="BA29" i="40" s="1"/>
  <c r="F20" i="38"/>
  <c r="N20" i="38"/>
  <c r="V20" i="38"/>
  <c r="Z16" i="35"/>
  <c r="AO16" i="35"/>
  <c r="AO10" i="39" s="1"/>
  <c r="AO12" i="39" s="1"/>
  <c r="AO41" i="40" s="1"/>
  <c r="N19" i="36"/>
  <c r="N27" i="40" s="1"/>
  <c r="G16" i="35"/>
  <c r="N35" i="37"/>
  <c r="N37" i="37" s="1"/>
  <c r="N33" i="40" s="1"/>
  <c r="AP34" i="36"/>
  <c r="AP29" i="40" s="1"/>
  <c r="G35" i="35"/>
  <c r="G22" i="40" s="1"/>
  <c r="BF34" i="38"/>
  <c r="AS35" i="37"/>
  <c r="AS37" i="37" s="1"/>
  <c r="AS33" i="40" s="1"/>
  <c r="H19" i="36"/>
  <c r="H27" i="40" s="1"/>
  <c r="BF9" i="36"/>
  <c r="AP16" i="35"/>
  <c r="BE16" i="35"/>
  <c r="BD16" i="35"/>
  <c r="BC16" i="35"/>
  <c r="F35" i="37"/>
  <c r="AR9" i="35"/>
  <c r="AR15" i="40" s="1"/>
  <c r="AJ16" i="35"/>
  <c r="J35" i="35"/>
  <c r="BG34" i="38"/>
  <c r="AI32" i="36"/>
  <c r="AI34" i="36" s="1"/>
  <c r="AI29" i="40" s="1"/>
  <c r="H32" i="36"/>
  <c r="H34" i="36" s="1"/>
  <c r="H29" i="40" s="1"/>
  <c r="J16" i="35"/>
  <c r="J18" i="35" s="1"/>
  <c r="J17" i="40" s="1"/>
  <c r="BE35" i="35"/>
  <c r="BE22" i="40" s="1"/>
  <c r="L9" i="35"/>
  <c r="L15" i="40" s="1"/>
  <c r="AZ16" i="35"/>
  <c r="AZ10" i="39" s="1"/>
  <c r="AZ12" i="39" s="1"/>
  <c r="AZ41" i="40" s="1"/>
  <c r="AP35" i="35"/>
  <c r="AP22" i="40" s="1"/>
  <c r="AA9" i="35"/>
  <c r="AA15" i="40" s="1"/>
  <c r="S16" i="35"/>
  <c r="BA35" i="35"/>
  <c r="I35" i="35"/>
  <c r="S34" i="36"/>
  <c r="S29" i="40" s="1"/>
  <c r="AM19" i="36"/>
  <c r="AM27" i="40" s="1"/>
  <c r="BC19" i="36"/>
  <c r="BC27" i="40" s="1"/>
  <c r="H35" i="37"/>
  <c r="H37" i="37" s="1"/>
  <c r="H33" i="40" s="1"/>
  <c r="AR34" i="36"/>
  <c r="AR29" i="40" s="1"/>
  <c r="I16" i="35"/>
  <c r="I10" i="39" s="1"/>
  <c r="I12" i="39" s="1"/>
  <c r="I41" i="40" s="1"/>
  <c r="AN16" i="35"/>
  <c r="AM16" i="35"/>
  <c r="AM10" i="39" s="1"/>
  <c r="AM12" i="39" s="1"/>
  <c r="AM41" i="40" s="1"/>
  <c r="AB9" i="35"/>
  <c r="AB15" i="40" s="1"/>
  <c r="T16" i="35"/>
  <c r="T18" i="35" s="1"/>
  <c r="T17" i="40" s="1"/>
  <c r="AQ9" i="35"/>
  <c r="AQ15" i="40" s="1"/>
  <c r="K9" i="35"/>
  <c r="K15" i="40" s="1"/>
  <c r="AY16" i="35"/>
  <c r="AI16" i="35"/>
  <c r="AP9" i="35"/>
  <c r="AP15" i="40" s="1"/>
  <c r="Z9" i="35"/>
  <c r="Z15" i="40" s="1"/>
  <c r="J9" i="35"/>
  <c r="J15" i="40" s="1"/>
  <c r="AX16" i="35"/>
  <c r="AH16" i="35"/>
  <c r="AH18" i="35" s="1"/>
  <c r="AH17" i="40" s="1"/>
  <c r="R16" i="35"/>
  <c r="K37" i="37"/>
  <c r="K33" i="40" s="1"/>
  <c r="S37" i="37"/>
  <c r="S33" i="40" s="1"/>
  <c r="AM32" i="36"/>
  <c r="AM34" i="36" s="1"/>
  <c r="AM29" i="40" s="1"/>
  <c r="BC32" i="36"/>
  <c r="BC34" i="36" s="1"/>
  <c r="BC29" i="40" s="1"/>
  <c r="W16" i="35"/>
  <c r="W10" i="39" s="1"/>
  <c r="W12" i="39" s="1"/>
  <c r="W41" i="40" s="1"/>
  <c r="Y35" i="35"/>
  <c r="Y42" i="35" s="1"/>
  <c r="Y24" i="40" s="1"/>
  <c r="AG34" i="36"/>
  <c r="AG29" i="40" s="1"/>
  <c r="AK16" i="35"/>
  <c r="AK10" i="39" s="1"/>
  <c r="BE9" i="35"/>
  <c r="BE15" i="40" s="1"/>
  <c r="AO9" i="35"/>
  <c r="AO15" i="40" s="1"/>
  <c r="Y9" i="35"/>
  <c r="Y15" i="40" s="1"/>
  <c r="AW16" i="35"/>
  <c r="AG16" i="35"/>
  <c r="Q16" i="35"/>
  <c r="AI35" i="35"/>
  <c r="AI42" i="35" s="1"/>
  <c r="AI24" i="40" s="1"/>
  <c r="S35" i="35"/>
  <c r="S22" i="40" s="1"/>
  <c r="AJ35" i="37"/>
  <c r="AJ37" i="37" s="1"/>
  <c r="AJ33" i="40" s="1"/>
  <c r="BA37" i="37"/>
  <c r="BA33" i="40" s="1"/>
  <c r="T35" i="35"/>
  <c r="T22" i="40" s="1"/>
  <c r="AJ19" i="36"/>
  <c r="AJ27" i="40" s="1"/>
  <c r="AI20" i="38"/>
  <c r="R34" i="36"/>
  <c r="R29" i="40" s="1"/>
  <c r="AF34" i="36"/>
  <c r="AF29" i="40" s="1"/>
  <c r="AZ42" i="35"/>
  <c r="AZ24" i="40" s="1"/>
  <c r="AJ42" i="35"/>
  <c r="AJ24" i="40" s="1"/>
  <c r="BC42" i="35"/>
  <c r="BC24" i="40" s="1"/>
  <c r="AY42" i="35"/>
  <c r="AY24" i="40" s="1"/>
  <c r="AA42" i="35"/>
  <c r="AA24" i="40" s="1"/>
  <c r="AG40" i="35"/>
  <c r="Y37" i="37"/>
  <c r="Y33" i="40" s="1"/>
  <c r="AC37" i="37"/>
  <c r="AC33" i="40" s="1"/>
  <c r="AG37" i="37"/>
  <c r="AG33" i="40" s="1"/>
  <c r="AM37" i="37"/>
  <c r="AM33" i="40" s="1"/>
  <c r="AY37" i="37"/>
  <c r="AY33" i="40" s="1"/>
  <c r="BC37" i="37"/>
  <c r="BC33" i="40" s="1"/>
  <c r="BE37" i="37"/>
  <c r="BE33" i="40" s="1"/>
  <c r="J37" i="37"/>
  <c r="J33" i="40" s="1"/>
  <c r="R37" i="37"/>
  <c r="R33" i="40" s="1"/>
  <c r="AP37" i="37"/>
  <c r="AP33" i="40" s="1"/>
  <c r="D12" i="43"/>
  <c r="AI37" i="37"/>
  <c r="AI33" i="40" s="1"/>
  <c r="AI19" i="36"/>
  <c r="AI27" i="40" s="1"/>
  <c r="AJ32" i="36"/>
  <c r="AJ34" i="36" s="1"/>
  <c r="AJ29" i="40" s="1"/>
  <c r="O34" i="36"/>
  <c r="O29" i="40" s="1"/>
  <c r="Q34" i="36"/>
  <c r="Q29" i="40" s="1"/>
  <c r="AE34" i="36"/>
  <c r="AE29" i="40" s="1"/>
  <c r="AO34" i="36"/>
  <c r="AO29" i="40" s="1"/>
  <c r="AQ34" i="36"/>
  <c r="AQ29" i="40" s="1"/>
  <c r="AU34" i="36"/>
  <c r="AU29" i="40" s="1"/>
  <c r="AW34" i="36"/>
  <c r="AW29" i="40" s="1"/>
  <c r="F34" i="36"/>
  <c r="F29" i="40" s="1"/>
  <c r="P34" i="36"/>
  <c r="P29" i="40" s="1"/>
  <c r="T34" i="36"/>
  <c r="T29" i="40" s="1"/>
  <c r="V34" i="36"/>
  <c r="V29" i="40" s="1"/>
  <c r="Z34" i="36"/>
  <c r="Z29" i="40" s="1"/>
  <c r="AH34" i="36"/>
  <c r="AH29" i="40" s="1"/>
  <c r="AL34" i="36"/>
  <c r="AL29" i="40" s="1"/>
  <c r="AT34" i="36"/>
  <c r="AT29" i="40" s="1"/>
  <c r="AV34" i="36"/>
  <c r="AV29" i="40" s="1"/>
  <c r="AX34" i="36"/>
  <c r="AX29" i="40" s="1"/>
  <c r="AZ34" i="36"/>
  <c r="AZ29" i="40" s="1"/>
  <c r="BB34" i="36"/>
  <c r="BB29" i="40" s="1"/>
  <c r="D15" i="43"/>
  <c r="U40" i="35"/>
  <c r="U42" i="35" s="1"/>
  <c r="U24" i="40" s="1"/>
  <c r="S40" i="35"/>
  <c r="S42" i="35" s="1"/>
  <c r="S24" i="40" s="1"/>
  <c r="Q40" i="35"/>
  <c r="Q42" i="35" s="1"/>
  <c r="Q24" i="40" s="1"/>
  <c r="O40" i="35"/>
  <c r="O42" i="35" s="1"/>
  <c r="O24" i="40" s="1"/>
  <c r="BF9" i="38"/>
  <c r="Q37" i="37"/>
  <c r="Q33" i="40" s="1"/>
  <c r="AW37" i="37"/>
  <c r="AW33" i="40" s="1"/>
  <c r="F37" i="37"/>
  <c r="F33" i="40" s="1"/>
  <c r="V37" i="37"/>
  <c r="V33" i="40" s="1"/>
  <c r="Z37" i="37"/>
  <c r="Z33" i="40" s="1"/>
  <c r="M40" i="35"/>
  <c r="K40" i="35"/>
  <c r="I40" i="35"/>
  <c r="I42" i="35" s="1"/>
  <c r="I24" i="40" s="1"/>
  <c r="G40" i="35"/>
  <c r="BD42" i="35"/>
  <c r="BD24" i="40" s="1"/>
  <c r="BB42" i="35"/>
  <c r="BB24" i="40" s="1"/>
  <c r="AV42" i="35"/>
  <c r="AV24" i="40" s="1"/>
  <c r="AT42" i="35"/>
  <c r="AT24" i="40" s="1"/>
  <c r="AR42" i="35"/>
  <c r="AR24" i="40" s="1"/>
  <c r="AN42" i="35"/>
  <c r="AN24" i="40" s="1"/>
  <c r="AL42" i="35"/>
  <c r="AL24" i="40" s="1"/>
  <c r="AH42" i="35"/>
  <c r="AH24" i="40" s="1"/>
  <c r="AF42" i="35"/>
  <c r="AF24" i="40" s="1"/>
  <c r="T40" i="35"/>
  <c r="T42" i="35" s="1"/>
  <c r="T24" i="40" s="1"/>
  <c r="R40" i="35"/>
  <c r="R42" i="35" s="1"/>
  <c r="R24" i="40" s="1"/>
  <c r="P40" i="35"/>
  <c r="P42" i="35" s="1"/>
  <c r="P24" i="40" s="1"/>
  <c r="N40" i="35"/>
  <c r="N42" i="35" s="1"/>
  <c r="N24" i="40" s="1"/>
  <c r="L40" i="35"/>
  <c r="L42" i="35" s="1"/>
  <c r="L24" i="40" s="1"/>
  <c r="J40" i="35"/>
  <c r="H40" i="35"/>
  <c r="H42" i="35" s="1"/>
  <c r="H24" i="40" s="1"/>
  <c r="AA34" i="36"/>
  <c r="AA29" i="40" s="1"/>
  <c r="BA42" i="35"/>
  <c r="BA24" i="40" s="1"/>
  <c r="AW42" i="35"/>
  <c r="AW24" i="40" s="1"/>
  <c r="AU42" i="35"/>
  <c r="AU24" i="40" s="1"/>
  <c r="AS42" i="35"/>
  <c r="AS24" i="40" s="1"/>
  <c r="AQ42" i="35"/>
  <c r="AQ24" i="40" s="1"/>
  <c r="AO42" i="35"/>
  <c r="AO24" i="40" s="1"/>
  <c r="AM42" i="35"/>
  <c r="AM24" i="40" s="1"/>
  <c r="AG42" i="35"/>
  <c r="AG24" i="40" s="1"/>
  <c r="AC42" i="35"/>
  <c r="AC24" i="40" s="1"/>
  <c r="W42" i="35"/>
  <c r="W24" i="40" s="1"/>
  <c r="K42" i="35"/>
  <c r="K24" i="40" s="1"/>
  <c r="AR37" i="37"/>
  <c r="AR33" i="40" s="1"/>
  <c r="AZ37" i="37"/>
  <c r="AZ33" i="40" s="1"/>
  <c r="AT37" i="37"/>
  <c r="AT33" i="40" s="1"/>
  <c r="AX37" i="37"/>
  <c r="AX33" i="40" s="1"/>
  <c r="AB42" i="35"/>
  <c r="AB24" i="40" s="1"/>
  <c r="AE42" i="35"/>
  <c r="AE24" i="40" s="1"/>
  <c r="V42" i="35"/>
  <c r="V24" i="40" s="1"/>
  <c r="T37" i="37"/>
  <c r="T33" i="40" s="1"/>
  <c r="BB37" i="37"/>
  <c r="BB33" i="40" s="1"/>
  <c r="AV37" i="37"/>
  <c r="AV33" i="40" s="1"/>
  <c r="AS16" i="35"/>
  <c r="AS10" i="39" s="1"/>
  <c r="AS12" i="39" s="1"/>
  <c r="AS41" i="40" s="1"/>
  <c r="AQ37" i="37"/>
  <c r="AQ33" i="40" s="1"/>
  <c r="AO37" i="37"/>
  <c r="AO33" i="40" s="1"/>
  <c r="AN34" i="36"/>
  <c r="AN29" i="40" s="1"/>
  <c r="AN37" i="37"/>
  <c r="AN33" i="40" s="1"/>
  <c r="AL37" i="37"/>
  <c r="AL33" i="40" s="1"/>
  <c r="AH37" i="37"/>
  <c r="AH33" i="40" s="1"/>
  <c r="AF37" i="37"/>
  <c r="AF33" i="40" s="1"/>
  <c r="AB37" i="37"/>
  <c r="AB33" i="40" s="1"/>
  <c r="AE37" i="37"/>
  <c r="AE33" i="40" s="1"/>
  <c r="AC16" i="35"/>
  <c r="AC10" i="39" s="1"/>
  <c r="AC12" i="39" s="1"/>
  <c r="AC41" i="40" s="1"/>
  <c r="AA37" i="37"/>
  <c r="AA33" i="40" s="1"/>
  <c r="U16" i="35"/>
  <c r="U10" i="39" s="1"/>
  <c r="U12" i="39" s="1"/>
  <c r="U41" i="40" s="1"/>
  <c r="AU37" i="37"/>
  <c r="AU33" i="40" s="1"/>
  <c r="AD37" i="37"/>
  <c r="AD33" i="40" s="1"/>
  <c r="P37" i="37"/>
  <c r="P33" i="40" s="1"/>
  <c r="G37" i="37"/>
  <c r="G33" i="40" s="1"/>
  <c r="I9" i="35"/>
  <c r="I15" i="40" s="1"/>
  <c r="BD37" i="37"/>
  <c r="BD33" i="40" s="1"/>
  <c r="L37" i="37"/>
  <c r="L33" i="40" s="1"/>
  <c r="M42" i="35"/>
  <c r="M24" i="40" s="1"/>
  <c r="M16" i="35"/>
  <c r="M10" i="39" s="1"/>
  <c r="M12" i="39" s="1"/>
  <c r="M41" i="40" s="1"/>
  <c r="Z42" i="35"/>
  <c r="Z24" i="40" s="1"/>
  <c r="BA16" i="35"/>
  <c r="BA10" i="39" s="1"/>
  <c r="BA12" i="39" s="1"/>
  <c r="BA41" i="40" s="1"/>
  <c r="BH33" i="37"/>
  <c r="O37" i="37"/>
  <c r="O33" i="40" s="1"/>
  <c r="BE10" i="39"/>
  <c r="BE12" i="39" s="1"/>
  <c r="BE41" i="40" s="1"/>
  <c r="BE18" i="35"/>
  <c r="BE17" i="40" s="1"/>
  <c r="AW10" i="39"/>
  <c r="AW12" i="39" s="1"/>
  <c r="AW41" i="40" s="1"/>
  <c r="AW18" i="35"/>
  <c r="AW17" i="40" s="1"/>
  <c r="AG10" i="39"/>
  <c r="AG12" i="39" s="1"/>
  <c r="AG41" i="40" s="1"/>
  <c r="AG18" i="35"/>
  <c r="AG17" i="40" s="1"/>
  <c r="Q10" i="39"/>
  <c r="Q12" i="39" s="1"/>
  <c r="Q41" i="40" s="1"/>
  <c r="Q18" i="35"/>
  <c r="Q17" i="40" s="1"/>
  <c r="BG6" i="35"/>
  <c r="BF6" i="35"/>
  <c r="F9" i="35"/>
  <c r="BG7" i="35"/>
  <c r="BF7" i="35"/>
  <c r="X9" i="35"/>
  <c r="BC10" i="39"/>
  <c r="BC12" i="39" s="1"/>
  <c r="BC41" i="40" s="1"/>
  <c r="BC18" i="35"/>
  <c r="BC17" i="40" s="1"/>
  <c r="AY10" i="39"/>
  <c r="AY12" i="39" s="1"/>
  <c r="AY41" i="40" s="1"/>
  <c r="AU10" i="39"/>
  <c r="AU12" i="39" s="1"/>
  <c r="AU41" i="40" s="1"/>
  <c r="AU18" i="35"/>
  <c r="AU17" i="40" s="1"/>
  <c r="AQ10" i="39"/>
  <c r="AQ12" i="39" s="1"/>
  <c r="AQ41" i="40" s="1"/>
  <c r="AM18" i="35"/>
  <c r="AM17" i="40" s="1"/>
  <c r="BH11" i="35"/>
  <c r="AI10" i="39"/>
  <c r="AI12" i="39" s="1"/>
  <c r="AI41" i="40" s="1"/>
  <c r="AE10" i="39"/>
  <c r="AE12" i="39" s="1"/>
  <c r="AE41" i="40" s="1"/>
  <c r="AE18" i="35"/>
  <c r="AE17" i="40" s="1"/>
  <c r="AA10" i="39"/>
  <c r="AA12" i="39" s="1"/>
  <c r="AA41" i="40" s="1"/>
  <c r="AA18" i="35"/>
  <c r="AA17" i="40" s="1"/>
  <c r="S10" i="39"/>
  <c r="S12" i="39" s="1"/>
  <c r="S41" i="40" s="1"/>
  <c r="S18" i="35"/>
  <c r="S17" i="40" s="1"/>
  <c r="O10" i="39"/>
  <c r="O12" i="39" s="1"/>
  <c r="O41" i="40" s="1"/>
  <c r="O18" i="35"/>
  <c r="O17" i="40" s="1"/>
  <c r="K10" i="39"/>
  <c r="K12" i="39" s="1"/>
  <c r="K41" i="40" s="1"/>
  <c r="G10" i="39"/>
  <c r="G12" i="39" s="1"/>
  <c r="G41" i="40" s="1"/>
  <c r="G18" i="35"/>
  <c r="G17" i="40" s="1"/>
  <c r="BH12" i="35"/>
  <c r="BH13" i="35"/>
  <c r="BH14" i="35"/>
  <c r="BC22" i="40"/>
  <c r="BC18" i="38"/>
  <c r="BC22" i="38" s="1"/>
  <c r="BC37" i="40" s="1"/>
  <c r="BA22" i="40"/>
  <c r="BA18" i="38"/>
  <c r="BA22" i="38" s="1"/>
  <c r="BA37" i="40" s="1"/>
  <c r="AY22" i="40"/>
  <c r="AY18" i="38"/>
  <c r="AY22" i="38" s="1"/>
  <c r="AY37" i="40" s="1"/>
  <c r="AW22" i="40"/>
  <c r="AW18" i="38"/>
  <c r="AW22" i="38" s="1"/>
  <c r="AW37" i="40" s="1"/>
  <c r="AU22" i="40"/>
  <c r="AU18" i="38"/>
  <c r="AU22" i="38" s="1"/>
  <c r="AU37" i="40" s="1"/>
  <c r="AS22" i="40"/>
  <c r="AS18" i="38"/>
  <c r="AS22" i="38" s="1"/>
  <c r="AS37" i="40" s="1"/>
  <c r="AQ22" i="40"/>
  <c r="AQ18" i="38"/>
  <c r="AQ22" i="38" s="1"/>
  <c r="AQ37" i="40" s="1"/>
  <c r="AO22" i="40"/>
  <c r="AO18" i="38"/>
  <c r="AO22" i="38" s="1"/>
  <c r="AO37" i="40" s="1"/>
  <c r="AM22" i="40"/>
  <c r="AM18" i="38"/>
  <c r="AM22" i="38" s="1"/>
  <c r="AM37" i="40" s="1"/>
  <c r="AG22" i="40"/>
  <c r="AG18" i="38"/>
  <c r="AG22" i="38" s="1"/>
  <c r="AG37" i="40" s="1"/>
  <c r="AE22" i="40"/>
  <c r="AE18" i="38"/>
  <c r="AE22" i="38" s="1"/>
  <c r="AE37" i="40" s="1"/>
  <c r="AC22" i="40"/>
  <c r="AC18" i="38"/>
  <c r="AC22" i="38" s="1"/>
  <c r="AC37" i="40" s="1"/>
  <c r="AA22" i="40"/>
  <c r="AA18" i="38"/>
  <c r="AA22" i="38" s="1"/>
  <c r="AA37" i="40" s="1"/>
  <c r="Y22" i="40"/>
  <c r="Y18" i="38"/>
  <c r="Y22" i="38" s="1"/>
  <c r="Y37" i="40" s="1"/>
  <c r="W22" i="40"/>
  <c r="W18" i="38"/>
  <c r="W22" i="38" s="1"/>
  <c r="W37" i="40" s="1"/>
  <c r="U22" i="40"/>
  <c r="U18" i="38"/>
  <c r="U22" i="38" s="1"/>
  <c r="U37" i="40" s="1"/>
  <c r="Q22" i="40"/>
  <c r="Q18" i="38"/>
  <c r="Q22" i="38" s="1"/>
  <c r="Q37" i="40" s="1"/>
  <c r="O22" i="40"/>
  <c r="O18" i="38"/>
  <c r="O22" i="38" s="1"/>
  <c r="O37" i="40" s="1"/>
  <c r="M22" i="40"/>
  <c r="M18" i="38"/>
  <c r="M22" i="38" s="1"/>
  <c r="M37" i="40" s="1"/>
  <c r="K22" i="40"/>
  <c r="K18" i="38"/>
  <c r="K22" i="38" s="1"/>
  <c r="K37" i="40" s="1"/>
  <c r="I22" i="40"/>
  <c r="I18" i="38"/>
  <c r="I22" i="38" s="1"/>
  <c r="I37" i="40" s="1"/>
  <c r="BH24" i="35"/>
  <c r="BH25" i="35"/>
  <c r="BH26" i="35"/>
  <c r="BH27" i="35"/>
  <c r="BH28" i="35"/>
  <c r="BH29" i="35"/>
  <c r="BH30" i="35"/>
  <c r="BH31" i="35"/>
  <c r="BH32" i="35"/>
  <c r="BH33" i="35"/>
  <c r="AK35" i="35"/>
  <c r="BH37" i="35"/>
  <c r="BH38" i="35"/>
  <c r="AK40" i="35"/>
  <c r="BH6" i="35"/>
  <c r="BH7" i="35"/>
  <c r="AK9" i="35"/>
  <c r="BD10" i="39"/>
  <c r="BD12" i="39" s="1"/>
  <c r="BD41" i="40" s="1"/>
  <c r="BD18" i="35"/>
  <c r="BD17" i="40" s="1"/>
  <c r="AX10" i="39"/>
  <c r="AX12" i="39" s="1"/>
  <c r="AX41" i="40" s="1"/>
  <c r="AX18" i="35"/>
  <c r="AX17" i="40" s="1"/>
  <c r="AV10" i="39"/>
  <c r="AV12" i="39" s="1"/>
  <c r="AV41" i="40" s="1"/>
  <c r="AV18" i="35"/>
  <c r="AV17" i="40" s="1"/>
  <c r="AT10" i="39"/>
  <c r="AT12" i="39" s="1"/>
  <c r="AT41" i="40" s="1"/>
  <c r="AT18" i="35"/>
  <c r="AT17" i="40" s="1"/>
  <c r="AR10" i="39"/>
  <c r="AR12" i="39" s="1"/>
  <c r="AR41" i="40" s="1"/>
  <c r="AP10" i="39"/>
  <c r="AP12" i="39" s="1"/>
  <c r="AP41" i="40" s="1"/>
  <c r="AP18" i="35"/>
  <c r="AP17" i="40" s="1"/>
  <c r="AN10" i="39"/>
  <c r="AN12" i="39" s="1"/>
  <c r="AN41" i="40" s="1"/>
  <c r="AN18" i="35"/>
  <c r="AN17" i="40" s="1"/>
  <c r="AJ10" i="39"/>
  <c r="AJ12" i="39" s="1"/>
  <c r="AJ41" i="40" s="1"/>
  <c r="AJ18" i="35"/>
  <c r="AJ17" i="40" s="1"/>
  <c r="AH10" i="39"/>
  <c r="AH12" i="39" s="1"/>
  <c r="AH41" i="40" s="1"/>
  <c r="AF10" i="39"/>
  <c r="AF12" i="39" s="1"/>
  <c r="AF41" i="40" s="1"/>
  <c r="AF18" i="35"/>
  <c r="AF17" i="40" s="1"/>
  <c r="AD10" i="39"/>
  <c r="AD12" i="39" s="1"/>
  <c r="AD41" i="40" s="1"/>
  <c r="AD18" i="35"/>
  <c r="AD17" i="40" s="1"/>
  <c r="AB10" i="39"/>
  <c r="AB12" i="39" s="1"/>
  <c r="AB41" i="40" s="1"/>
  <c r="Z10" i="39"/>
  <c r="Z12" i="39" s="1"/>
  <c r="Z41" i="40" s="1"/>
  <c r="Z18" i="35"/>
  <c r="Z17" i="40" s="1"/>
  <c r="R10" i="39"/>
  <c r="R12" i="39" s="1"/>
  <c r="R41" i="40" s="1"/>
  <c r="R18" i="35"/>
  <c r="R17" i="40" s="1"/>
  <c r="P10" i="39"/>
  <c r="P12" i="39" s="1"/>
  <c r="P41" i="40" s="1"/>
  <c r="P18" i="35"/>
  <c r="P17" i="40" s="1"/>
  <c r="N10" i="39"/>
  <c r="N12" i="39" s="1"/>
  <c r="N41" i="40" s="1"/>
  <c r="N18" i="35"/>
  <c r="N17" i="40" s="1"/>
  <c r="L10" i="39"/>
  <c r="L12" i="39" s="1"/>
  <c r="L41" i="40" s="1"/>
  <c r="L18" i="35"/>
  <c r="L17" i="40" s="1"/>
  <c r="J10" i="39"/>
  <c r="J12" i="39" s="1"/>
  <c r="J41" i="40" s="1"/>
  <c r="BD22" i="40"/>
  <c r="BD18" i="38"/>
  <c r="BD22" i="38" s="1"/>
  <c r="BD37" i="40" s="1"/>
  <c r="BB22" i="40"/>
  <c r="BB18" i="38"/>
  <c r="BB22" i="38" s="1"/>
  <c r="BB37" i="40" s="1"/>
  <c r="AZ22" i="40"/>
  <c r="AZ18" i="38"/>
  <c r="AZ22" i="38" s="1"/>
  <c r="AZ37" i="40" s="1"/>
  <c r="AX22" i="40"/>
  <c r="AX18" i="38"/>
  <c r="AX22" i="38" s="1"/>
  <c r="AX37" i="40" s="1"/>
  <c r="AV22" i="40"/>
  <c r="AV18" i="38"/>
  <c r="AV22" i="38" s="1"/>
  <c r="AV37" i="40" s="1"/>
  <c r="AT22" i="40"/>
  <c r="AT18" i="38"/>
  <c r="AT22" i="38" s="1"/>
  <c r="AT37" i="40" s="1"/>
  <c r="AR22" i="40"/>
  <c r="AR18" i="38"/>
  <c r="AR22" i="38" s="1"/>
  <c r="AR37" i="40" s="1"/>
  <c r="AN22" i="40"/>
  <c r="AN18" i="38"/>
  <c r="AN22" i="38" s="1"/>
  <c r="AN37" i="40" s="1"/>
  <c r="AL22" i="40"/>
  <c r="AL18" i="38"/>
  <c r="AL22" i="38" s="1"/>
  <c r="AL37" i="40" s="1"/>
  <c r="AJ22" i="40"/>
  <c r="AJ18" i="38"/>
  <c r="AJ22" i="38" s="1"/>
  <c r="AJ37" i="40" s="1"/>
  <c r="AH22" i="40"/>
  <c r="AH18" i="38"/>
  <c r="AH22" i="38" s="1"/>
  <c r="AH37" i="40" s="1"/>
  <c r="AF22" i="40"/>
  <c r="AF18" i="38"/>
  <c r="AF22" i="38" s="1"/>
  <c r="AF37" i="40" s="1"/>
  <c r="AD22" i="40"/>
  <c r="AD18" i="38"/>
  <c r="AD22" i="38" s="1"/>
  <c r="AD37" i="40" s="1"/>
  <c r="AB22" i="40"/>
  <c r="AB18" i="38"/>
  <c r="AB22" i="38" s="1"/>
  <c r="AB37" i="40" s="1"/>
  <c r="Z22" i="40"/>
  <c r="Z18" i="38"/>
  <c r="Z22" i="38" s="1"/>
  <c r="Z37" i="40" s="1"/>
  <c r="V22" i="40"/>
  <c r="V18" i="38"/>
  <c r="V22" i="38" s="1"/>
  <c r="V37" i="40" s="1"/>
  <c r="T18" i="38"/>
  <c r="T22" i="38" s="1"/>
  <c r="T37" i="40" s="1"/>
  <c r="R22" i="40"/>
  <c r="R18" i="38"/>
  <c r="R22" i="38" s="1"/>
  <c r="R37" i="40" s="1"/>
  <c r="P22" i="40"/>
  <c r="P18" i="38"/>
  <c r="P22" i="38" s="1"/>
  <c r="P37" i="40" s="1"/>
  <c r="N22" i="40"/>
  <c r="N18" i="38"/>
  <c r="N22" i="38" s="1"/>
  <c r="N37" i="40" s="1"/>
  <c r="L22" i="40"/>
  <c r="L18" i="38"/>
  <c r="L22" i="38" s="1"/>
  <c r="L37" i="40" s="1"/>
  <c r="J22" i="40"/>
  <c r="J18" i="38"/>
  <c r="J22" i="38" s="1"/>
  <c r="J37" i="40" s="1"/>
  <c r="H22" i="40"/>
  <c r="H18" i="38"/>
  <c r="H22" i="38" s="1"/>
  <c r="H37" i="40" s="1"/>
  <c r="BG11" i="35"/>
  <c r="BF11" i="35"/>
  <c r="BG12" i="35"/>
  <c r="BF12" i="35"/>
  <c r="BG13" i="35"/>
  <c r="BF13" i="35"/>
  <c r="BG14" i="35"/>
  <c r="BF14" i="35"/>
  <c r="X16" i="35"/>
  <c r="F16" i="35"/>
  <c r="BG24" i="35"/>
  <c r="BF24" i="35"/>
  <c r="BG25" i="35"/>
  <c r="BF25" i="35"/>
  <c r="BG26" i="35"/>
  <c r="BF26" i="35"/>
  <c r="BG27" i="35"/>
  <c r="BF27" i="35"/>
  <c r="BG28" i="35"/>
  <c r="BF28" i="35"/>
  <c r="BG29" i="35"/>
  <c r="BF29" i="35"/>
  <c r="BG30" i="35"/>
  <c r="BF30" i="35"/>
  <c r="BG31" i="35"/>
  <c r="BF31" i="35"/>
  <c r="BG32" i="35"/>
  <c r="BF32" i="35"/>
  <c r="BG33" i="35"/>
  <c r="BF33" i="35"/>
  <c r="X35" i="35"/>
  <c r="F35" i="35"/>
  <c r="BG37" i="35"/>
  <c r="BF37" i="35"/>
  <c r="BG38" i="35"/>
  <c r="BF38" i="35"/>
  <c r="X40" i="35"/>
  <c r="F40" i="35"/>
  <c r="BH17" i="36"/>
  <c r="BH19" i="36" s="1"/>
  <c r="AK20" i="38"/>
  <c r="AK35" i="37"/>
  <c r="AK32" i="36"/>
  <c r="AK19" i="36"/>
  <c r="AK27" i="40" s="1"/>
  <c r="BH27" i="40" s="1"/>
  <c r="BG17" i="36"/>
  <c r="BG19" i="36" s="1"/>
  <c r="X20" i="38"/>
  <c r="X35" i="37"/>
  <c r="X32" i="36"/>
  <c r="X19" i="36"/>
  <c r="X27" i="40" s="1"/>
  <c r="BF30" i="36"/>
  <c r="BF13" i="40"/>
  <c r="BF17" i="36"/>
  <c r="E20" i="38"/>
  <c r="E35" i="37"/>
  <c r="E32" i="36"/>
  <c r="E19" i="36"/>
  <c r="E27" i="40" s="1"/>
  <c r="BH30" i="36"/>
  <c r="AK13" i="40"/>
  <c r="BH13" i="40" s="1"/>
  <c r="BG30" i="36"/>
  <c r="X13" i="40"/>
  <c r="BG13" i="40" s="1"/>
  <c r="AK20" i="37"/>
  <c r="AK31" i="40" s="1"/>
  <c r="BH31" i="40" s="1"/>
  <c r="BH18" i="37"/>
  <c r="BH20" i="37" s="1"/>
  <c r="E20" i="37"/>
  <c r="E31" i="40" s="1"/>
  <c r="BF18" i="37"/>
  <c r="BF20" i="37" s="1"/>
  <c r="BG18" i="37"/>
  <c r="BG20" i="37" s="1"/>
  <c r="X20" i="37"/>
  <c r="X31" i="40" s="1"/>
  <c r="BG31" i="40" s="1"/>
  <c r="BF33" i="37"/>
  <c r="BG33" i="37"/>
  <c r="BG40" i="38"/>
  <c r="X42" i="38"/>
  <c r="X39" i="40" s="1"/>
  <c r="BG39" i="40" s="1"/>
  <c r="BH40" i="38"/>
  <c r="BH42" i="38" s="1"/>
  <c r="AK42" i="38"/>
  <c r="AK39" i="40" s="1"/>
  <c r="BH39" i="40" s="1"/>
  <c r="BF40" i="38"/>
  <c r="E42" i="38"/>
  <c r="E39" i="40" s="1"/>
  <c r="BF39" i="40" s="1"/>
  <c r="BF42" i="38" l="1"/>
  <c r="K18" i="35"/>
  <c r="K17" i="40" s="1"/>
  <c r="AP42" i="35"/>
  <c r="AP24" i="40" s="1"/>
  <c r="AZ18" i="35"/>
  <c r="AZ17" i="40" s="1"/>
  <c r="BG42" i="38"/>
  <c r="BB18" i="35"/>
  <c r="BB17" i="40" s="1"/>
  <c r="T10" i="39"/>
  <c r="T12" i="39" s="1"/>
  <c r="T41" i="40" s="1"/>
  <c r="AL10" i="39"/>
  <c r="AL12" i="39" s="1"/>
  <c r="AL41" i="40" s="1"/>
  <c r="S18" i="38"/>
  <c r="S22" i="38" s="1"/>
  <c r="S37" i="40" s="1"/>
  <c r="AI18" i="38"/>
  <c r="AI22" i="38" s="1"/>
  <c r="AI37" i="40" s="1"/>
  <c r="AY18" i="35"/>
  <c r="AY17" i="40" s="1"/>
  <c r="Y10" i="39"/>
  <c r="Y12" i="39" s="1"/>
  <c r="Y41" i="40" s="1"/>
  <c r="V18" i="35"/>
  <c r="V17" i="40" s="1"/>
  <c r="AI22" i="40"/>
  <c r="W18" i="35"/>
  <c r="W17" i="40" s="1"/>
  <c r="BE42" i="35"/>
  <c r="BE24" i="40" s="1"/>
  <c r="G42" i="35"/>
  <c r="G24" i="40" s="1"/>
  <c r="BF35" i="37"/>
  <c r="BF19" i="36"/>
  <c r="AO18" i="35"/>
  <c r="AO17" i="40" s="1"/>
  <c r="AI18" i="35"/>
  <c r="AI17" i="40" s="1"/>
  <c r="E37" i="37"/>
  <c r="E33" i="40" s="1"/>
  <c r="BF33" i="40" s="1"/>
  <c r="AP18" i="38"/>
  <c r="AP22" i="38" s="1"/>
  <c r="AP37" i="40" s="1"/>
  <c r="H18" i="35"/>
  <c r="H17" i="40" s="1"/>
  <c r="AK18" i="35"/>
  <c r="AK17" i="40" s="1"/>
  <c r="BH17" i="40" s="1"/>
  <c r="G18" i="38"/>
  <c r="G22" i="38" s="1"/>
  <c r="G37" i="40" s="1"/>
  <c r="BE18" i="38"/>
  <c r="BE22" i="38" s="1"/>
  <c r="BE37" i="40" s="1"/>
  <c r="AQ18" i="35"/>
  <c r="AQ17" i="40" s="1"/>
  <c r="BF27" i="40"/>
  <c r="J42" i="35"/>
  <c r="J24" i="40" s="1"/>
  <c r="BG27" i="40"/>
  <c r="AB18" i="35"/>
  <c r="AB17" i="40" s="1"/>
  <c r="BA18" i="35"/>
  <c r="BA17" i="40" s="1"/>
  <c r="BF31" i="40"/>
  <c r="D30" i="43"/>
  <c r="D26" i="43"/>
  <c r="D38" i="43"/>
  <c r="D32" i="43"/>
  <c r="I18" i="35"/>
  <c r="I17" i="40" s="1"/>
  <c r="D40" i="43"/>
  <c r="D18" i="43"/>
  <c r="AS18" i="35"/>
  <c r="AS17" i="40" s="1"/>
  <c r="BH16" i="35"/>
  <c r="AC18" i="35"/>
  <c r="AC17" i="40" s="1"/>
  <c r="U18" i="35"/>
  <c r="U17" i="40" s="1"/>
  <c r="M18" i="35"/>
  <c r="M17" i="40" s="1"/>
  <c r="BF40" i="35"/>
  <c r="F42" i="35"/>
  <c r="F24" i="40" s="1"/>
  <c r="F22" i="40"/>
  <c r="BF22" i="40" s="1"/>
  <c r="BF35" i="35"/>
  <c r="F18" i="38"/>
  <c r="BF16" i="35"/>
  <c r="F10" i="39"/>
  <c r="F18" i="35"/>
  <c r="F17" i="40" s="1"/>
  <c r="BH9" i="35"/>
  <c r="AK15" i="40"/>
  <c r="BH15" i="40" s="1"/>
  <c r="BH40" i="35"/>
  <c r="AK42" i="35"/>
  <c r="AK24" i="40" s="1"/>
  <c r="BH24" i="40" s="1"/>
  <c r="BG9" i="35"/>
  <c r="X15" i="40"/>
  <c r="BG15" i="40" s="1"/>
  <c r="BH10" i="39"/>
  <c r="BH12" i="39" s="1"/>
  <c r="AK12" i="39"/>
  <c r="AK41" i="40" s="1"/>
  <c r="BH41" i="40" s="1"/>
  <c r="BF9" i="35"/>
  <c r="F15" i="40"/>
  <c r="BF15" i="40" s="1"/>
  <c r="BG40" i="35"/>
  <c r="X42" i="35"/>
  <c r="X24" i="40" s="1"/>
  <c r="BG24" i="40" s="1"/>
  <c r="BG35" i="35"/>
  <c r="X22" i="40"/>
  <c r="X18" i="38"/>
  <c r="X10" i="39"/>
  <c r="BG16" i="35"/>
  <c r="BG18" i="35" s="1"/>
  <c r="X18" i="35"/>
  <c r="X17" i="40" s="1"/>
  <c r="AK22" i="40"/>
  <c r="BH22" i="40" s="1"/>
  <c r="BH35" i="35"/>
  <c r="AK18" i="38"/>
  <c r="BH18" i="38" s="1"/>
  <c r="BG22" i="40"/>
  <c r="BF37" i="37"/>
  <c r="BF32" i="36"/>
  <c r="BF34" i="36" s="1"/>
  <c r="E34" i="36"/>
  <c r="E29" i="40" s="1"/>
  <c r="BF20" i="38"/>
  <c r="E22" i="38"/>
  <c r="E37" i="40" s="1"/>
  <c r="BG35" i="37"/>
  <c r="BG37" i="37" s="1"/>
  <c r="X37" i="37"/>
  <c r="X33" i="40" s="1"/>
  <c r="BG33" i="40" s="1"/>
  <c r="BH32" i="36"/>
  <c r="BH34" i="36" s="1"/>
  <c r="AK34" i="36"/>
  <c r="AK29" i="40" s="1"/>
  <c r="BH29" i="40" s="1"/>
  <c r="BH20" i="38"/>
  <c r="AK22" i="38"/>
  <c r="AK37" i="40" s="1"/>
  <c r="BH37" i="40" s="1"/>
  <c r="BG32" i="36"/>
  <c r="BG34" i="36" s="1"/>
  <c r="X34" i="36"/>
  <c r="X29" i="40" s="1"/>
  <c r="BG29" i="40" s="1"/>
  <c r="BG20" i="38"/>
  <c r="AK37" i="37"/>
  <c r="AK33" i="40" s="1"/>
  <c r="BH33" i="40" s="1"/>
  <c r="BH35" i="37"/>
  <c r="BH37" i="37" s="1"/>
  <c r="C55" i="13"/>
  <c r="BG17" i="40" l="1"/>
  <c r="BG18" i="38"/>
  <c r="BF24" i="40"/>
  <c r="BF17" i="40"/>
  <c r="BF29" i="40"/>
  <c r="D28" i="43"/>
  <c r="BH18" i="35"/>
  <c r="BG22" i="38"/>
  <c r="X22" i="38"/>
  <c r="X37" i="40" s="1"/>
  <c r="BG37" i="40" s="1"/>
  <c r="BG42" i="35"/>
  <c r="BH42" i="35"/>
  <c r="D24" i="43"/>
  <c r="D22" i="43"/>
  <c r="BF18" i="38"/>
  <c r="BF22" i="38" s="1"/>
  <c r="F22" i="38"/>
  <c r="F37" i="40" s="1"/>
  <c r="BF42" i="35"/>
  <c r="BH22" i="38"/>
  <c r="F12" i="39"/>
  <c r="F41" i="40" s="1"/>
  <c r="BF41" i="40" s="1"/>
  <c r="BF10" i="39"/>
  <c r="BF12" i="39" s="1"/>
  <c r="X12" i="39"/>
  <c r="X41" i="40" s="1"/>
  <c r="BG41" i="40" s="1"/>
  <c r="BG10" i="39"/>
  <c r="BG12" i="39" s="1"/>
  <c r="BF18" i="35"/>
  <c r="BI39" i="42"/>
  <c r="BI40" i="42"/>
  <c r="BI41" i="42"/>
  <c r="BI42" i="42"/>
  <c r="BI43" i="42"/>
  <c r="BI44" i="42"/>
  <c r="BI45" i="42"/>
  <c r="BI46" i="42"/>
  <c r="BI47" i="42"/>
  <c r="BI48" i="42"/>
  <c r="BI49" i="42"/>
  <c r="BI50" i="42"/>
  <c r="BI51" i="42"/>
  <c r="BI52" i="42"/>
  <c r="BI53" i="42"/>
  <c r="BI54" i="42"/>
  <c r="BI55" i="42"/>
  <c r="BI56" i="42"/>
  <c r="BH39" i="42"/>
  <c r="BH40" i="42"/>
  <c r="BH41" i="42"/>
  <c r="BH42" i="42"/>
  <c r="BH43" i="42"/>
  <c r="BH44" i="42"/>
  <c r="BH45" i="42"/>
  <c r="BH46" i="42"/>
  <c r="BH47" i="42"/>
  <c r="BH48" i="42"/>
  <c r="BH49" i="42"/>
  <c r="BH50" i="42"/>
  <c r="BH51" i="42"/>
  <c r="BH52" i="42"/>
  <c r="BH53" i="42"/>
  <c r="BH54" i="42"/>
  <c r="BH55" i="42"/>
  <c r="BH56" i="42"/>
  <c r="BG39" i="42"/>
  <c r="BG40" i="42"/>
  <c r="BG41" i="42"/>
  <c r="BG42" i="42"/>
  <c r="BG43" i="42"/>
  <c r="BG44" i="42"/>
  <c r="BG45" i="42"/>
  <c r="BG46" i="42"/>
  <c r="BG47" i="42"/>
  <c r="BG48" i="42"/>
  <c r="BG49" i="42"/>
  <c r="BG50" i="42"/>
  <c r="BG51" i="42"/>
  <c r="BG52" i="42"/>
  <c r="BG53" i="42"/>
  <c r="BG54" i="42"/>
  <c r="BG55" i="42"/>
  <c r="BG56" i="42"/>
  <c r="BF39" i="42"/>
  <c r="D36" i="38" s="1"/>
  <c r="BF40" i="42"/>
  <c r="D37" i="38" s="1"/>
  <c r="BF41" i="42"/>
  <c r="D38" i="38" s="1"/>
  <c r="BF42" i="42"/>
  <c r="D28" i="38" s="1"/>
  <c r="BF43" i="42"/>
  <c r="D29" i="38" s="1"/>
  <c r="BF44" i="42"/>
  <c r="D30" i="38" s="1"/>
  <c r="BF45" i="42"/>
  <c r="D31" i="38" s="1"/>
  <c r="BF46" i="42"/>
  <c r="D32" i="38" s="1"/>
  <c r="BF47" i="42"/>
  <c r="D33" i="35" s="1"/>
  <c r="BF48" i="42"/>
  <c r="D27" i="35" s="1"/>
  <c r="BF49" i="42"/>
  <c r="BF50" i="42"/>
  <c r="D14" i="35" s="1"/>
  <c r="BF51" i="42"/>
  <c r="D12" i="36" s="1"/>
  <c r="BF52" i="42"/>
  <c r="D32" i="35" s="1"/>
  <c r="BF53" i="42"/>
  <c r="D15" i="36" s="1"/>
  <c r="BF54" i="42"/>
  <c r="D13" i="36" s="1"/>
  <c r="BF55" i="42"/>
  <c r="D24" i="35" s="1"/>
  <c r="BF56" i="42"/>
  <c r="BI21" i="42"/>
  <c r="BI22" i="42"/>
  <c r="BI23" i="42"/>
  <c r="BI24" i="42"/>
  <c r="BI25" i="42"/>
  <c r="BI26" i="42"/>
  <c r="BI27" i="42"/>
  <c r="BI28" i="42"/>
  <c r="BI29" i="42"/>
  <c r="BI30" i="42"/>
  <c r="BI31" i="42"/>
  <c r="BI32" i="42"/>
  <c r="BI33" i="42"/>
  <c r="BI34" i="42"/>
  <c r="BI35" i="42"/>
  <c r="BH21" i="42"/>
  <c r="BH22" i="42"/>
  <c r="BH23" i="42"/>
  <c r="BH24" i="42"/>
  <c r="BH25" i="42"/>
  <c r="BH26" i="42"/>
  <c r="BH27" i="42"/>
  <c r="BH28" i="42"/>
  <c r="BH29" i="42"/>
  <c r="BH30" i="42"/>
  <c r="BH31" i="42"/>
  <c r="BH32" i="42"/>
  <c r="BH33" i="42"/>
  <c r="BH34" i="42"/>
  <c r="BH35" i="42"/>
  <c r="BG21" i="42"/>
  <c r="BG22" i="42"/>
  <c r="BG23" i="42"/>
  <c r="BG24" i="42"/>
  <c r="BG25" i="42"/>
  <c r="BG26" i="42"/>
  <c r="BG27" i="42"/>
  <c r="BG28" i="42"/>
  <c r="BG29" i="42"/>
  <c r="BG30" i="42"/>
  <c r="BG31" i="42"/>
  <c r="BG32" i="42"/>
  <c r="BG33" i="42"/>
  <c r="BG34" i="42"/>
  <c r="BG35" i="42"/>
  <c r="BF21" i="42"/>
  <c r="D28" i="37" s="1"/>
  <c r="BF22" i="42"/>
  <c r="D27" i="38" s="1"/>
  <c r="BF23" i="42"/>
  <c r="D6" i="36" s="1"/>
  <c r="BF24" i="42"/>
  <c r="D12" i="37" s="1"/>
  <c r="BF25" i="42"/>
  <c r="D26" i="35" s="1"/>
  <c r="BF26" i="42"/>
  <c r="D13" i="37" s="1"/>
  <c r="BF27" i="42"/>
  <c r="BF28" i="42"/>
  <c r="BF29" i="42"/>
  <c r="D14" i="37" s="1"/>
  <c r="BF30" i="42"/>
  <c r="D15" i="37" s="1"/>
  <c r="BF31" i="42"/>
  <c r="D16" i="37" s="1"/>
  <c r="BF32" i="42"/>
  <c r="D31" i="35" s="1"/>
  <c r="BF33" i="42"/>
  <c r="BF34" i="42"/>
  <c r="BF35" i="42"/>
  <c r="BI18" i="42"/>
  <c r="BH18" i="42"/>
  <c r="BG18" i="42"/>
  <c r="BF18" i="42"/>
  <c r="D8" i="37" s="1"/>
  <c r="BI9" i="42"/>
  <c r="BH9" i="42"/>
  <c r="BG9" i="42"/>
  <c r="BF9" i="42"/>
  <c r="D6" i="38" s="1"/>
  <c r="D13" i="35" l="1"/>
  <c r="BF37" i="40"/>
  <c r="D36" i="43"/>
  <c r="D30" i="37"/>
  <c r="D29" i="35"/>
  <c r="D27" i="37"/>
  <c r="D12" i="35"/>
  <c r="D11" i="35"/>
  <c r="D31" i="37"/>
  <c r="D30" i="35"/>
  <c r="D26" i="37"/>
  <c r="D25" i="35"/>
  <c r="D14" i="36"/>
  <c r="D7" i="36"/>
  <c r="D28" i="35"/>
  <c r="D29" i="37"/>
  <c r="D11" i="37"/>
  <c r="D6" i="35"/>
  <c r="BI62" i="42"/>
  <c r="BH62" i="42"/>
  <c r="BG62" i="42"/>
  <c r="BF62" i="42"/>
  <c r="D38" i="35" s="1"/>
  <c r="BI59" i="42"/>
  <c r="BH59" i="42"/>
  <c r="BG59" i="42"/>
  <c r="BF59" i="42"/>
  <c r="BI38" i="42"/>
  <c r="BH38" i="42"/>
  <c r="BG38" i="42"/>
  <c r="BF38" i="42"/>
  <c r="D11" i="36" s="1"/>
  <c r="BI20" i="42"/>
  <c r="BH20" i="42"/>
  <c r="BG20" i="42"/>
  <c r="BF20" i="42"/>
  <c r="D10" i="37" s="1"/>
  <c r="BI19" i="42"/>
  <c r="BH19" i="42"/>
  <c r="BG19" i="42"/>
  <c r="BF19" i="42"/>
  <c r="D9" i="37" s="1"/>
  <c r="BI15" i="42"/>
  <c r="BH15" i="42"/>
  <c r="BG15" i="42"/>
  <c r="BF15" i="42"/>
  <c r="D6" i="39" s="1"/>
  <c r="BI14" i="42"/>
  <c r="BH14" i="42"/>
  <c r="BG14" i="42"/>
  <c r="BF14" i="42"/>
  <c r="BI13" i="42"/>
  <c r="BH13" i="42"/>
  <c r="BG13" i="42"/>
  <c r="BF13" i="42"/>
  <c r="D28" i="36" s="1"/>
  <c r="BI12" i="42"/>
  <c r="BH12" i="42"/>
  <c r="BG12" i="42"/>
  <c r="BF12" i="42"/>
  <c r="D27" i="36" s="1"/>
  <c r="BI11" i="42"/>
  <c r="BH11" i="42"/>
  <c r="BG11" i="42"/>
  <c r="BF11" i="42"/>
  <c r="D26" i="36" s="1"/>
  <c r="BI10" i="42"/>
  <c r="BH10" i="42"/>
  <c r="BG10" i="42"/>
  <c r="BF10" i="42"/>
  <c r="D25" i="36" s="1"/>
  <c r="BI6" i="42"/>
  <c r="BH6" i="42"/>
  <c r="BG6" i="42"/>
  <c r="BF6" i="42"/>
  <c r="BE3" i="42"/>
  <c r="BD3" i="42"/>
  <c r="BC3" i="42"/>
  <c r="BB3" i="42"/>
  <c r="BA3" i="42"/>
  <c r="AZ3" i="42"/>
  <c r="AY3" i="42"/>
  <c r="AX3" i="42"/>
  <c r="AW3" i="42"/>
  <c r="AV3" i="42"/>
  <c r="AU3" i="42"/>
  <c r="AT3" i="42"/>
  <c r="AS3" i="42"/>
  <c r="AR3" i="42"/>
  <c r="AQ3" i="42"/>
  <c r="AP3" i="42"/>
  <c r="AO3" i="42"/>
  <c r="AN3" i="42"/>
  <c r="AM3" i="42"/>
  <c r="AL3" i="42"/>
  <c r="AK3" i="42"/>
  <c r="AJ3" i="42"/>
  <c r="AI3" i="42"/>
  <c r="AH3" i="42"/>
  <c r="AG3" i="42"/>
  <c r="AF3" i="42"/>
  <c r="AE3" i="42"/>
  <c r="AD3" i="42"/>
  <c r="AC3" i="42"/>
  <c r="AB3" i="42"/>
  <c r="AA3" i="42"/>
  <c r="Z3" i="42"/>
  <c r="Y3" i="42"/>
  <c r="X3" i="42"/>
  <c r="W3" i="42"/>
  <c r="V3" i="42"/>
  <c r="U3" i="42"/>
  <c r="T3" i="42"/>
  <c r="S3" i="42"/>
  <c r="R3" i="42"/>
  <c r="Q3" i="42"/>
  <c r="P3" i="42"/>
  <c r="O3" i="42"/>
  <c r="N3" i="42"/>
  <c r="M3" i="42"/>
  <c r="L3" i="42"/>
  <c r="K3" i="42"/>
  <c r="J3" i="42"/>
  <c r="I3" i="42"/>
  <c r="H3" i="42"/>
  <c r="G3" i="42"/>
  <c r="F3" i="42"/>
  <c r="E3" i="42"/>
  <c r="D6" i="37" l="1"/>
  <c r="D37" i="35"/>
  <c r="D7" i="38"/>
  <c r="D7" i="35"/>
  <c r="BF3" i="42"/>
  <c r="D11" i="38" s="1"/>
  <c r="BH3" i="42"/>
  <c r="BG3" i="42"/>
  <c r="BI3" i="42"/>
  <c r="D5" i="22" l="1"/>
  <c r="E5" i="22"/>
  <c r="F5" i="22"/>
  <c r="G5" i="22"/>
  <c r="H5" i="22"/>
  <c r="I5" i="22"/>
  <c r="J5" i="22"/>
  <c r="K5" i="22"/>
  <c r="L5" i="22"/>
  <c r="M5" i="22"/>
  <c r="N5" i="22"/>
  <c r="O5" i="22"/>
  <c r="P5" i="22"/>
  <c r="Q5" i="22"/>
  <c r="R5" i="22"/>
  <c r="S5" i="22"/>
  <c r="T5" i="22"/>
  <c r="U5" i="22"/>
  <c r="V5" i="22"/>
  <c r="W5" i="22"/>
  <c r="X5" i="22"/>
  <c r="Y5" i="22"/>
  <c r="Z5" i="22"/>
  <c r="AA5" i="22"/>
  <c r="AB5" i="22"/>
  <c r="AC5" i="22"/>
  <c r="AD5" i="22"/>
  <c r="AE5" i="22"/>
  <c r="AF5" i="22"/>
  <c r="AG5" i="22"/>
  <c r="AH5" i="22"/>
  <c r="AI5" i="22"/>
  <c r="AJ5" i="22"/>
  <c r="AL5" i="22"/>
  <c r="AM5" i="22"/>
  <c r="AN5" i="22"/>
  <c r="AO5" i="22"/>
  <c r="AP5" i="22"/>
  <c r="AQ5" i="22"/>
  <c r="AR5" i="22"/>
  <c r="AS5" i="22"/>
  <c r="AT5" i="22"/>
  <c r="AU5" i="22"/>
  <c r="AV5" i="22"/>
  <c r="AW5" i="22"/>
  <c r="AX5" i="22"/>
  <c r="AY5" i="22"/>
  <c r="AZ5" i="22"/>
  <c r="BA5" i="22"/>
  <c r="BB5" i="22"/>
  <c r="BC5" i="22"/>
  <c r="D9" i="22"/>
  <c r="E9" i="22"/>
  <c r="F9" i="22"/>
  <c r="G9" i="22"/>
  <c r="H9" i="22"/>
  <c r="I9" i="22"/>
  <c r="J9" i="22"/>
  <c r="K9" i="22"/>
  <c r="L9" i="22"/>
  <c r="M9" i="22"/>
  <c r="N9" i="22"/>
  <c r="O9" i="22"/>
  <c r="P9" i="22"/>
  <c r="Q9" i="22"/>
  <c r="R9" i="22"/>
  <c r="S9" i="22"/>
  <c r="T9" i="22"/>
  <c r="U9" i="22"/>
  <c r="V9" i="22"/>
  <c r="W9" i="22"/>
  <c r="X9" i="22"/>
  <c r="Y9" i="22"/>
  <c r="Z9" i="22"/>
  <c r="AA9" i="22"/>
  <c r="AB9" i="22"/>
  <c r="AC9" i="22"/>
  <c r="AD9" i="22"/>
  <c r="AE9" i="22"/>
  <c r="AF9" i="22"/>
  <c r="AG9" i="22"/>
  <c r="AH9" i="22"/>
  <c r="AI9" i="22"/>
  <c r="AJ9" i="22"/>
  <c r="AK9" i="22"/>
  <c r="AL9" i="22"/>
  <c r="AM9" i="22"/>
  <c r="AN9" i="22"/>
  <c r="AO9" i="22"/>
  <c r="AP9" i="22"/>
  <c r="AQ9" i="22"/>
  <c r="AR9" i="22"/>
  <c r="AS9" i="22"/>
  <c r="AT9" i="22"/>
  <c r="AU9" i="22"/>
  <c r="AV9" i="22"/>
  <c r="AW9" i="22"/>
  <c r="AX9" i="22"/>
  <c r="AY9" i="22"/>
  <c r="AZ9" i="22"/>
  <c r="BA9" i="22"/>
  <c r="BB9" i="22"/>
  <c r="BC9" i="22"/>
  <c r="D13" i="22"/>
  <c r="E13" i="22"/>
  <c r="F13" i="22"/>
  <c r="G13" i="22"/>
  <c r="H13" i="22"/>
  <c r="I13" i="22"/>
  <c r="J13" i="22"/>
  <c r="K13" i="22"/>
  <c r="L13" i="22"/>
  <c r="M13" i="22"/>
  <c r="N13" i="22"/>
  <c r="O13" i="22"/>
  <c r="P13" i="22"/>
  <c r="Q13" i="22"/>
  <c r="R13" i="22"/>
  <c r="S13" i="22"/>
  <c r="T13" i="22"/>
  <c r="U13" i="22"/>
  <c r="V13" i="22"/>
  <c r="W13" i="22"/>
  <c r="X13" i="22"/>
  <c r="Y13" i="22"/>
  <c r="Z13" i="22"/>
  <c r="AA13" i="22"/>
  <c r="AB13" i="22"/>
  <c r="AC13" i="22"/>
  <c r="AD13" i="22"/>
  <c r="AE13" i="22"/>
  <c r="AF13" i="22"/>
  <c r="AG13" i="22"/>
  <c r="AH13" i="22"/>
  <c r="AI13" i="22"/>
  <c r="AJ13" i="22"/>
  <c r="AK13" i="22"/>
  <c r="AL13" i="22"/>
  <c r="AM13" i="22"/>
  <c r="AN13" i="22"/>
  <c r="AO13" i="22"/>
  <c r="AP13" i="22"/>
  <c r="AQ13" i="22"/>
  <c r="AR13" i="22"/>
  <c r="AS13" i="22"/>
  <c r="AT13" i="22"/>
  <c r="AU13" i="22"/>
  <c r="AV13" i="22"/>
  <c r="AW13" i="22"/>
  <c r="AX13" i="22"/>
  <c r="AY13" i="22"/>
  <c r="AZ13" i="22"/>
  <c r="BA13" i="22"/>
  <c r="BB13" i="22"/>
  <c r="BC13" i="22"/>
  <c r="D17" i="22"/>
  <c r="E17" i="22"/>
  <c r="F17" i="22"/>
  <c r="G17" i="22"/>
  <c r="H17" i="22"/>
  <c r="I17" i="22"/>
  <c r="J17" i="22"/>
  <c r="K17" i="22"/>
  <c r="L17" i="22"/>
  <c r="M17" i="22"/>
  <c r="N17" i="22"/>
  <c r="O17" i="22"/>
  <c r="P17" i="22"/>
  <c r="Q17" i="22"/>
  <c r="R17" i="22"/>
  <c r="S17" i="22"/>
  <c r="T17" i="22"/>
  <c r="U17" i="22"/>
  <c r="V17" i="22"/>
  <c r="W17" i="22"/>
  <c r="X17" i="22"/>
  <c r="Y17" i="22"/>
  <c r="Z17" i="22"/>
  <c r="AA17" i="22"/>
  <c r="AB17" i="22"/>
  <c r="AC17" i="22"/>
  <c r="AD17" i="22"/>
  <c r="AE17" i="22"/>
  <c r="AF17" i="22"/>
  <c r="AG17" i="22"/>
  <c r="AH17" i="22"/>
  <c r="AI17" i="22"/>
  <c r="AJ17" i="22"/>
  <c r="AK17" i="22"/>
  <c r="AL17" i="22"/>
  <c r="AM17" i="22"/>
  <c r="AN17" i="22"/>
  <c r="AO17" i="22"/>
  <c r="AP17" i="22"/>
  <c r="AQ17" i="22"/>
  <c r="AR17" i="22"/>
  <c r="AS17" i="22"/>
  <c r="AT17" i="22"/>
  <c r="AU17" i="22"/>
  <c r="AV17" i="22"/>
  <c r="AW17" i="22"/>
  <c r="AX17" i="22"/>
  <c r="AY17" i="22"/>
  <c r="AZ17" i="22"/>
  <c r="BA17" i="22"/>
  <c r="BB17" i="22"/>
  <c r="BC17" i="22"/>
  <c r="D21" i="22"/>
  <c r="E21" i="22"/>
  <c r="F21" i="22"/>
  <c r="G21" i="22"/>
  <c r="H21" i="22"/>
  <c r="I21" i="22"/>
  <c r="J21" i="22"/>
  <c r="K21" i="22"/>
  <c r="L21" i="22"/>
  <c r="M21" i="22"/>
  <c r="N21" i="22"/>
  <c r="O21" i="22"/>
  <c r="P21" i="22"/>
  <c r="Q21" i="22"/>
  <c r="R21" i="22"/>
  <c r="S21" i="22"/>
  <c r="T21" i="22"/>
  <c r="U21" i="22"/>
  <c r="V21" i="22"/>
  <c r="W21" i="22"/>
  <c r="X21" i="22"/>
  <c r="Y21" i="22"/>
  <c r="Z21" i="22"/>
  <c r="AA21" i="22"/>
  <c r="AB21" i="22"/>
  <c r="AC21" i="22"/>
  <c r="AD21" i="22"/>
  <c r="AE21" i="22"/>
  <c r="AF21" i="22"/>
  <c r="AG21" i="22"/>
  <c r="AH21" i="22"/>
  <c r="AI21" i="22"/>
  <c r="AJ21" i="22"/>
  <c r="AK21" i="22"/>
  <c r="AL21" i="22"/>
  <c r="AM21" i="22"/>
  <c r="AN21" i="22"/>
  <c r="AO21" i="22"/>
  <c r="AP21" i="22"/>
  <c r="AQ21" i="22"/>
  <c r="AR21" i="22"/>
  <c r="AS21" i="22"/>
  <c r="AT21" i="22"/>
  <c r="AU21" i="22"/>
  <c r="AV21" i="22"/>
  <c r="AW21" i="22"/>
  <c r="AX21" i="22"/>
  <c r="AY21" i="22"/>
  <c r="AZ21" i="22"/>
  <c r="BA21" i="22"/>
  <c r="BB21" i="22"/>
  <c r="BC21" i="22"/>
  <c r="D25" i="22"/>
  <c r="E25" i="22"/>
  <c r="F25" i="22"/>
  <c r="G25" i="22"/>
  <c r="H25" i="22"/>
  <c r="I25" i="22"/>
  <c r="J25" i="22"/>
  <c r="K25" i="22"/>
  <c r="L25" i="22"/>
  <c r="M25" i="22"/>
  <c r="N25" i="22"/>
  <c r="O25" i="22"/>
  <c r="P25" i="22"/>
  <c r="Q25" i="22"/>
  <c r="R25" i="22"/>
  <c r="S25" i="22"/>
  <c r="T25" i="22"/>
  <c r="U25" i="22"/>
  <c r="V25" i="22"/>
  <c r="W25" i="22"/>
  <c r="X25" i="22"/>
  <c r="Y25" i="22"/>
  <c r="Z25" i="22"/>
  <c r="AA25" i="22"/>
  <c r="AB25" i="22"/>
  <c r="AC25" i="22"/>
  <c r="AD25" i="22"/>
  <c r="AE25" i="22"/>
  <c r="AF25" i="22"/>
  <c r="AG25" i="22"/>
  <c r="AH25" i="22"/>
  <c r="AI25" i="22"/>
  <c r="AJ25" i="22"/>
  <c r="AK25" i="22"/>
  <c r="AL25" i="22"/>
  <c r="AM25" i="22"/>
  <c r="AN25" i="22"/>
  <c r="AO25" i="22"/>
  <c r="AP25" i="22"/>
  <c r="AQ25" i="22"/>
  <c r="AR25" i="22"/>
  <c r="AS25" i="22"/>
  <c r="AT25" i="22"/>
  <c r="AU25" i="22"/>
  <c r="AV25" i="22"/>
  <c r="AW25" i="22"/>
  <c r="AX25" i="22"/>
  <c r="AY25" i="22"/>
  <c r="AZ25" i="22"/>
  <c r="BA25" i="22"/>
  <c r="BB25" i="22"/>
  <c r="BC25" i="22"/>
  <c r="D29" i="22"/>
  <c r="E29" i="22"/>
  <c r="F29" i="22"/>
  <c r="G29" i="22"/>
  <c r="H29" i="22"/>
  <c r="I29" i="22"/>
  <c r="J29" i="22"/>
  <c r="K29" i="22"/>
  <c r="L29" i="22"/>
  <c r="M29" i="22"/>
  <c r="N29" i="22"/>
  <c r="O29" i="22"/>
  <c r="P29" i="22"/>
  <c r="Q29" i="22"/>
  <c r="R29" i="22"/>
  <c r="S29" i="22"/>
  <c r="T29" i="22"/>
  <c r="U29" i="22"/>
  <c r="V29" i="22"/>
  <c r="W29" i="22"/>
  <c r="X29" i="22"/>
  <c r="Y29" i="22"/>
  <c r="Z29" i="22"/>
  <c r="AA29" i="22"/>
  <c r="AB29" i="22"/>
  <c r="AC29" i="22"/>
  <c r="AD29" i="22"/>
  <c r="AE29" i="22"/>
  <c r="AF29" i="22"/>
  <c r="AG29" i="22"/>
  <c r="AH29" i="22"/>
  <c r="AI29" i="22"/>
  <c r="AJ29" i="22"/>
  <c r="AK29" i="22"/>
  <c r="AL29" i="22"/>
  <c r="AM29" i="22"/>
  <c r="AN29" i="22"/>
  <c r="AO29" i="22"/>
  <c r="AP29" i="22"/>
  <c r="AQ29" i="22"/>
  <c r="AR29" i="22"/>
  <c r="AS29" i="22"/>
  <c r="AT29" i="22"/>
  <c r="AU29" i="22"/>
  <c r="AV29" i="22"/>
  <c r="AW29" i="22"/>
  <c r="AX29" i="22"/>
  <c r="AY29" i="22"/>
  <c r="AZ29" i="22"/>
  <c r="BA29" i="22"/>
  <c r="BB29" i="22"/>
  <c r="BC29" i="22"/>
  <c r="D33" i="22"/>
  <c r="E33" i="22"/>
  <c r="F33" i="22"/>
  <c r="G33" i="22"/>
  <c r="H33" i="22"/>
  <c r="I33" i="22"/>
  <c r="J33" i="22"/>
  <c r="K33" i="22"/>
  <c r="L33" i="22"/>
  <c r="M33" i="22"/>
  <c r="N33" i="22"/>
  <c r="O33" i="22"/>
  <c r="P33" i="22"/>
  <c r="Q33" i="22"/>
  <c r="R33" i="22"/>
  <c r="S33" i="22"/>
  <c r="T33" i="22"/>
  <c r="U33" i="22"/>
  <c r="V33" i="22"/>
  <c r="W33" i="22"/>
  <c r="X33" i="22"/>
  <c r="Y33" i="22"/>
  <c r="Z33" i="22"/>
  <c r="AA33" i="22"/>
  <c r="AB33" i="22"/>
  <c r="AC33" i="22"/>
  <c r="AD33" i="22"/>
  <c r="AE33" i="22"/>
  <c r="AF33" i="22"/>
  <c r="AG33" i="22"/>
  <c r="AH33" i="22"/>
  <c r="AI33" i="22"/>
  <c r="AJ33" i="22"/>
  <c r="AK33" i="22"/>
  <c r="AL33" i="22"/>
  <c r="AM33" i="22"/>
  <c r="AN33" i="22"/>
  <c r="AO33" i="22"/>
  <c r="AP33" i="22"/>
  <c r="AQ33" i="22"/>
  <c r="AR33" i="22"/>
  <c r="AS33" i="22"/>
  <c r="AT33" i="22"/>
  <c r="AU33" i="22"/>
  <c r="AV33" i="22"/>
  <c r="AW33" i="22"/>
  <c r="AX33" i="22"/>
  <c r="AY33" i="22"/>
  <c r="AZ33" i="22"/>
  <c r="BA33" i="22"/>
  <c r="BB33" i="22"/>
  <c r="BC33" i="22"/>
  <c r="D37" i="22"/>
  <c r="E37" i="22"/>
  <c r="F37" i="22"/>
  <c r="G37" i="22"/>
  <c r="H37" i="22"/>
  <c r="I37" i="22"/>
  <c r="J37" i="22"/>
  <c r="K37" i="22"/>
  <c r="L37" i="22"/>
  <c r="M37" i="22"/>
  <c r="N37" i="22"/>
  <c r="O37" i="22"/>
  <c r="P37" i="22"/>
  <c r="Q37" i="22"/>
  <c r="R37" i="22"/>
  <c r="S37" i="22"/>
  <c r="T37" i="22"/>
  <c r="U37" i="22"/>
  <c r="V37" i="22"/>
  <c r="W37" i="22"/>
  <c r="X37" i="22"/>
  <c r="Y37" i="22"/>
  <c r="Z37" i="22"/>
  <c r="AA37" i="22"/>
  <c r="AB37" i="22"/>
  <c r="AC37" i="22"/>
  <c r="AD37" i="22"/>
  <c r="AE37" i="22"/>
  <c r="AF37" i="22"/>
  <c r="AG37" i="22"/>
  <c r="AH37" i="22"/>
  <c r="AI37" i="22"/>
  <c r="AJ37" i="22"/>
  <c r="AK37" i="22"/>
  <c r="AL37" i="22"/>
  <c r="AM37" i="22"/>
  <c r="AN37" i="22"/>
  <c r="AO37" i="22"/>
  <c r="AP37" i="22"/>
  <c r="AQ37" i="22"/>
  <c r="AR37" i="22"/>
  <c r="AS37" i="22"/>
  <c r="AT37" i="22"/>
  <c r="AU37" i="22"/>
  <c r="AV37" i="22"/>
  <c r="AW37" i="22"/>
  <c r="AX37" i="22"/>
  <c r="AY37" i="22"/>
  <c r="AZ37" i="22"/>
  <c r="BA37" i="22"/>
  <c r="BB37" i="22"/>
  <c r="BC37" i="22"/>
  <c r="D41" i="22"/>
  <c r="E41" i="22"/>
  <c r="F41" i="22"/>
  <c r="G41" i="22"/>
  <c r="H41" i="22"/>
  <c r="I41" i="22"/>
  <c r="J41" i="22"/>
  <c r="K41" i="22"/>
  <c r="L41" i="22"/>
  <c r="M41" i="22"/>
  <c r="N41" i="22"/>
  <c r="O41" i="22"/>
  <c r="P41" i="22"/>
  <c r="Q41" i="22"/>
  <c r="R41" i="22"/>
  <c r="S41" i="22"/>
  <c r="T41" i="22"/>
  <c r="U41" i="22"/>
  <c r="V41" i="22"/>
  <c r="W41" i="22"/>
  <c r="X41" i="22"/>
  <c r="Y41" i="22"/>
  <c r="Z41" i="22"/>
  <c r="AA41" i="22"/>
  <c r="AB41" i="22"/>
  <c r="AC41" i="22"/>
  <c r="AD41" i="22"/>
  <c r="AE41" i="22"/>
  <c r="AF41" i="22"/>
  <c r="AG41" i="22"/>
  <c r="AH41" i="22"/>
  <c r="AI41" i="22"/>
  <c r="AJ41" i="22"/>
  <c r="AK41" i="22"/>
  <c r="AL41" i="22"/>
  <c r="AM41" i="22"/>
  <c r="AN41" i="22"/>
  <c r="AO41" i="22"/>
  <c r="AP41" i="22"/>
  <c r="AQ41" i="22"/>
  <c r="AR41" i="22"/>
  <c r="AS41" i="22"/>
  <c r="AT41" i="22"/>
  <c r="AU41" i="22"/>
  <c r="AV41" i="22"/>
  <c r="AW41" i="22"/>
  <c r="AX41" i="22"/>
  <c r="AY41" i="22"/>
  <c r="AZ41" i="22"/>
  <c r="BA41" i="22"/>
  <c r="BB41" i="22"/>
  <c r="BC41" i="22"/>
  <c r="C41" i="22"/>
  <c r="C37" i="22"/>
  <c r="C33" i="22"/>
  <c r="C29" i="22"/>
  <c r="C25" i="22"/>
  <c r="C21" i="22"/>
  <c r="C17" i="22"/>
  <c r="C13" i="22"/>
  <c r="C9" i="22"/>
  <c r="C5" i="22"/>
  <c r="M45" i="22" l="1"/>
  <c r="D8" i="39"/>
  <c r="D40" i="38"/>
  <c r="D9" i="38"/>
  <c r="D13" i="38" s="1"/>
  <c r="D35" i="40" s="1"/>
  <c r="D33" i="37"/>
  <c r="D17" i="36"/>
  <c r="D9" i="36"/>
  <c r="D40" i="35"/>
  <c r="D35" i="35"/>
  <c r="D18" i="38" s="1"/>
  <c r="D16" i="35"/>
  <c r="D10" i="39" s="1"/>
  <c r="D9" i="35"/>
  <c r="D15" i="40" s="1"/>
  <c r="D20" i="38" l="1"/>
  <c r="D35" i="37"/>
  <c r="D37" i="37" s="1"/>
  <c r="D33" i="40" s="1"/>
  <c r="D42" i="35"/>
  <c r="D24" i="40" s="1"/>
  <c r="D12" i="39"/>
  <c r="D41" i="40" s="1"/>
  <c r="D18" i="35"/>
  <c r="D17" i="40" s="1"/>
  <c r="D22" i="40"/>
  <c r="D22" i="38"/>
  <c r="D37" i="40" s="1"/>
  <c r="D30" i="36"/>
  <c r="D13" i="40" s="1"/>
  <c r="D18" i="37"/>
  <c r="D20" i="37" s="1"/>
  <c r="D31" i="40" s="1"/>
  <c r="D34" i="38"/>
  <c r="D42" i="38" s="1"/>
  <c r="D39" i="40" s="1"/>
  <c r="D32" i="36"/>
  <c r="D19" i="36"/>
  <c r="D27" i="40" s="1"/>
  <c r="D34" i="36" l="1"/>
  <c r="D29" i="40" s="1"/>
  <c r="BI171" i="34"/>
  <c r="BI172" i="34"/>
  <c r="BI173" i="34"/>
  <c r="BI174" i="34"/>
  <c r="BI175" i="34"/>
  <c r="BI176" i="34"/>
  <c r="BH171" i="34"/>
  <c r="BH172" i="34"/>
  <c r="BH173" i="34"/>
  <c r="BH174" i="34"/>
  <c r="BH175" i="34"/>
  <c r="BH176" i="34"/>
  <c r="BG171" i="34"/>
  <c r="BG172" i="34"/>
  <c r="BG173" i="34"/>
  <c r="BG174" i="34"/>
  <c r="BG175" i="34"/>
  <c r="BG176" i="34"/>
  <c r="BF171" i="34"/>
  <c r="BF172" i="34"/>
  <c r="BF173" i="34"/>
  <c r="BF174" i="34"/>
  <c r="BF175" i="34"/>
  <c r="BF176" i="34"/>
  <c r="BI160" i="34"/>
  <c r="BI161" i="34"/>
  <c r="BI162" i="34"/>
  <c r="BI163" i="34"/>
  <c r="BI164" i="34"/>
  <c r="BI165" i="34"/>
  <c r="BI166" i="34"/>
  <c r="BI167" i="34"/>
  <c r="BH160" i="34"/>
  <c r="BH161" i="34"/>
  <c r="BH162" i="34"/>
  <c r="BH163" i="34"/>
  <c r="BH164" i="34"/>
  <c r="BH165" i="34"/>
  <c r="BH166" i="34"/>
  <c r="BH167" i="34"/>
  <c r="BG160" i="34"/>
  <c r="BG161" i="34"/>
  <c r="BG162" i="34"/>
  <c r="BG163" i="34"/>
  <c r="BG164" i="34"/>
  <c r="BG165" i="34"/>
  <c r="BG166" i="34"/>
  <c r="BG167" i="34"/>
  <c r="BF160" i="34"/>
  <c r="BF161" i="34"/>
  <c r="BF162" i="34"/>
  <c r="BF163" i="34"/>
  <c r="BF164" i="34"/>
  <c r="BF165" i="34"/>
  <c r="BF166" i="34"/>
  <c r="BF167" i="34"/>
  <c r="BI149" i="34"/>
  <c r="BI150" i="34"/>
  <c r="BI151" i="34"/>
  <c r="BI152" i="34"/>
  <c r="BI153" i="34"/>
  <c r="BI154" i="34"/>
  <c r="BI155" i="34"/>
  <c r="BI156" i="34"/>
  <c r="BH149" i="34"/>
  <c r="BH150" i="34"/>
  <c r="BH151" i="34"/>
  <c r="BH152" i="34"/>
  <c r="BH153" i="34"/>
  <c r="BH154" i="34"/>
  <c r="BH155" i="34"/>
  <c r="BH156" i="34"/>
  <c r="BG149" i="34"/>
  <c r="BG150" i="34"/>
  <c r="BG151" i="34"/>
  <c r="BG152" i="34"/>
  <c r="BG153" i="34"/>
  <c r="BG154" i="34"/>
  <c r="BG155" i="34"/>
  <c r="BG156" i="34"/>
  <c r="BF149" i="34"/>
  <c r="BF150" i="34"/>
  <c r="BF151" i="34"/>
  <c r="BF152" i="34"/>
  <c r="BF153" i="34"/>
  <c r="BF154" i="34"/>
  <c r="BF155" i="34"/>
  <c r="BF156" i="34"/>
  <c r="BI138" i="34"/>
  <c r="BI139" i="34"/>
  <c r="BI140" i="34"/>
  <c r="BI141" i="34"/>
  <c r="BI142" i="34"/>
  <c r="BI143" i="34"/>
  <c r="BI144" i="34"/>
  <c r="BI145" i="34"/>
  <c r="BH138" i="34"/>
  <c r="BH139" i="34"/>
  <c r="BH140" i="34"/>
  <c r="BH141" i="34"/>
  <c r="BH142" i="34"/>
  <c r="BH143" i="34"/>
  <c r="BH144" i="34"/>
  <c r="BH145" i="34"/>
  <c r="BG138" i="34"/>
  <c r="BG139" i="34"/>
  <c r="BG140" i="34"/>
  <c r="BG141" i="34"/>
  <c r="BG142" i="34"/>
  <c r="BG143" i="34"/>
  <c r="BG144" i="34"/>
  <c r="BG145" i="34"/>
  <c r="BF138" i="34"/>
  <c r="BF139" i="34"/>
  <c r="BF140" i="34"/>
  <c r="BF141" i="34"/>
  <c r="BF142" i="34"/>
  <c r="BF143" i="34"/>
  <c r="BF144" i="34"/>
  <c r="BF145" i="34"/>
  <c r="BI116" i="34"/>
  <c r="BI117" i="34"/>
  <c r="BI118" i="34"/>
  <c r="BI119" i="34"/>
  <c r="BI120" i="34"/>
  <c r="BI121" i="34"/>
  <c r="BI122" i="34"/>
  <c r="BI123" i="34"/>
  <c r="BH116" i="34"/>
  <c r="BH117" i="34"/>
  <c r="BH118" i="34"/>
  <c r="BH119" i="34"/>
  <c r="BH120" i="34"/>
  <c r="BH121" i="34"/>
  <c r="BH122" i="34"/>
  <c r="BH123" i="34"/>
  <c r="BG116" i="34"/>
  <c r="BG117" i="34"/>
  <c r="BG118" i="34"/>
  <c r="BG119" i="34"/>
  <c r="BG120" i="34"/>
  <c r="BG121" i="34"/>
  <c r="BG122" i="34"/>
  <c r="BG123" i="34"/>
  <c r="BF116" i="34"/>
  <c r="BF117" i="34"/>
  <c r="BF118" i="34"/>
  <c r="BF119" i="34"/>
  <c r="BF120" i="34"/>
  <c r="BF121" i="34"/>
  <c r="BF122" i="34"/>
  <c r="BF123" i="34"/>
  <c r="BI101" i="34"/>
  <c r="BI102" i="34"/>
  <c r="BI103" i="34"/>
  <c r="BI104" i="34"/>
  <c r="BI105" i="34"/>
  <c r="BI106" i="34"/>
  <c r="BI107" i="34"/>
  <c r="BH101" i="34"/>
  <c r="BH102" i="34"/>
  <c r="BH103" i="34"/>
  <c r="BH104" i="34"/>
  <c r="BH105" i="34"/>
  <c r="BH106" i="34"/>
  <c r="BH107" i="34"/>
  <c r="BG101" i="34"/>
  <c r="BG102" i="34"/>
  <c r="BG103" i="34"/>
  <c r="BG104" i="34"/>
  <c r="BG105" i="34"/>
  <c r="BG106" i="34"/>
  <c r="BG107" i="34"/>
  <c r="BF101" i="34"/>
  <c r="BF102" i="34"/>
  <c r="BF103" i="34"/>
  <c r="BF104" i="34"/>
  <c r="BF105" i="34"/>
  <c r="BF106" i="34"/>
  <c r="BF107" i="34"/>
  <c r="BI91" i="34"/>
  <c r="BI92" i="34"/>
  <c r="BI93" i="34"/>
  <c r="BI94" i="34"/>
  <c r="BI95" i="34"/>
  <c r="BI96" i="34"/>
  <c r="BI97" i="34"/>
  <c r="BH91" i="34"/>
  <c r="BH92" i="34"/>
  <c r="BH93" i="34"/>
  <c r="BH94" i="34"/>
  <c r="BH95" i="34"/>
  <c r="BH96" i="34"/>
  <c r="BH97" i="34"/>
  <c r="BG91" i="34"/>
  <c r="BG92" i="34"/>
  <c r="BG93" i="34"/>
  <c r="BG94" i="34"/>
  <c r="BG95" i="34"/>
  <c r="BG96" i="34"/>
  <c r="BG97" i="34"/>
  <c r="BF91" i="34"/>
  <c r="BF92" i="34"/>
  <c r="BF93" i="34"/>
  <c r="BF94" i="34"/>
  <c r="BF95" i="34"/>
  <c r="BF96" i="34"/>
  <c r="BF97" i="34"/>
  <c r="F178" i="34"/>
  <c r="G178" i="34"/>
  <c r="H178" i="34"/>
  <c r="I178" i="34"/>
  <c r="J178" i="34"/>
  <c r="K178" i="34"/>
  <c r="L178" i="34"/>
  <c r="M178" i="34"/>
  <c r="N178" i="34"/>
  <c r="O178" i="34"/>
  <c r="P178" i="34"/>
  <c r="Q178" i="34"/>
  <c r="R178" i="34"/>
  <c r="S178" i="34"/>
  <c r="T178" i="34"/>
  <c r="U178" i="34"/>
  <c r="V178" i="34"/>
  <c r="W178" i="34"/>
  <c r="X178" i="34"/>
  <c r="Y178" i="34"/>
  <c r="Z178" i="34"/>
  <c r="AA178" i="34"/>
  <c r="AB178" i="34"/>
  <c r="AC178" i="34"/>
  <c r="AD178" i="34"/>
  <c r="AE178" i="34"/>
  <c r="AF178" i="34"/>
  <c r="AG178" i="34"/>
  <c r="AH178" i="34"/>
  <c r="AI178" i="34"/>
  <c r="AJ178" i="34"/>
  <c r="AK178" i="34"/>
  <c r="AL178" i="34"/>
  <c r="AM178" i="34"/>
  <c r="AN178" i="34"/>
  <c r="AO178" i="34"/>
  <c r="AP178" i="34"/>
  <c r="AQ178" i="34"/>
  <c r="AR178" i="34"/>
  <c r="AS178" i="34"/>
  <c r="AT178" i="34"/>
  <c r="AU178" i="34"/>
  <c r="AV178" i="34"/>
  <c r="AW178" i="34"/>
  <c r="AX178" i="34"/>
  <c r="AY178" i="34"/>
  <c r="AZ178" i="34"/>
  <c r="BA178" i="34"/>
  <c r="BB178" i="34"/>
  <c r="BC178" i="34"/>
  <c r="BE178" i="34"/>
  <c r="F169" i="34"/>
  <c r="G169" i="34"/>
  <c r="H169" i="34"/>
  <c r="I169" i="34"/>
  <c r="J169" i="34"/>
  <c r="K169" i="34"/>
  <c r="L169" i="34"/>
  <c r="M169" i="34"/>
  <c r="N169" i="34"/>
  <c r="O169" i="34"/>
  <c r="P169" i="34"/>
  <c r="Q169" i="34"/>
  <c r="R169" i="34"/>
  <c r="S169" i="34"/>
  <c r="T169" i="34"/>
  <c r="U169" i="34"/>
  <c r="V169" i="34"/>
  <c r="W169" i="34"/>
  <c r="X169" i="34"/>
  <c r="Y169" i="34"/>
  <c r="Z169" i="34"/>
  <c r="AA169" i="34"/>
  <c r="AB169" i="34"/>
  <c r="AC169" i="34"/>
  <c r="AD169" i="34"/>
  <c r="AE169" i="34"/>
  <c r="AF169" i="34"/>
  <c r="AH169" i="34"/>
  <c r="AI169" i="34"/>
  <c r="AJ169" i="34"/>
  <c r="AK169" i="34"/>
  <c r="AL169" i="34"/>
  <c r="AM169" i="34"/>
  <c r="AN169" i="34"/>
  <c r="AO169" i="34"/>
  <c r="AP169" i="34"/>
  <c r="AQ169" i="34"/>
  <c r="AR169" i="34"/>
  <c r="AS169" i="34"/>
  <c r="AT169" i="34"/>
  <c r="AU169" i="34"/>
  <c r="AV169" i="34"/>
  <c r="AW169" i="34"/>
  <c r="AX169" i="34"/>
  <c r="AY169" i="34"/>
  <c r="AZ169" i="34"/>
  <c r="BA169" i="34"/>
  <c r="BB169" i="34"/>
  <c r="BC169" i="34"/>
  <c r="BD169" i="34"/>
  <c r="BE169" i="34"/>
  <c r="F158" i="34"/>
  <c r="G158" i="34"/>
  <c r="H158" i="34"/>
  <c r="I158" i="34"/>
  <c r="J158" i="34"/>
  <c r="K158" i="34"/>
  <c r="L158" i="34"/>
  <c r="M158" i="34"/>
  <c r="N158" i="34"/>
  <c r="O158" i="34"/>
  <c r="P158" i="34"/>
  <c r="Q158" i="34"/>
  <c r="R158" i="34"/>
  <c r="S158" i="34"/>
  <c r="T158" i="34"/>
  <c r="U158" i="34"/>
  <c r="V158" i="34"/>
  <c r="W158" i="34"/>
  <c r="X158" i="34"/>
  <c r="Y158" i="34"/>
  <c r="Z158" i="34"/>
  <c r="AA158" i="34"/>
  <c r="AB158" i="34"/>
  <c r="AC158" i="34"/>
  <c r="AD158" i="34"/>
  <c r="AE158" i="34"/>
  <c r="AF158" i="34"/>
  <c r="AG158" i="34"/>
  <c r="AH158" i="34"/>
  <c r="AI158" i="34"/>
  <c r="AJ158" i="34"/>
  <c r="AK158" i="34"/>
  <c r="AL158" i="34"/>
  <c r="AM158" i="34"/>
  <c r="AN158" i="34"/>
  <c r="AO158" i="34"/>
  <c r="AP158" i="34"/>
  <c r="AQ158" i="34"/>
  <c r="AR158" i="34"/>
  <c r="AS158" i="34"/>
  <c r="AT158" i="34"/>
  <c r="AU158" i="34"/>
  <c r="AV158" i="34"/>
  <c r="AW158" i="34"/>
  <c r="AX158" i="34"/>
  <c r="AY158" i="34"/>
  <c r="AZ158" i="34"/>
  <c r="BA158" i="34"/>
  <c r="BB158" i="34"/>
  <c r="BC158" i="34"/>
  <c r="BD158" i="34"/>
  <c r="BE158" i="34"/>
  <c r="F147" i="34"/>
  <c r="G147" i="34"/>
  <c r="H147" i="34"/>
  <c r="I147" i="34"/>
  <c r="J147" i="34"/>
  <c r="K147" i="34"/>
  <c r="L147" i="34"/>
  <c r="M147" i="34"/>
  <c r="N147" i="34"/>
  <c r="O147" i="34"/>
  <c r="P147" i="34"/>
  <c r="Q147" i="34"/>
  <c r="R147" i="34"/>
  <c r="S147" i="34"/>
  <c r="T147" i="34"/>
  <c r="U147" i="34"/>
  <c r="V147" i="34"/>
  <c r="W147" i="34"/>
  <c r="X147" i="34"/>
  <c r="Y147" i="34"/>
  <c r="Z147" i="34"/>
  <c r="AA147" i="34"/>
  <c r="AB147" i="34"/>
  <c r="AC147" i="34"/>
  <c r="AD147" i="34"/>
  <c r="AE147" i="34"/>
  <c r="AF147" i="34"/>
  <c r="AG147" i="34"/>
  <c r="AH147" i="34"/>
  <c r="AI147" i="34"/>
  <c r="AJ147" i="34"/>
  <c r="AK147" i="34"/>
  <c r="AL147" i="34"/>
  <c r="AM147" i="34"/>
  <c r="AN147" i="34"/>
  <c r="AO147" i="34"/>
  <c r="AP147" i="34"/>
  <c r="AQ147" i="34"/>
  <c r="AR147" i="34"/>
  <c r="AS147" i="34"/>
  <c r="AT147" i="34"/>
  <c r="AU147" i="34"/>
  <c r="AV147" i="34"/>
  <c r="AW147" i="34"/>
  <c r="AX147" i="34"/>
  <c r="AY147" i="34"/>
  <c r="AZ147" i="34"/>
  <c r="BA147" i="34"/>
  <c r="BB147" i="34"/>
  <c r="BC147" i="34"/>
  <c r="BD147" i="34"/>
  <c r="BE147" i="34"/>
  <c r="F136" i="34"/>
  <c r="G136" i="34"/>
  <c r="H136" i="34"/>
  <c r="I136" i="34"/>
  <c r="J136" i="34"/>
  <c r="K136" i="34"/>
  <c r="L136" i="34"/>
  <c r="M136" i="34"/>
  <c r="N136" i="34"/>
  <c r="O136" i="34"/>
  <c r="P136" i="34"/>
  <c r="Q136" i="34"/>
  <c r="R136" i="34"/>
  <c r="S136" i="34"/>
  <c r="T136" i="34"/>
  <c r="U136" i="34"/>
  <c r="V136" i="34"/>
  <c r="W136" i="34"/>
  <c r="X136" i="34"/>
  <c r="Y136" i="34"/>
  <c r="Z136" i="34"/>
  <c r="AA136" i="34"/>
  <c r="AB136" i="34"/>
  <c r="AC136" i="34"/>
  <c r="AD136" i="34"/>
  <c r="AE136" i="34"/>
  <c r="AF136" i="34"/>
  <c r="AG136" i="34"/>
  <c r="AH136" i="34"/>
  <c r="AI136" i="34"/>
  <c r="AJ136" i="34"/>
  <c r="AK136" i="34"/>
  <c r="AL136" i="34"/>
  <c r="AM136" i="34"/>
  <c r="AN136" i="34"/>
  <c r="AO136" i="34"/>
  <c r="AP136" i="34"/>
  <c r="AQ136" i="34"/>
  <c r="AR136" i="34"/>
  <c r="AS136" i="34"/>
  <c r="AT136" i="34"/>
  <c r="AU136" i="34"/>
  <c r="AV136" i="34"/>
  <c r="AW136" i="34"/>
  <c r="AX136" i="34"/>
  <c r="AY136" i="34"/>
  <c r="AZ136" i="34"/>
  <c r="BA136" i="34"/>
  <c r="BB136" i="34"/>
  <c r="BC136" i="34"/>
  <c r="BD136" i="34"/>
  <c r="BE136" i="34"/>
  <c r="F125" i="34"/>
  <c r="G125" i="34"/>
  <c r="H125" i="34"/>
  <c r="I125" i="34"/>
  <c r="J125" i="34"/>
  <c r="K125" i="34"/>
  <c r="L125" i="34"/>
  <c r="M125" i="34"/>
  <c r="N125" i="34"/>
  <c r="O125" i="34"/>
  <c r="P125" i="34"/>
  <c r="Q125" i="34"/>
  <c r="R125" i="34"/>
  <c r="S125" i="34"/>
  <c r="T125" i="34"/>
  <c r="U125" i="34"/>
  <c r="V125" i="34"/>
  <c r="W125" i="34"/>
  <c r="X125" i="34"/>
  <c r="Y125" i="34"/>
  <c r="Z125" i="34"/>
  <c r="AA125" i="34"/>
  <c r="AB125" i="34"/>
  <c r="AC125" i="34"/>
  <c r="AD125" i="34"/>
  <c r="AE125" i="34"/>
  <c r="AF125" i="34"/>
  <c r="AG125" i="34"/>
  <c r="AH125" i="34"/>
  <c r="AI125" i="34"/>
  <c r="AJ125" i="34"/>
  <c r="AK125" i="34"/>
  <c r="AL125" i="34"/>
  <c r="AM125" i="34"/>
  <c r="AN125" i="34"/>
  <c r="AO125" i="34"/>
  <c r="AP125" i="34"/>
  <c r="AQ125" i="34"/>
  <c r="AR125" i="34"/>
  <c r="AS125" i="34"/>
  <c r="AT125" i="34"/>
  <c r="AU125" i="34"/>
  <c r="AV125" i="34"/>
  <c r="AW125" i="34"/>
  <c r="AX125" i="34"/>
  <c r="AY125" i="34"/>
  <c r="AZ125" i="34"/>
  <c r="BA125" i="34"/>
  <c r="BB125" i="34"/>
  <c r="BC125" i="34"/>
  <c r="BD125" i="34"/>
  <c r="BE125" i="34"/>
  <c r="F114" i="34"/>
  <c r="G114" i="34"/>
  <c r="H114" i="34"/>
  <c r="I114" i="34"/>
  <c r="J114" i="34"/>
  <c r="K114" i="34"/>
  <c r="L114" i="34"/>
  <c r="N114" i="34"/>
  <c r="O114" i="34"/>
  <c r="P114" i="34"/>
  <c r="Q114" i="34"/>
  <c r="R114" i="34"/>
  <c r="S114" i="34"/>
  <c r="T114" i="34"/>
  <c r="U114" i="34"/>
  <c r="V114" i="34"/>
  <c r="W114" i="34"/>
  <c r="X114" i="34"/>
  <c r="Y114" i="34"/>
  <c r="Z114" i="34"/>
  <c r="AA114" i="34"/>
  <c r="AB114" i="34"/>
  <c r="AC114" i="34"/>
  <c r="AE114" i="34"/>
  <c r="AF114" i="34"/>
  <c r="AG114" i="34"/>
  <c r="AH114" i="34"/>
  <c r="AI114" i="34"/>
  <c r="AJ114" i="34"/>
  <c r="AK114" i="34"/>
  <c r="AL114" i="34"/>
  <c r="AM114" i="34"/>
  <c r="AN114" i="34"/>
  <c r="AO114" i="34"/>
  <c r="AP114" i="34"/>
  <c r="AQ114" i="34"/>
  <c r="AR114" i="34"/>
  <c r="AS114" i="34"/>
  <c r="AT114" i="34"/>
  <c r="AU114" i="34"/>
  <c r="AV114" i="34"/>
  <c r="AX114" i="34"/>
  <c r="AY114" i="34"/>
  <c r="AZ114" i="34"/>
  <c r="BA114" i="34"/>
  <c r="BB114" i="34"/>
  <c r="BC114" i="34"/>
  <c r="BD114" i="34"/>
  <c r="BE114" i="34"/>
  <c r="F109" i="34"/>
  <c r="G109" i="34"/>
  <c r="H109" i="34"/>
  <c r="I109" i="34"/>
  <c r="J109" i="34"/>
  <c r="K109" i="34"/>
  <c r="L109" i="34"/>
  <c r="M109" i="34"/>
  <c r="N109" i="34"/>
  <c r="O109" i="34"/>
  <c r="P109" i="34"/>
  <c r="Q109" i="34"/>
  <c r="R109" i="34"/>
  <c r="S109" i="34"/>
  <c r="T109" i="34"/>
  <c r="U109" i="34"/>
  <c r="V109" i="34"/>
  <c r="W109" i="34"/>
  <c r="X109" i="34"/>
  <c r="Y109" i="34"/>
  <c r="Z109" i="34"/>
  <c r="AA109" i="34"/>
  <c r="AB109" i="34"/>
  <c r="AC109" i="34"/>
  <c r="AD109" i="34"/>
  <c r="AE109" i="34"/>
  <c r="AF109" i="34"/>
  <c r="AG109" i="34"/>
  <c r="AH109" i="34"/>
  <c r="AI109" i="34"/>
  <c r="AJ109" i="34"/>
  <c r="AK109" i="34"/>
  <c r="AL109" i="34"/>
  <c r="AM109" i="34"/>
  <c r="AN109" i="34"/>
  <c r="AO109" i="34"/>
  <c r="AP109" i="34"/>
  <c r="AQ109" i="34"/>
  <c r="AR109" i="34"/>
  <c r="AS109" i="34"/>
  <c r="AT109" i="34"/>
  <c r="AU109" i="34"/>
  <c r="AV109" i="34"/>
  <c r="AW109" i="34"/>
  <c r="AX109" i="34"/>
  <c r="AY109" i="34"/>
  <c r="AZ109" i="34"/>
  <c r="BA109" i="34"/>
  <c r="BB109" i="34"/>
  <c r="BC109" i="34"/>
  <c r="BD109" i="34"/>
  <c r="BE109" i="34"/>
  <c r="F99" i="34"/>
  <c r="G99" i="34"/>
  <c r="H99" i="34"/>
  <c r="I99" i="34"/>
  <c r="J99" i="34"/>
  <c r="K99" i="34"/>
  <c r="L99" i="34"/>
  <c r="M99" i="34"/>
  <c r="N99" i="34"/>
  <c r="O99" i="34"/>
  <c r="P99" i="34"/>
  <c r="Q99" i="34"/>
  <c r="R99" i="34"/>
  <c r="S99" i="34"/>
  <c r="T99" i="34"/>
  <c r="U99" i="34"/>
  <c r="V99" i="34"/>
  <c r="W99" i="34"/>
  <c r="X99" i="34"/>
  <c r="Y99" i="34"/>
  <c r="Z99" i="34"/>
  <c r="AA99" i="34"/>
  <c r="AB99" i="34"/>
  <c r="AC99" i="34"/>
  <c r="AD99" i="34"/>
  <c r="AE99" i="34"/>
  <c r="AF99" i="34"/>
  <c r="AG99" i="34"/>
  <c r="AH99" i="34"/>
  <c r="AI99" i="34"/>
  <c r="AJ99" i="34"/>
  <c r="AK99" i="34"/>
  <c r="AL99" i="34"/>
  <c r="AM99" i="34"/>
  <c r="AO99" i="34"/>
  <c r="AP99" i="34"/>
  <c r="AQ99" i="34"/>
  <c r="AR99" i="34"/>
  <c r="AS99" i="34"/>
  <c r="AT99" i="34"/>
  <c r="AU99" i="34"/>
  <c r="AV99" i="34"/>
  <c r="AW99" i="34"/>
  <c r="AX99" i="34"/>
  <c r="AY99" i="34"/>
  <c r="AZ99" i="34"/>
  <c r="BA99" i="34"/>
  <c r="BB99" i="34"/>
  <c r="BC99" i="34"/>
  <c r="BD99" i="34"/>
  <c r="BE99" i="34"/>
  <c r="F89" i="34"/>
  <c r="G89" i="34"/>
  <c r="H89" i="34"/>
  <c r="I89" i="34"/>
  <c r="J89" i="34"/>
  <c r="K89" i="34"/>
  <c r="L89" i="34"/>
  <c r="M89" i="34"/>
  <c r="N89" i="34"/>
  <c r="O89" i="34"/>
  <c r="P89" i="34"/>
  <c r="Q89" i="34"/>
  <c r="R89" i="34"/>
  <c r="S89" i="34"/>
  <c r="T89" i="34"/>
  <c r="U89" i="34"/>
  <c r="V89" i="34"/>
  <c r="W89" i="34"/>
  <c r="X89" i="34"/>
  <c r="Y89" i="34"/>
  <c r="Z89" i="34"/>
  <c r="AA89" i="34"/>
  <c r="AB89" i="34"/>
  <c r="AC89" i="34"/>
  <c r="AD89" i="34"/>
  <c r="AE89" i="34"/>
  <c r="AF89" i="34"/>
  <c r="AG89" i="34"/>
  <c r="AH89" i="34"/>
  <c r="AI89" i="34"/>
  <c r="AJ89" i="34"/>
  <c r="AK89" i="34"/>
  <c r="AL89" i="34"/>
  <c r="AL88" i="34" s="1"/>
  <c r="AM89" i="34"/>
  <c r="AN89" i="34"/>
  <c r="AO89" i="34"/>
  <c r="AP89" i="34"/>
  <c r="AQ89" i="34"/>
  <c r="AR89" i="34"/>
  <c r="AS89" i="34"/>
  <c r="AT89" i="34"/>
  <c r="AU89" i="34"/>
  <c r="AV89" i="34"/>
  <c r="AW89" i="34"/>
  <c r="AX89" i="34"/>
  <c r="AZ89" i="34"/>
  <c r="BA89" i="34"/>
  <c r="BB89" i="34"/>
  <c r="BD89" i="34"/>
  <c r="BE89" i="34"/>
  <c r="BI66" i="34"/>
  <c r="BI67" i="34"/>
  <c r="BI68" i="34"/>
  <c r="BI69" i="34"/>
  <c r="BI70" i="34"/>
  <c r="BI71" i="34"/>
  <c r="BI72" i="34"/>
  <c r="BI73" i="34"/>
  <c r="BH66" i="34"/>
  <c r="BH67" i="34"/>
  <c r="BH68" i="34"/>
  <c r="BH69" i="34"/>
  <c r="BH70" i="34"/>
  <c r="BH71" i="34"/>
  <c r="BH72" i="34"/>
  <c r="BH73" i="34"/>
  <c r="BG66" i="34"/>
  <c r="BG67" i="34"/>
  <c r="BG68" i="34"/>
  <c r="BG69" i="34"/>
  <c r="BG70" i="34"/>
  <c r="BG71" i="34"/>
  <c r="BG72" i="34"/>
  <c r="BG73" i="34"/>
  <c r="BF66" i="34"/>
  <c r="BF67" i="34"/>
  <c r="BF68" i="34"/>
  <c r="BF69" i="34"/>
  <c r="BF70" i="34"/>
  <c r="BF71" i="34"/>
  <c r="BF72" i="34"/>
  <c r="BF73" i="34"/>
  <c r="BI55" i="34"/>
  <c r="BI56" i="34"/>
  <c r="BI57" i="34"/>
  <c r="BI58" i="34"/>
  <c r="BI59" i="34"/>
  <c r="BI60" i="34"/>
  <c r="BI61" i="34"/>
  <c r="BI62" i="34"/>
  <c r="BH55" i="34"/>
  <c r="BH56" i="34"/>
  <c r="BH57" i="34"/>
  <c r="BH58" i="34"/>
  <c r="BH59" i="34"/>
  <c r="BH60" i="34"/>
  <c r="BH61" i="34"/>
  <c r="BH62" i="34"/>
  <c r="BG55" i="34"/>
  <c r="BG56" i="34"/>
  <c r="BG57" i="34"/>
  <c r="BG58" i="34"/>
  <c r="BG59" i="34"/>
  <c r="BG60" i="34"/>
  <c r="BG61" i="34"/>
  <c r="BG62" i="34"/>
  <c r="BF55" i="34"/>
  <c r="BF56" i="34"/>
  <c r="BF57" i="34"/>
  <c r="BF58" i="34"/>
  <c r="BF59" i="34"/>
  <c r="BF60" i="34"/>
  <c r="BF61" i="34"/>
  <c r="BF62" i="34"/>
  <c r="BI44" i="34"/>
  <c r="BI45" i="34"/>
  <c r="BI46" i="34"/>
  <c r="BI47" i="34"/>
  <c r="BI48" i="34"/>
  <c r="BI49" i="34"/>
  <c r="BI50" i="34"/>
  <c r="BI51" i="34"/>
  <c r="BH44" i="34"/>
  <c r="BH45" i="34"/>
  <c r="BH46" i="34"/>
  <c r="BH47" i="34"/>
  <c r="BH48" i="34"/>
  <c r="BH49" i="34"/>
  <c r="BH50" i="34"/>
  <c r="BH51" i="34"/>
  <c r="BG44" i="34"/>
  <c r="BG45" i="34"/>
  <c r="BG46" i="34"/>
  <c r="BG47" i="34"/>
  <c r="BG48" i="34"/>
  <c r="BG49" i="34"/>
  <c r="BG50" i="34"/>
  <c r="BG51" i="34"/>
  <c r="BF44" i="34"/>
  <c r="BF45" i="34"/>
  <c r="BF46" i="34"/>
  <c r="BF47" i="34"/>
  <c r="BF48" i="34"/>
  <c r="BF49" i="34"/>
  <c r="BF50" i="34"/>
  <c r="BF51" i="34"/>
  <c r="BI33" i="34"/>
  <c r="BI34" i="34"/>
  <c r="BI35" i="34"/>
  <c r="BI36" i="34"/>
  <c r="BI37" i="34"/>
  <c r="BI38" i="34"/>
  <c r="BI39" i="34"/>
  <c r="BI40" i="34"/>
  <c r="BH33" i="34"/>
  <c r="BH34" i="34"/>
  <c r="BH35" i="34"/>
  <c r="BH36" i="34"/>
  <c r="BH37" i="34"/>
  <c r="BH38" i="34"/>
  <c r="BH39" i="34"/>
  <c r="BH40" i="34"/>
  <c r="BG33" i="34"/>
  <c r="BG34" i="34"/>
  <c r="BG35" i="34"/>
  <c r="BG36" i="34"/>
  <c r="BG37" i="34"/>
  <c r="BG38" i="34"/>
  <c r="BG39" i="34"/>
  <c r="BG40" i="34"/>
  <c r="BF33" i="34"/>
  <c r="BF34" i="34"/>
  <c r="BF35" i="34"/>
  <c r="BF36" i="34"/>
  <c r="BF37" i="34"/>
  <c r="BF38" i="34"/>
  <c r="BF39" i="34"/>
  <c r="BF40" i="34"/>
  <c r="BI28" i="34"/>
  <c r="BI29" i="34"/>
  <c r="BH28" i="34"/>
  <c r="BH29" i="34"/>
  <c r="BG28" i="34"/>
  <c r="BG29" i="34"/>
  <c r="BF28" i="34"/>
  <c r="BF29" i="34"/>
  <c r="G83" i="34"/>
  <c r="H83" i="34"/>
  <c r="I83" i="34"/>
  <c r="J83" i="34"/>
  <c r="K83" i="34"/>
  <c r="L83" i="34"/>
  <c r="M83" i="34"/>
  <c r="N83" i="34"/>
  <c r="O83" i="34"/>
  <c r="P83" i="34"/>
  <c r="Q83" i="34"/>
  <c r="R83" i="34"/>
  <c r="S83" i="34"/>
  <c r="T83" i="34"/>
  <c r="U83" i="34"/>
  <c r="V83" i="34"/>
  <c r="W83" i="34"/>
  <c r="X83" i="34"/>
  <c r="Y83" i="34"/>
  <c r="Z83" i="34"/>
  <c r="AA83" i="34"/>
  <c r="AB83" i="34"/>
  <c r="AC83" i="34"/>
  <c r="AD83" i="34"/>
  <c r="AE83" i="34"/>
  <c r="AF83" i="34"/>
  <c r="AG83" i="34"/>
  <c r="AH83" i="34"/>
  <c r="AI83" i="34"/>
  <c r="AJ83" i="34"/>
  <c r="AK83" i="34"/>
  <c r="AL83" i="34"/>
  <c r="AM83" i="34"/>
  <c r="AN83" i="34"/>
  <c r="AO83" i="34"/>
  <c r="AP83" i="34"/>
  <c r="AQ83" i="34"/>
  <c r="AR83" i="34"/>
  <c r="AS83" i="34"/>
  <c r="AT83" i="34"/>
  <c r="AU83" i="34"/>
  <c r="AV83" i="34"/>
  <c r="AW83" i="34"/>
  <c r="AX83" i="34"/>
  <c r="AY83" i="34"/>
  <c r="AZ83" i="34"/>
  <c r="BA83" i="34"/>
  <c r="BB83" i="34"/>
  <c r="BC83" i="34"/>
  <c r="BD83" i="34"/>
  <c r="BE83" i="34"/>
  <c r="F75" i="34"/>
  <c r="G75" i="34"/>
  <c r="H75" i="34"/>
  <c r="I75" i="34"/>
  <c r="J75" i="34"/>
  <c r="K75" i="34"/>
  <c r="L75" i="34"/>
  <c r="M75" i="34"/>
  <c r="N75" i="34"/>
  <c r="O75" i="34"/>
  <c r="P75" i="34"/>
  <c r="Q75" i="34"/>
  <c r="R75" i="34"/>
  <c r="S75" i="34"/>
  <c r="T75" i="34"/>
  <c r="U75" i="34"/>
  <c r="V75" i="34"/>
  <c r="W75" i="34"/>
  <c r="X75" i="34"/>
  <c r="Y75" i="34"/>
  <c r="Z75" i="34"/>
  <c r="AA75" i="34"/>
  <c r="AB75" i="34"/>
  <c r="AC75" i="34"/>
  <c r="AD75" i="34"/>
  <c r="AE75" i="34"/>
  <c r="AF75" i="34"/>
  <c r="AG75" i="34"/>
  <c r="AH75" i="34"/>
  <c r="AI75" i="34"/>
  <c r="AJ75" i="34"/>
  <c r="AK75" i="34"/>
  <c r="AL75" i="34"/>
  <c r="AM75" i="34"/>
  <c r="AN75" i="34"/>
  <c r="AO75" i="34"/>
  <c r="AP75" i="34"/>
  <c r="AQ75" i="34"/>
  <c r="AR75" i="34"/>
  <c r="AS75" i="34"/>
  <c r="AT75" i="34"/>
  <c r="AU75" i="34"/>
  <c r="AV75" i="34"/>
  <c r="AW75" i="34"/>
  <c r="AX75" i="34"/>
  <c r="AY75" i="34"/>
  <c r="AZ75" i="34"/>
  <c r="BA75" i="34"/>
  <c r="BB75" i="34"/>
  <c r="BC75" i="34"/>
  <c r="BD75" i="34"/>
  <c r="BE75" i="34"/>
  <c r="F64" i="34"/>
  <c r="G64" i="34"/>
  <c r="H64" i="34"/>
  <c r="I64" i="34"/>
  <c r="J64" i="34"/>
  <c r="K64" i="34"/>
  <c r="L64" i="34"/>
  <c r="M64" i="34"/>
  <c r="N64" i="34"/>
  <c r="O64" i="34"/>
  <c r="P64" i="34"/>
  <c r="Q64" i="34"/>
  <c r="R64" i="34"/>
  <c r="S64" i="34"/>
  <c r="T64" i="34"/>
  <c r="U64" i="34"/>
  <c r="V64" i="34"/>
  <c r="W64" i="34"/>
  <c r="X64" i="34"/>
  <c r="Y64" i="34"/>
  <c r="Z64" i="34"/>
  <c r="AA64" i="34"/>
  <c r="AB64" i="34"/>
  <c r="AC64" i="34"/>
  <c r="AD64" i="34"/>
  <c r="AE64" i="34"/>
  <c r="AF64" i="34"/>
  <c r="AG64" i="34"/>
  <c r="AH64" i="34"/>
  <c r="AI64" i="34"/>
  <c r="AJ64" i="34"/>
  <c r="AK64" i="34"/>
  <c r="AL64" i="34"/>
  <c r="AM64" i="34"/>
  <c r="AN64" i="34"/>
  <c r="AO64" i="34"/>
  <c r="AP64" i="34"/>
  <c r="AQ64" i="34"/>
  <c r="AR64" i="34"/>
  <c r="AS64" i="34"/>
  <c r="AT64" i="34"/>
  <c r="AU64" i="34"/>
  <c r="AV64" i="34"/>
  <c r="AW64" i="34"/>
  <c r="AX64" i="34"/>
  <c r="AY64" i="34"/>
  <c r="AZ64" i="34"/>
  <c r="BA64" i="34"/>
  <c r="BB64" i="34"/>
  <c r="BC64" i="34"/>
  <c r="BD64" i="34"/>
  <c r="BE64" i="34"/>
  <c r="F53" i="34"/>
  <c r="G53" i="34"/>
  <c r="H53" i="34"/>
  <c r="I53" i="34"/>
  <c r="J53" i="34"/>
  <c r="K53" i="34"/>
  <c r="L53" i="34"/>
  <c r="M53" i="34"/>
  <c r="N53" i="34"/>
  <c r="O53" i="34"/>
  <c r="P53" i="34"/>
  <c r="Q53" i="34"/>
  <c r="R53" i="34"/>
  <c r="S53" i="34"/>
  <c r="T53" i="34"/>
  <c r="U53" i="34"/>
  <c r="V53" i="34"/>
  <c r="W53" i="34"/>
  <c r="X53" i="34"/>
  <c r="Y53" i="34"/>
  <c r="Z53" i="34"/>
  <c r="AA53" i="34"/>
  <c r="AB53" i="34"/>
  <c r="AC53" i="34"/>
  <c r="AD53" i="34"/>
  <c r="AE53" i="34"/>
  <c r="AF53" i="34"/>
  <c r="AG53" i="34"/>
  <c r="AH53" i="34"/>
  <c r="AI53" i="34"/>
  <c r="AJ53" i="34"/>
  <c r="AK53" i="34"/>
  <c r="AL53" i="34"/>
  <c r="AM53" i="34"/>
  <c r="AN53" i="34"/>
  <c r="AO53" i="34"/>
  <c r="AP53" i="34"/>
  <c r="AQ53" i="34"/>
  <c r="AR53" i="34"/>
  <c r="AS53" i="34"/>
  <c r="AT53" i="34"/>
  <c r="AU53" i="34"/>
  <c r="AV53" i="34"/>
  <c r="AW53" i="34"/>
  <c r="AX53" i="34"/>
  <c r="AY53" i="34"/>
  <c r="AZ53" i="34"/>
  <c r="BA53" i="34"/>
  <c r="BB53" i="34"/>
  <c r="BC53" i="34"/>
  <c r="BD53" i="34"/>
  <c r="BE53" i="34"/>
  <c r="F42" i="34"/>
  <c r="G42" i="34"/>
  <c r="H42" i="34"/>
  <c r="I42" i="34"/>
  <c r="J42" i="34"/>
  <c r="K42" i="34"/>
  <c r="L42" i="34"/>
  <c r="M42" i="34"/>
  <c r="N42" i="34"/>
  <c r="O42" i="34"/>
  <c r="P42" i="34"/>
  <c r="Q42" i="34"/>
  <c r="R42" i="34"/>
  <c r="S42" i="34"/>
  <c r="T42" i="34"/>
  <c r="U42" i="34"/>
  <c r="V42" i="34"/>
  <c r="W42" i="34"/>
  <c r="X42" i="34"/>
  <c r="Y42" i="34"/>
  <c r="Z42" i="34"/>
  <c r="AA42" i="34"/>
  <c r="AB42" i="34"/>
  <c r="AC42" i="34"/>
  <c r="AD42" i="34"/>
  <c r="AE42" i="34"/>
  <c r="AF42" i="34"/>
  <c r="AG42" i="34"/>
  <c r="AH42" i="34"/>
  <c r="AI42" i="34"/>
  <c r="AJ42" i="34"/>
  <c r="AK42" i="34"/>
  <c r="AL42" i="34"/>
  <c r="AM42" i="34"/>
  <c r="AN42" i="34"/>
  <c r="AO42" i="34"/>
  <c r="AP42" i="34"/>
  <c r="AQ42" i="34"/>
  <c r="AR42" i="34"/>
  <c r="AS42" i="34"/>
  <c r="AT42" i="34"/>
  <c r="AU42" i="34"/>
  <c r="AV42" i="34"/>
  <c r="AW42" i="34"/>
  <c r="AX42" i="34"/>
  <c r="AY42" i="34"/>
  <c r="AZ42" i="34"/>
  <c r="BA42" i="34"/>
  <c r="BB42" i="34"/>
  <c r="BC42" i="34"/>
  <c r="BD42" i="34"/>
  <c r="BE42" i="34"/>
  <c r="F31" i="34"/>
  <c r="G31" i="34"/>
  <c r="H31" i="34"/>
  <c r="I31" i="34"/>
  <c r="J31" i="34"/>
  <c r="K31" i="34"/>
  <c r="L31" i="34"/>
  <c r="M31" i="34"/>
  <c r="N31" i="34"/>
  <c r="O31" i="34"/>
  <c r="P31" i="34"/>
  <c r="Q31" i="34"/>
  <c r="R31" i="34"/>
  <c r="S31" i="34"/>
  <c r="T31" i="34"/>
  <c r="U31" i="34"/>
  <c r="V31" i="34"/>
  <c r="W31" i="34"/>
  <c r="X31" i="34"/>
  <c r="Y31" i="34"/>
  <c r="Z31" i="34"/>
  <c r="AA31" i="34"/>
  <c r="AB31" i="34"/>
  <c r="AC31" i="34"/>
  <c r="AD31" i="34"/>
  <c r="AE31" i="34"/>
  <c r="AF31" i="34"/>
  <c r="AG31" i="34"/>
  <c r="AH31" i="34"/>
  <c r="AI31" i="34"/>
  <c r="AJ31" i="34"/>
  <c r="AK31" i="34"/>
  <c r="AL31" i="34"/>
  <c r="AM31" i="34"/>
  <c r="AN31" i="34"/>
  <c r="AO31" i="34"/>
  <c r="AP31" i="34"/>
  <c r="AQ31" i="34"/>
  <c r="AR31" i="34"/>
  <c r="AS31" i="34"/>
  <c r="AT31" i="34"/>
  <c r="AU31" i="34"/>
  <c r="AV31" i="34"/>
  <c r="AW31" i="34"/>
  <c r="AX31" i="34"/>
  <c r="AY31" i="34"/>
  <c r="AZ31" i="34"/>
  <c r="BA31" i="34"/>
  <c r="BB31" i="34"/>
  <c r="BC31" i="34"/>
  <c r="BD31" i="34"/>
  <c r="BE31" i="34"/>
  <c r="F26" i="34"/>
  <c r="G26" i="34"/>
  <c r="H26" i="34"/>
  <c r="I26" i="34"/>
  <c r="J26" i="34"/>
  <c r="K26" i="34"/>
  <c r="L26" i="34"/>
  <c r="M26" i="34"/>
  <c r="N26" i="34"/>
  <c r="O26" i="34"/>
  <c r="P26" i="34"/>
  <c r="Q26" i="34"/>
  <c r="R26" i="34"/>
  <c r="S26" i="34"/>
  <c r="T26" i="34"/>
  <c r="U26" i="34"/>
  <c r="V26" i="34"/>
  <c r="W26" i="34"/>
  <c r="X26" i="34"/>
  <c r="Y26" i="34"/>
  <c r="Z26" i="34"/>
  <c r="AA26" i="34"/>
  <c r="AB26" i="34"/>
  <c r="AC26" i="34"/>
  <c r="AD26" i="34"/>
  <c r="AE26" i="34"/>
  <c r="AF26" i="34"/>
  <c r="AG26" i="34"/>
  <c r="AH26" i="34"/>
  <c r="AI26" i="34"/>
  <c r="AJ26" i="34"/>
  <c r="AK26" i="34"/>
  <c r="AL26" i="34"/>
  <c r="AM26" i="34"/>
  <c r="AN26" i="34"/>
  <c r="AO26" i="34"/>
  <c r="AP26" i="34"/>
  <c r="AQ26" i="34"/>
  <c r="AR26" i="34"/>
  <c r="AS26" i="34"/>
  <c r="AT26" i="34"/>
  <c r="AU26" i="34"/>
  <c r="AV26" i="34"/>
  <c r="AW26" i="34"/>
  <c r="AX26" i="34"/>
  <c r="AY26" i="34"/>
  <c r="AZ26" i="34"/>
  <c r="BA26" i="34"/>
  <c r="BB26" i="34"/>
  <c r="BC26" i="34"/>
  <c r="BD26" i="34"/>
  <c r="BE26" i="34"/>
  <c r="F16" i="34"/>
  <c r="G16" i="34"/>
  <c r="H16" i="34"/>
  <c r="I16" i="34"/>
  <c r="J16" i="34"/>
  <c r="K16" i="34"/>
  <c r="L16" i="34"/>
  <c r="M16" i="34"/>
  <c r="N16" i="34"/>
  <c r="O16" i="34"/>
  <c r="P16" i="34"/>
  <c r="Q16" i="34"/>
  <c r="R16" i="34"/>
  <c r="S16" i="34"/>
  <c r="T16" i="34"/>
  <c r="U16" i="34"/>
  <c r="V16" i="34"/>
  <c r="W16" i="34"/>
  <c r="X16" i="34"/>
  <c r="Y16" i="34"/>
  <c r="Z16" i="34"/>
  <c r="AA16" i="34"/>
  <c r="AB16" i="34"/>
  <c r="AC16" i="34"/>
  <c r="AD16" i="34"/>
  <c r="AE16" i="34"/>
  <c r="AF16" i="34"/>
  <c r="AG16" i="34"/>
  <c r="AH16" i="34"/>
  <c r="AI16" i="34"/>
  <c r="AJ16" i="34"/>
  <c r="AK16" i="34"/>
  <c r="AL16" i="34"/>
  <c r="AM16" i="34"/>
  <c r="AN16" i="34"/>
  <c r="AO16" i="34"/>
  <c r="AP16" i="34"/>
  <c r="AQ16" i="34"/>
  <c r="AR16" i="34"/>
  <c r="AS16" i="34"/>
  <c r="AT16" i="34"/>
  <c r="AU16" i="34"/>
  <c r="AV16" i="34"/>
  <c r="AW16" i="34"/>
  <c r="AX16" i="34"/>
  <c r="AY16" i="34"/>
  <c r="AZ16" i="34"/>
  <c r="BA16" i="34"/>
  <c r="BB16" i="34"/>
  <c r="BC16" i="34"/>
  <c r="BD16" i="34"/>
  <c r="BE16" i="34"/>
  <c r="F6" i="34"/>
  <c r="F5" i="34" s="1"/>
  <c r="G6" i="34"/>
  <c r="G5" i="34" s="1"/>
  <c r="H6" i="34"/>
  <c r="I6" i="34"/>
  <c r="J6" i="34"/>
  <c r="K6" i="34"/>
  <c r="L6" i="34"/>
  <c r="L5" i="34" s="1"/>
  <c r="M6" i="34"/>
  <c r="M5" i="34" s="1"/>
  <c r="N6" i="34"/>
  <c r="O6" i="34"/>
  <c r="P6" i="34"/>
  <c r="Q6" i="34"/>
  <c r="R6" i="34"/>
  <c r="S6" i="34"/>
  <c r="T6" i="34"/>
  <c r="U6" i="34"/>
  <c r="V6" i="34"/>
  <c r="V5" i="34" s="1"/>
  <c r="W6" i="34"/>
  <c r="W5" i="34" s="1"/>
  <c r="X6" i="34"/>
  <c r="Y6" i="34"/>
  <c r="Z6" i="34"/>
  <c r="AA6" i="34"/>
  <c r="AB6" i="34"/>
  <c r="AB5" i="34" s="1"/>
  <c r="AC6" i="34"/>
  <c r="AC5" i="34" s="1"/>
  <c r="AD6" i="34"/>
  <c r="AE6" i="34"/>
  <c r="AF6" i="34"/>
  <c r="AG6" i="34"/>
  <c r="AH6" i="34"/>
  <c r="AI6" i="34"/>
  <c r="AJ6" i="34"/>
  <c r="AK6" i="34"/>
  <c r="AL6" i="34"/>
  <c r="AL5" i="34" s="1"/>
  <c r="AM6" i="34"/>
  <c r="AM5" i="34" s="1"/>
  <c r="AN6" i="34"/>
  <c r="AO6" i="34"/>
  <c r="AP6" i="34"/>
  <c r="AQ6" i="34"/>
  <c r="AR6" i="34"/>
  <c r="AR5" i="34" s="1"/>
  <c r="AS6" i="34"/>
  <c r="AS5" i="34" s="1"/>
  <c r="AT6" i="34"/>
  <c r="AU6" i="34"/>
  <c r="AV6" i="34"/>
  <c r="AW6" i="34"/>
  <c r="AX6" i="34"/>
  <c r="AY6" i="34"/>
  <c r="AZ6" i="34"/>
  <c r="BA6" i="34"/>
  <c r="BB6" i="34"/>
  <c r="BB5" i="34" s="1"/>
  <c r="BC6" i="34"/>
  <c r="BC5" i="34" s="1"/>
  <c r="BD6" i="34"/>
  <c r="BE6" i="34"/>
  <c r="E109" i="34"/>
  <c r="E178" i="34"/>
  <c r="E169" i="34"/>
  <c r="E158" i="34"/>
  <c r="E147" i="34"/>
  <c r="E136" i="34"/>
  <c r="E125" i="34"/>
  <c r="E114" i="34"/>
  <c r="E99" i="34"/>
  <c r="E89" i="34"/>
  <c r="E83" i="34"/>
  <c r="E75" i="34"/>
  <c r="E64" i="34"/>
  <c r="E53" i="34"/>
  <c r="E42" i="34"/>
  <c r="E31" i="34"/>
  <c r="E26" i="34"/>
  <c r="E16" i="34"/>
  <c r="E6" i="34"/>
  <c r="BF65" i="34"/>
  <c r="BG65" i="34"/>
  <c r="BH65" i="34"/>
  <c r="BI65" i="34"/>
  <c r="BI179" i="34"/>
  <c r="BI178" i="34" s="1"/>
  <c r="BH179" i="34"/>
  <c r="BH178" i="34" s="1"/>
  <c r="BG179" i="34"/>
  <c r="BG178" i="34" s="1"/>
  <c r="BF179" i="34"/>
  <c r="BF178" i="34" s="1"/>
  <c r="BI170" i="34"/>
  <c r="BH170" i="34"/>
  <c r="BG170" i="34"/>
  <c r="BF170" i="34"/>
  <c r="BI159" i="34"/>
  <c r="BH159" i="34"/>
  <c r="BG159" i="34"/>
  <c r="BF159" i="34"/>
  <c r="BI148" i="34"/>
  <c r="BH148" i="34"/>
  <c r="BG148" i="34"/>
  <c r="BF148" i="34"/>
  <c r="BI137" i="34"/>
  <c r="BH137" i="34"/>
  <c r="BG137" i="34"/>
  <c r="BF137" i="34"/>
  <c r="BI134" i="34"/>
  <c r="BH134" i="34"/>
  <c r="BG134" i="34"/>
  <c r="BF134" i="34"/>
  <c r="BI133" i="34"/>
  <c r="BH133" i="34"/>
  <c r="BG133" i="34"/>
  <c r="BF133" i="34"/>
  <c r="BI132" i="34"/>
  <c r="BH132" i="34"/>
  <c r="BG132" i="34"/>
  <c r="BF132" i="34"/>
  <c r="BI131" i="34"/>
  <c r="BH131" i="34"/>
  <c r="BG131" i="34"/>
  <c r="BF131" i="34"/>
  <c r="BI130" i="34"/>
  <c r="BH130" i="34"/>
  <c r="BG130" i="34"/>
  <c r="BF130" i="34"/>
  <c r="BI129" i="34"/>
  <c r="BH129" i="34"/>
  <c r="BG129" i="34"/>
  <c r="BF129" i="34"/>
  <c r="BI128" i="34"/>
  <c r="BH128" i="34"/>
  <c r="BG128" i="34"/>
  <c r="BF128" i="34"/>
  <c r="BI127" i="34"/>
  <c r="BH127" i="34"/>
  <c r="BG127" i="34"/>
  <c r="BF127" i="34"/>
  <c r="BI126" i="34"/>
  <c r="BH126" i="34"/>
  <c r="BH125" i="34" s="1"/>
  <c r="BG126" i="34"/>
  <c r="BG125" i="34" s="1"/>
  <c r="BF126" i="34"/>
  <c r="BI115" i="34"/>
  <c r="BH115" i="34"/>
  <c r="BG115" i="34"/>
  <c r="BF115" i="34"/>
  <c r="BI112" i="34"/>
  <c r="BH112" i="34"/>
  <c r="BG112" i="34"/>
  <c r="BF112" i="34"/>
  <c r="BI111" i="34"/>
  <c r="BH111" i="34"/>
  <c r="BG111" i="34"/>
  <c r="BF111" i="34"/>
  <c r="BI110" i="34"/>
  <c r="BH110" i="34"/>
  <c r="BH109" i="34" s="1"/>
  <c r="BG110" i="34"/>
  <c r="BF110" i="34"/>
  <c r="BI100" i="34"/>
  <c r="BH100" i="34"/>
  <c r="BG100" i="34"/>
  <c r="BF100" i="34"/>
  <c r="BI90" i="34"/>
  <c r="BH90" i="34"/>
  <c r="BG90" i="34"/>
  <c r="BF90" i="34"/>
  <c r="BI84" i="34"/>
  <c r="BI83" i="34" s="1"/>
  <c r="BH84" i="34"/>
  <c r="BH83" i="34" s="1"/>
  <c r="BG84" i="34"/>
  <c r="BG83" i="34" s="1"/>
  <c r="BF84" i="34"/>
  <c r="BF83" i="34" s="1"/>
  <c r="BI81" i="34"/>
  <c r="BH81" i="34"/>
  <c r="BG81" i="34"/>
  <c r="BF81" i="34"/>
  <c r="BI80" i="34"/>
  <c r="BH80" i="34"/>
  <c r="BG80" i="34"/>
  <c r="BF80" i="34"/>
  <c r="BI79" i="34"/>
  <c r="BH79" i="34"/>
  <c r="BG79" i="34"/>
  <c r="BF79" i="34"/>
  <c r="BI78" i="34"/>
  <c r="BH78" i="34"/>
  <c r="BG78" i="34"/>
  <c r="BF78" i="34"/>
  <c r="BI77" i="34"/>
  <c r="BH77" i="34"/>
  <c r="BG77" i="34"/>
  <c r="BF77" i="34"/>
  <c r="BI76" i="34"/>
  <c r="BH76" i="34"/>
  <c r="BG76" i="34"/>
  <c r="BF76" i="34"/>
  <c r="BF75" i="34" s="1"/>
  <c r="BI54" i="34"/>
  <c r="BH54" i="34"/>
  <c r="BG54" i="34"/>
  <c r="BF54" i="34"/>
  <c r="BI43" i="34"/>
  <c r="BH43" i="34"/>
  <c r="BG43" i="34"/>
  <c r="BF43" i="34"/>
  <c r="BI32" i="34"/>
  <c r="BH32" i="34"/>
  <c r="BG32" i="34"/>
  <c r="BF32" i="34"/>
  <c r="BI27" i="34"/>
  <c r="BH27" i="34"/>
  <c r="BG27" i="34"/>
  <c r="BF27" i="34"/>
  <c r="BI24" i="34"/>
  <c r="BH24" i="34"/>
  <c r="BG24" i="34"/>
  <c r="BF24" i="34"/>
  <c r="BI23" i="34"/>
  <c r="BH23" i="34"/>
  <c r="BG23" i="34"/>
  <c r="BF23" i="34"/>
  <c r="BI22" i="34"/>
  <c r="BH22" i="34"/>
  <c r="BG22" i="34"/>
  <c r="BF22" i="34"/>
  <c r="BI21" i="34"/>
  <c r="BH21" i="34"/>
  <c r="BG21" i="34"/>
  <c r="BF21" i="34"/>
  <c r="BI20" i="34"/>
  <c r="BH20" i="34"/>
  <c r="BG20" i="34"/>
  <c r="BF20" i="34"/>
  <c r="BI19" i="34"/>
  <c r="BH19" i="34"/>
  <c r="BG19" i="34"/>
  <c r="BF19" i="34"/>
  <c r="BI18" i="34"/>
  <c r="BH18" i="34"/>
  <c r="BG18" i="34"/>
  <c r="BF18" i="34"/>
  <c r="BI17" i="34"/>
  <c r="BH17" i="34"/>
  <c r="BG17" i="34"/>
  <c r="BF17" i="34"/>
  <c r="BF16" i="34" s="1"/>
  <c r="BI14" i="34"/>
  <c r="BH14" i="34"/>
  <c r="BG14" i="34"/>
  <c r="BF14" i="34"/>
  <c r="BI13" i="34"/>
  <c r="BH13" i="34"/>
  <c r="BG13" i="34"/>
  <c r="BF13" i="34"/>
  <c r="BI12" i="34"/>
  <c r="BH12" i="34"/>
  <c r="BG12" i="34"/>
  <c r="BF12" i="34"/>
  <c r="BI11" i="34"/>
  <c r="BH11" i="34"/>
  <c r="BG11" i="34"/>
  <c r="BF11" i="34"/>
  <c r="BI10" i="34"/>
  <c r="BH10" i="34"/>
  <c r="BG10" i="34"/>
  <c r="BF10" i="34"/>
  <c r="BI9" i="34"/>
  <c r="BH9" i="34"/>
  <c r="BG9" i="34"/>
  <c r="BF9" i="34"/>
  <c r="BI8" i="34"/>
  <c r="BH8" i="34"/>
  <c r="BG8" i="34"/>
  <c r="BF8" i="34"/>
  <c r="BI7" i="34"/>
  <c r="BH7" i="34"/>
  <c r="BG7" i="34"/>
  <c r="BF7" i="34"/>
  <c r="BF6" i="34" s="1"/>
  <c r="BG6" i="34"/>
  <c r="BE3" i="34"/>
  <c r="BD3" i="34"/>
  <c r="BC3" i="34"/>
  <c r="BB3" i="34"/>
  <c r="BA3" i="34"/>
  <c r="AZ3" i="34"/>
  <c r="AY3" i="34"/>
  <c r="AX3" i="34"/>
  <c r="AW3" i="34"/>
  <c r="AV3" i="34"/>
  <c r="AU3" i="34"/>
  <c r="AT3" i="34"/>
  <c r="AS3" i="34"/>
  <c r="AR3" i="34"/>
  <c r="AQ3" i="34"/>
  <c r="AP3" i="34"/>
  <c r="AO3" i="34"/>
  <c r="AN3" i="34"/>
  <c r="AM3" i="34"/>
  <c r="AL3" i="34"/>
  <c r="AK3" i="34"/>
  <c r="AJ3" i="34"/>
  <c r="AI3" i="34"/>
  <c r="AH3" i="34"/>
  <c r="AG3" i="34"/>
  <c r="AF3" i="34"/>
  <c r="AE3" i="34"/>
  <c r="AD3" i="34"/>
  <c r="AC3" i="34"/>
  <c r="AB3" i="34"/>
  <c r="AA3" i="34"/>
  <c r="Z3" i="34"/>
  <c r="Y3" i="34"/>
  <c r="X3" i="34"/>
  <c r="W3" i="34"/>
  <c r="V3" i="34"/>
  <c r="U3" i="34"/>
  <c r="T3" i="34"/>
  <c r="S3" i="34"/>
  <c r="R3" i="34"/>
  <c r="Q3" i="34"/>
  <c r="P3" i="34"/>
  <c r="O3" i="34"/>
  <c r="N3" i="34"/>
  <c r="M3" i="34"/>
  <c r="L3" i="34"/>
  <c r="K3" i="34"/>
  <c r="J3" i="34"/>
  <c r="I3" i="34"/>
  <c r="H3" i="34"/>
  <c r="G3" i="34"/>
  <c r="F3" i="34"/>
  <c r="E3" i="34"/>
  <c r="BG16" i="34" l="1"/>
  <c r="AQ5" i="34"/>
  <c r="AA5" i="34"/>
  <c r="K5" i="34"/>
  <c r="BH6" i="34"/>
  <c r="BH16" i="34"/>
  <c r="BH75" i="34"/>
  <c r="AP5" i="34"/>
  <c r="Z5" i="34"/>
  <c r="J5" i="34"/>
  <c r="BI6" i="34"/>
  <c r="BI16" i="34"/>
  <c r="BI75" i="34"/>
  <c r="BE5" i="34"/>
  <c r="AO5" i="34"/>
  <c r="Y5" i="34"/>
  <c r="I5" i="34"/>
  <c r="BF125" i="34"/>
  <c r="BD5" i="34"/>
  <c r="AN5" i="34"/>
  <c r="X5" i="34"/>
  <c r="H5" i="34"/>
  <c r="AW88" i="34"/>
  <c r="BA5" i="34"/>
  <c r="AZ5" i="34"/>
  <c r="AI5" i="34"/>
  <c r="AH5" i="34"/>
  <c r="R5" i="34"/>
  <c r="AK5" i="34"/>
  <c r="AJ5" i="34"/>
  <c r="AW5" i="34"/>
  <c r="AW183" i="34" s="1"/>
  <c r="AW168" i="23" s="1"/>
  <c r="AG5" i="34"/>
  <c r="AG183" i="34" s="1"/>
  <c r="AG168" i="23" s="1"/>
  <c r="Q5" i="34"/>
  <c r="T5" i="34"/>
  <c r="AV5" i="34"/>
  <c r="AF5" i="34"/>
  <c r="P5" i="34"/>
  <c r="BI125" i="34"/>
  <c r="AY5" i="34"/>
  <c r="AU5" i="34"/>
  <c r="AE5" i="34"/>
  <c r="U5" i="34"/>
  <c r="S5" i="34"/>
  <c r="AT5" i="34"/>
  <c r="AD5" i="34"/>
  <c r="N5" i="34"/>
  <c r="N183" i="34" s="1"/>
  <c r="N168" i="23" s="1"/>
  <c r="N88" i="34"/>
  <c r="AM88" i="34"/>
  <c r="AM183" i="34" s="1"/>
  <c r="AM168" i="23" s="1"/>
  <c r="AJ88" i="34"/>
  <c r="AH88" i="34"/>
  <c r="J88" i="34"/>
  <c r="AX88" i="34"/>
  <c r="AG88" i="34"/>
  <c r="BE88" i="34"/>
  <c r="BC88" i="34"/>
  <c r="BC183" i="34" s="1"/>
  <c r="BC168" i="23" s="1"/>
  <c r="AX5" i="34"/>
  <c r="AX183" i="34" s="1"/>
  <c r="AX168" i="23" s="1"/>
  <c r="BB88" i="34"/>
  <c r="BB183" i="34" s="1"/>
  <c r="BB168" i="23" s="1"/>
  <c r="AZ88" i="34"/>
  <c r="AZ183" i="34" s="1"/>
  <c r="AZ168" i="23" s="1"/>
  <c r="AY88" i="34"/>
  <c r="AV88" i="34"/>
  <c r="AV183" i="34" s="1"/>
  <c r="AV168" i="23" s="1"/>
  <c r="AU88" i="34"/>
  <c r="AT88" i="34"/>
  <c r="AS88" i="34"/>
  <c r="AS183" i="34" s="1"/>
  <c r="AS168" i="23" s="1"/>
  <c r="AQ88" i="34"/>
  <c r="AQ183" i="34" s="1"/>
  <c r="AQ168" i="23" s="1"/>
  <c r="AO88" i="34"/>
  <c r="AN88" i="34"/>
  <c r="AD88" i="34"/>
  <c r="BI109" i="34"/>
  <c r="O5" i="34"/>
  <c r="AA88" i="34"/>
  <c r="AA183" i="34" s="1"/>
  <c r="AA168" i="23" s="1"/>
  <c r="O88" i="34"/>
  <c r="AL183" i="34"/>
  <c r="AL168" i="23" s="1"/>
  <c r="E8" i="53"/>
  <c r="AI88" i="34"/>
  <c r="AI183" i="34" s="1"/>
  <c r="AI168" i="23" s="1"/>
  <c r="AR88" i="34"/>
  <c r="AR183" i="34" s="1"/>
  <c r="AR168" i="23" s="1"/>
  <c r="AP88" i="34"/>
  <c r="AP183" i="34" s="1"/>
  <c r="AP168" i="23" s="1"/>
  <c r="AH183" i="34"/>
  <c r="AH168" i="23" s="1"/>
  <c r="AF88" i="34"/>
  <c r="AF183" i="34" s="1"/>
  <c r="AF168" i="23" s="1"/>
  <c r="AE88" i="34"/>
  <c r="AC88" i="34"/>
  <c r="AC183" i="34" s="1"/>
  <c r="AC168" i="23" s="1"/>
  <c r="Y88" i="34"/>
  <c r="X88" i="34"/>
  <c r="X183" i="34" s="1"/>
  <c r="X168" i="23" s="1"/>
  <c r="T88" i="34"/>
  <c r="T183" i="34" s="1"/>
  <c r="T168" i="23" s="1"/>
  <c r="R88" i="34"/>
  <c r="U88" i="34"/>
  <c r="U183" i="34" s="1"/>
  <c r="AB88" i="34"/>
  <c r="AB183" i="34" s="1"/>
  <c r="AB168" i="23" s="1"/>
  <c r="V88" i="34"/>
  <c r="V183" i="34" s="1"/>
  <c r="V168" i="23" s="1"/>
  <c r="BH53" i="34"/>
  <c r="J183" i="34"/>
  <c r="J168" i="23" s="1"/>
  <c r="S88" i="34"/>
  <c r="S183" i="34" s="1"/>
  <c r="S168" i="23" s="1"/>
  <c r="W88" i="34"/>
  <c r="W183" i="34" s="1"/>
  <c r="W168" i="23" s="1"/>
  <c r="BH89" i="34"/>
  <c r="Q88" i="34"/>
  <c r="Q183" i="34" s="1"/>
  <c r="Q168" i="23" s="1"/>
  <c r="AK88" i="34"/>
  <c r="P88" i="34"/>
  <c r="P183" i="34" s="1"/>
  <c r="P168" i="23" s="1"/>
  <c r="H88" i="34"/>
  <c r="H183" i="34" s="1"/>
  <c r="H168" i="23" s="1"/>
  <c r="K88" i="34"/>
  <c r="K183" i="34" s="1"/>
  <c r="K168" i="23" s="1"/>
  <c r="G88" i="34"/>
  <c r="G183" i="34" s="1"/>
  <c r="G168" i="23" s="1"/>
  <c r="I88" i="34"/>
  <c r="I183" i="34" s="1"/>
  <c r="I168" i="23" s="1"/>
  <c r="BD88" i="34"/>
  <c r="BD183" i="34" s="1"/>
  <c r="BD168" i="23" s="1"/>
  <c r="BI89" i="34"/>
  <c r="L88" i="34"/>
  <c r="F88" i="34"/>
  <c r="F183" i="34" s="1"/>
  <c r="F168" i="23" s="1"/>
  <c r="M88" i="34"/>
  <c r="M183" i="34" s="1"/>
  <c r="M168" i="23" s="1"/>
  <c r="E88" i="34"/>
  <c r="BG75" i="34"/>
  <c r="E5" i="34"/>
  <c r="BH169" i="34"/>
  <c r="BH158" i="34"/>
  <c r="BH147" i="34"/>
  <c r="BH136" i="34"/>
  <c r="Z88" i="34"/>
  <c r="BH114" i="34"/>
  <c r="BH99" i="34"/>
  <c r="BH64" i="34"/>
  <c r="BH42" i="34"/>
  <c r="BH31" i="34"/>
  <c r="BH26" i="34"/>
  <c r="BI169" i="34"/>
  <c r="BI158" i="34"/>
  <c r="BI147" i="34"/>
  <c r="BI136" i="34"/>
  <c r="BI114" i="34"/>
  <c r="BI99" i="34"/>
  <c r="BA88" i="34"/>
  <c r="BF89" i="34"/>
  <c r="BI64" i="34"/>
  <c r="BI53" i="34"/>
  <c r="BI42" i="34"/>
  <c r="BI31" i="34"/>
  <c r="BI26" i="34"/>
  <c r="BF169" i="34"/>
  <c r="BG169" i="34"/>
  <c r="BF158" i="34"/>
  <c r="BG158" i="34"/>
  <c r="BF147" i="34"/>
  <c r="BG147" i="34"/>
  <c r="BF136" i="34"/>
  <c r="BG136" i="34"/>
  <c r="BF114" i="34"/>
  <c r="BG114" i="34"/>
  <c r="BF109" i="34"/>
  <c r="BG109" i="34"/>
  <c r="BG99" i="34"/>
  <c r="BF99" i="34"/>
  <c r="BG89" i="34"/>
  <c r="BF64" i="34"/>
  <c r="BG64" i="34"/>
  <c r="BG53" i="34"/>
  <c r="BF53" i="34"/>
  <c r="BF42" i="34"/>
  <c r="BG42" i="34"/>
  <c r="BF31" i="34"/>
  <c r="BG31" i="34"/>
  <c r="BF26" i="34"/>
  <c r="BG26" i="34"/>
  <c r="BG3" i="34"/>
  <c r="BH3" i="34"/>
  <c r="BF3" i="34"/>
  <c r="BI3" i="34"/>
  <c r="D18" i="32"/>
  <c r="E18" i="32"/>
  <c r="F18" i="32"/>
  <c r="G18" i="32"/>
  <c r="H18" i="32"/>
  <c r="I18" i="32"/>
  <c r="J18" i="32"/>
  <c r="K18" i="32"/>
  <c r="L18" i="32"/>
  <c r="M18" i="32"/>
  <c r="N18" i="32"/>
  <c r="O18" i="32"/>
  <c r="P18" i="32"/>
  <c r="Q18" i="32"/>
  <c r="R18" i="32"/>
  <c r="S18" i="32"/>
  <c r="T18" i="32"/>
  <c r="U18" i="32"/>
  <c r="V18" i="32"/>
  <c r="W18" i="32"/>
  <c r="X18" i="32"/>
  <c r="Y18" i="32"/>
  <c r="Z18" i="32"/>
  <c r="AA18" i="32"/>
  <c r="AB18" i="32"/>
  <c r="AC18" i="32"/>
  <c r="AD18" i="32"/>
  <c r="AE18" i="32"/>
  <c r="AF18" i="32"/>
  <c r="AG18" i="32"/>
  <c r="AH18" i="32"/>
  <c r="AI18" i="32"/>
  <c r="AJ18" i="32"/>
  <c r="AK18" i="32"/>
  <c r="AL18" i="32"/>
  <c r="AM18" i="32"/>
  <c r="AN18" i="32"/>
  <c r="AO18" i="32"/>
  <c r="AP18" i="32"/>
  <c r="AQ18" i="32"/>
  <c r="AR18" i="32"/>
  <c r="AS18" i="32"/>
  <c r="AT18" i="32"/>
  <c r="AU18" i="32"/>
  <c r="AV18" i="32"/>
  <c r="AW18" i="32"/>
  <c r="AX18" i="32"/>
  <c r="AY18" i="32"/>
  <c r="AZ18" i="32"/>
  <c r="BA18" i="32"/>
  <c r="BB18" i="32"/>
  <c r="BC18" i="32"/>
  <c r="C18" i="32"/>
  <c r="F16" i="32"/>
  <c r="BC6" i="32"/>
  <c r="BB6" i="32"/>
  <c r="BA6" i="32"/>
  <c r="AZ6" i="32"/>
  <c r="AY6" i="32"/>
  <c r="AX6" i="32"/>
  <c r="AW6" i="32"/>
  <c r="AV6" i="32"/>
  <c r="AU6" i="32"/>
  <c r="AT6" i="32"/>
  <c r="AS6" i="32"/>
  <c r="AR6" i="32"/>
  <c r="AQ6"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C6" i="32"/>
  <c r="AT183" i="34" l="1"/>
  <c r="AT168" i="23" s="1"/>
  <c r="AU183" i="34"/>
  <c r="AU168" i="23" s="1"/>
  <c r="AY183" i="34"/>
  <c r="AY168" i="23" s="1"/>
  <c r="Z183" i="34"/>
  <c r="Z168" i="23" s="1"/>
  <c r="BE183" i="34"/>
  <c r="BE168" i="23" s="1"/>
  <c r="AK183" i="34"/>
  <c r="AK168" i="23" s="1"/>
  <c r="Y183" i="34"/>
  <c r="Y168" i="23" s="1"/>
  <c r="R183" i="34"/>
  <c r="R168" i="23" s="1"/>
  <c r="AD183" i="34"/>
  <c r="AD168" i="23" s="1"/>
  <c r="AN183" i="34"/>
  <c r="AN168" i="23" s="1"/>
  <c r="BA183" i="34"/>
  <c r="BA168" i="23" s="1"/>
  <c r="AE183" i="34"/>
  <c r="AE168" i="23" s="1"/>
  <c r="AO183" i="34"/>
  <c r="AO168" i="23" s="1"/>
  <c r="AJ183" i="34"/>
  <c r="AJ168" i="23" s="1"/>
  <c r="U168" i="23"/>
  <c r="E183" i="34"/>
  <c r="E168" i="23" s="1"/>
  <c r="O183" i="34"/>
  <c r="O168" i="23" s="1"/>
  <c r="C18" i="52"/>
  <c r="L183" i="34"/>
  <c r="E186" i="53" s="1"/>
  <c r="E91" i="53"/>
  <c r="BH88" i="34"/>
  <c r="BH5" i="34"/>
  <c r="BI88" i="34"/>
  <c r="BF88" i="34"/>
  <c r="BI5" i="34"/>
  <c r="BF18" i="32"/>
  <c r="BG18" i="32"/>
  <c r="BG88" i="34"/>
  <c r="BF5" i="34"/>
  <c r="BG5" i="34"/>
  <c r="BD18" i="32"/>
  <c r="BE18" i="32"/>
  <c r="BF6" i="32"/>
  <c r="BD6" i="32"/>
  <c r="BG6" i="32"/>
  <c r="BE6" i="32"/>
  <c r="C16" i="44" l="1"/>
  <c r="E22" i="46"/>
  <c r="BG183" i="34"/>
  <c r="BG168" i="23" s="1"/>
  <c r="BI183" i="34"/>
  <c r="BI168" i="23" s="1"/>
  <c r="L168" i="23"/>
  <c r="D90" i="27"/>
  <c r="D44" i="27"/>
  <c r="BH183" i="34"/>
  <c r="BF183" i="34"/>
  <c r="BG8" i="24"/>
  <c r="F8" i="31" s="1"/>
  <c r="BG9" i="24"/>
  <c r="F9" i="31" s="1"/>
  <c r="BG10" i="24"/>
  <c r="F10" i="31" s="1"/>
  <c r="BG11" i="24"/>
  <c r="F11" i="31" s="1"/>
  <c r="BG12" i="24"/>
  <c r="F12" i="31" s="1"/>
  <c r="BG13" i="24"/>
  <c r="F13" i="31" s="1"/>
  <c r="BG16" i="24"/>
  <c r="F16" i="31" s="1"/>
  <c r="BG17" i="24"/>
  <c r="F17" i="31" s="1"/>
  <c r="BG18" i="24"/>
  <c r="F18" i="31" s="1"/>
  <c r="BG19" i="24"/>
  <c r="F19" i="31" s="1"/>
  <c r="BG20" i="24"/>
  <c r="F20" i="31" s="1"/>
  <c r="BG21" i="24"/>
  <c r="F21" i="31" s="1"/>
  <c r="BG22" i="24"/>
  <c r="F22" i="31" s="1"/>
  <c r="BG23" i="24"/>
  <c r="F23" i="31" s="1"/>
  <c r="BG26" i="24"/>
  <c r="F26" i="31" s="1"/>
  <c r="BG27" i="24"/>
  <c r="F27" i="31" s="1"/>
  <c r="BG28" i="24"/>
  <c r="F28" i="31" s="1"/>
  <c r="BG29" i="24"/>
  <c r="F29" i="31" s="1"/>
  <c r="BG32" i="24"/>
  <c r="F32" i="31" s="1"/>
  <c r="BG33" i="24"/>
  <c r="F33" i="31" s="1"/>
  <c r="BG34" i="24"/>
  <c r="F34" i="31" s="1"/>
  <c r="BG35" i="24"/>
  <c r="F35" i="31" s="1"/>
  <c r="BG36" i="24"/>
  <c r="F36" i="31" s="1"/>
  <c r="BG37" i="24"/>
  <c r="F37" i="31" s="1"/>
  <c r="BG38" i="24"/>
  <c r="F38" i="31" s="1"/>
  <c r="BG39" i="24"/>
  <c r="F39" i="31" s="1"/>
  <c r="BG42" i="24"/>
  <c r="F42" i="31" s="1"/>
  <c r="BG43" i="24"/>
  <c r="F43" i="31" s="1"/>
  <c r="BG44" i="24"/>
  <c r="F44" i="31" s="1"/>
  <c r="BG45" i="24"/>
  <c r="F45" i="31" s="1"/>
  <c r="BG46" i="24"/>
  <c r="F46" i="31" s="1"/>
  <c r="BG49" i="24"/>
  <c r="F49" i="31" s="1"/>
  <c r="BG50" i="24"/>
  <c r="F50" i="31" s="1"/>
  <c r="BG51" i="24"/>
  <c r="F51" i="31" s="1"/>
  <c r="BG52" i="24"/>
  <c r="F52" i="31" s="1"/>
  <c r="BG55" i="24"/>
  <c r="F55" i="31" s="1"/>
  <c r="BG56" i="24"/>
  <c r="F56" i="31" s="1"/>
  <c r="BG57" i="24"/>
  <c r="F57" i="31" s="1"/>
  <c r="BG58" i="24"/>
  <c r="F58" i="31" s="1"/>
  <c r="BG59" i="24"/>
  <c r="F59" i="31" s="1"/>
  <c r="BG60" i="24"/>
  <c r="F60" i="31" s="1"/>
  <c r="BG63" i="24"/>
  <c r="F63" i="31" s="1"/>
  <c r="BG64" i="24"/>
  <c r="F64" i="31" s="1"/>
  <c r="BG65" i="24"/>
  <c r="F65" i="31" s="1"/>
  <c r="BG66" i="24"/>
  <c r="F66" i="31" s="1"/>
  <c r="BG70" i="24"/>
  <c r="F70" i="31" s="1"/>
  <c r="BG71" i="24"/>
  <c r="F71" i="31" s="1"/>
  <c r="BG72" i="24"/>
  <c r="F72" i="31" s="1"/>
  <c r="BG73" i="24"/>
  <c r="F73" i="31" s="1"/>
  <c r="BG74" i="24"/>
  <c r="F74" i="31" s="1"/>
  <c r="BG75" i="24"/>
  <c r="F75" i="31" s="1"/>
  <c r="BG76" i="24"/>
  <c r="F76" i="31" s="1"/>
  <c r="BG77" i="24"/>
  <c r="F77" i="31" s="1"/>
  <c r="BG78" i="24"/>
  <c r="F78" i="31" s="1"/>
  <c r="BG81" i="24"/>
  <c r="F81" i="31" s="1"/>
  <c r="BG82" i="24"/>
  <c r="F82" i="31" s="1"/>
  <c r="BG87" i="24"/>
  <c r="F85" i="31" s="1"/>
  <c r="BG88" i="24"/>
  <c r="F86" i="31" s="1"/>
  <c r="BG89" i="24"/>
  <c r="F87" i="31" s="1"/>
  <c r="BG90" i="24"/>
  <c r="BG91" i="24"/>
  <c r="F89" i="31" s="1"/>
  <c r="BG92" i="24"/>
  <c r="F90" i="31" s="1"/>
  <c r="BG93" i="24"/>
  <c r="F91" i="31" s="1"/>
  <c r="BG94" i="24"/>
  <c r="F92" i="31" s="1"/>
  <c r="BG95" i="24"/>
  <c r="F93" i="31" s="1"/>
  <c r="BG98" i="24"/>
  <c r="F96" i="31" s="1"/>
  <c r="BG99" i="24"/>
  <c r="F97" i="31" s="1"/>
  <c r="BG100" i="24"/>
  <c r="F98" i="31" s="1"/>
  <c r="BG101" i="24"/>
  <c r="F99" i="31" s="1"/>
  <c r="BG102" i="24"/>
  <c r="F100" i="31" s="1"/>
  <c r="BG103" i="24"/>
  <c r="F101" i="31" s="1"/>
  <c r="BG104" i="24"/>
  <c r="F102" i="31" s="1"/>
  <c r="BG105" i="24"/>
  <c r="F103" i="31" s="1"/>
  <c r="BG106" i="24"/>
  <c r="F104" i="31" s="1"/>
  <c r="BG109" i="24"/>
  <c r="F107" i="31" s="1"/>
  <c r="BG110" i="24"/>
  <c r="F108" i="31" s="1"/>
  <c r="BG111" i="24"/>
  <c r="F109" i="31" s="1"/>
  <c r="BG112" i="24"/>
  <c r="F110" i="31" s="1"/>
  <c r="BG113" i="24"/>
  <c r="F111" i="31" s="1"/>
  <c r="BG114" i="24"/>
  <c r="F112" i="31" s="1"/>
  <c r="BG115" i="24"/>
  <c r="F113" i="31" s="1"/>
  <c r="BG116" i="24"/>
  <c r="F114" i="31" s="1"/>
  <c r="BG117" i="24"/>
  <c r="F115" i="31" s="1"/>
  <c r="BG118" i="24"/>
  <c r="F116" i="31" s="1"/>
  <c r="BG124" i="24"/>
  <c r="F122" i="31" s="1"/>
  <c r="BG125" i="24"/>
  <c r="F123" i="31" s="1"/>
  <c r="BG126" i="24"/>
  <c r="F124" i="31" s="1"/>
  <c r="BG127" i="24"/>
  <c r="F125" i="31" s="1"/>
  <c r="BG128" i="24"/>
  <c r="F126" i="31" s="1"/>
  <c r="BG129" i="24"/>
  <c r="F127" i="31" s="1"/>
  <c r="BG130" i="24"/>
  <c r="F128" i="31" s="1"/>
  <c r="BG131" i="24"/>
  <c r="F129" i="31" s="1"/>
  <c r="BG134" i="24"/>
  <c r="F132" i="31" s="1"/>
  <c r="BG135" i="24"/>
  <c r="F133" i="31" s="1"/>
  <c r="BG136" i="24"/>
  <c r="F134" i="31" s="1"/>
  <c r="BG137" i="24"/>
  <c r="F135" i="31" s="1"/>
  <c r="BG138" i="24"/>
  <c r="F136" i="31" s="1"/>
  <c r="BG139" i="24"/>
  <c r="F137" i="31" s="1"/>
  <c r="BG140" i="24"/>
  <c r="F138" i="31" s="1"/>
  <c r="BG141" i="24"/>
  <c r="F139" i="31" s="1"/>
  <c r="BG144" i="24"/>
  <c r="F142" i="31" s="1"/>
  <c r="BG145" i="24"/>
  <c r="F143" i="31" s="1"/>
  <c r="BG146" i="24"/>
  <c r="F144" i="31" s="1"/>
  <c r="BG147" i="24"/>
  <c r="F145" i="31" s="1"/>
  <c r="BG148" i="24"/>
  <c r="F146" i="31" s="1"/>
  <c r="BG149" i="24"/>
  <c r="F147" i="31" s="1"/>
  <c r="BG150" i="24"/>
  <c r="F148" i="31" s="1"/>
  <c r="BG151" i="24"/>
  <c r="F149" i="31" s="1"/>
  <c r="BG154" i="24"/>
  <c r="F152" i="31" s="1"/>
  <c r="BG155" i="24"/>
  <c r="BG156" i="24"/>
  <c r="F154" i="31" s="1"/>
  <c r="BG157" i="24"/>
  <c r="F155" i="31" s="1"/>
  <c r="BG158" i="24"/>
  <c r="BG159" i="24"/>
  <c r="F157" i="31" s="1"/>
  <c r="BG160" i="24"/>
  <c r="F158" i="31" s="1"/>
  <c r="BG161" i="24"/>
  <c r="F159" i="31" s="1"/>
  <c r="BG162" i="24"/>
  <c r="F160" i="31" s="1"/>
  <c r="BG163" i="24"/>
  <c r="F161" i="31" s="1"/>
  <c r="BG166" i="24"/>
  <c r="F164" i="31" s="1"/>
  <c r="BG167" i="24"/>
  <c r="F165" i="31" s="1"/>
  <c r="BG168" i="24"/>
  <c r="F166" i="31" s="1"/>
  <c r="BG169" i="24"/>
  <c r="F167" i="31" s="1"/>
  <c r="BG170" i="24"/>
  <c r="F168" i="31" s="1"/>
  <c r="BG171" i="24"/>
  <c r="F169" i="31" s="1"/>
  <c r="BG174" i="24"/>
  <c r="F172" i="31" s="1"/>
  <c r="BG175" i="24"/>
  <c r="F173" i="31" s="1"/>
  <c r="BG176" i="24"/>
  <c r="F174" i="31" s="1"/>
  <c r="BG177" i="24"/>
  <c r="F175" i="31" s="1"/>
  <c r="BG178" i="24"/>
  <c r="F176" i="31" s="1"/>
  <c r="BG179" i="24"/>
  <c r="F177" i="31" s="1"/>
  <c r="BG180" i="24"/>
  <c r="F178" i="31" s="1"/>
  <c r="BG181" i="24"/>
  <c r="F179" i="31" s="1"/>
  <c r="BG182" i="24"/>
  <c r="F180" i="31" s="1"/>
  <c r="BG185" i="24"/>
  <c r="F183" i="31" s="1"/>
  <c r="BG186" i="24"/>
  <c r="F184" i="31" s="1"/>
  <c r="BG187" i="24"/>
  <c r="F185" i="31" s="1"/>
  <c r="BG188" i="24"/>
  <c r="F186" i="31" s="1"/>
  <c r="BG192" i="24"/>
  <c r="F190" i="31" s="1"/>
  <c r="BG195" i="24"/>
  <c r="F193" i="31" s="1"/>
  <c r="BG196" i="24"/>
  <c r="F194" i="31" s="1"/>
  <c r="BG199" i="24"/>
  <c r="F197" i="31" s="1"/>
  <c r="BG202" i="24"/>
  <c r="F200" i="31" s="1"/>
  <c r="BG205" i="24"/>
  <c r="F203" i="31" s="1"/>
  <c r="BG208" i="24"/>
  <c r="F206" i="31" s="1"/>
  <c r="BG211" i="24"/>
  <c r="F209" i="31" s="1"/>
  <c r="BG214" i="24"/>
  <c r="F212" i="31" s="1"/>
  <c r="F216" i="31"/>
  <c r="F88" i="31"/>
  <c r="F153" i="31"/>
  <c r="F156" i="31"/>
  <c r="BJ217" i="24"/>
  <c r="BJ222" i="24" s="1"/>
  <c r="BJ218" i="24"/>
  <c r="BI217" i="24"/>
  <c r="BI222" i="24" s="1"/>
  <c r="BI218" i="24"/>
  <c r="BH217" i="24"/>
  <c r="BH218" i="24"/>
  <c r="BK218" i="24" s="1"/>
  <c r="BJ214" i="24"/>
  <c r="BI214" i="24"/>
  <c r="BH214" i="24"/>
  <c r="BJ8" i="24"/>
  <c r="BJ9" i="24"/>
  <c r="BJ10" i="24"/>
  <c r="BJ11" i="24"/>
  <c r="BJ12" i="24"/>
  <c r="BJ13" i="24"/>
  <c r="BJ16" i="24"/>
  <c r="BJ17" i="24"/>
  <c r="BJ18" i="24"/>
  <c r="BJ19" i="24"/>
  <c r="BJ20" i="24"/>
  <c r="BJ21" i="24"/>
  <c r="BJ22" i="24"/>
  <c r="BJ23" i="24"/>
  <c r="BJ26" i="24"/>
  <c r="BJ27" i="24"/>
  <c r="BJ28" i="24"/>
  <c r="BJ29" i="24"/>
  <c r="BJ32" i="24"/>
  <c r="BJ33" i="24"/>
  <c r="BJ34" i="24"/>
  <c r="BJ35" i="24"/>
  <c r="BJ36" i="24"/>
  <c r="BJ37" i="24"/>
  <c r="BJ38" i="24"/>
  <c r="BJ39" i="24"/>
  <c r="BJ42" i="24"/>
  <c r="BJ43" i="24"/>
  <c r="BJ44" i="24"/>
  <c r="BJ45" i="24"/>
  <c r="BJ46" i="24"/>
  <c r="BJ49" i="24"/>
  <c r="BJ50" i="24"/>
  <c r="BJ51" i="24"/>
  <c r="BJ52" i="24"/>
  <c r="BJ55" i="24"/>
  <c r="BJ56" i="24"/>
  <c r="BJ57" i="24"/>
  <c r="BJ58" i="24"/>
  <c r="BJ59" i="24"/>
  <c r="BJ60" i="24"/>
  <c r="BJ63" i="24"/>
  <c r="BJ64" i="24"/>
  <c r="BJ65" i="24"/>
  <c r="BJ66" i="24"/>
  <c r="BJ70" i="24"/>
  <c r="BJ71" i="24"/>
  <c r="BJ72" i="24"/>
  <c r="BJ73" i="24"/>
  <c r="BJ74" i="24"/>
  <c r="BJ75" i="24"/>
  <c r="BJ76" i="24"/>
  <c r="BJ77" i="24"/>
  <c r="BJ78" i="24"/>
  <c r="BJ80" i="24"/>
  <c r="BJ81" i="24"/>
  <c r="BJ82" i="24"/>
  <c r="BJ87" i="24"/>
  <c r="BJ88" i="24"/>
  <c r="BJ89" i="24"/>
  <c r="BJ90" i="24"/>
  <c r="BJ91" i="24"/>
  <c r="BJ92" i="24"/>
  <c r="BJ93" i="24"/>
  <c r="BJ94" i="24"/>
  <c r="BJ95" i="24"/>
  <c r="BJ98" i="24"/>
  <c r="BJ99" i="24"/>
  <c r="BJ100" i="24"/>
  <c r="BJ101" i="24"/>
  <c r="BJ102" i="24"/>
  <c r="BJ103" i="24"/>
  <c r="BJ104" i="24"/>
  <c r="BJ105" i="24"/>
  <c r="BJ106" i="24"/>
  <c r="BJ109" i="24"/>
  <c r="BJ110" i="24"/>
  <c r="BJ111" i="24"/>
  <c r="BJ112" i="24"/>
  <c r="BJ113" i="24"/>
  <c r="BJ114" i="24"/>
  <c r="BJ115" i="24"/>
  <c r="BJ116" i="24"/>
  <c r="BJ117" i="24"/>
  <c r="BJ118" i="24"/>
  <c r="BJ124" i="24"/>
  <c r="BJ125" i="24"/>
  <c r="BJ126" i="24"/>
  <c r="BJ127" i="24"/>
  <c r="BJ128" i="24"/>
  <c r="BJ129" i="24"/>
  <c r="BJ130" i="24"/>
  <c r="BJ131" i="24"/>
  <c r="BJ134" i="24"/>
  <c r="BJ135" i="24"/>
  <c r="BJ136" i="24"/>
  <c r="BJ137" i="24"/>
  <c r="BJ138" i="24"/>
  <c r="BJ139" i="24"/>
  <c r="BJ140" i="24"/>
  <c r="BJ141" i="24"/>
  <c r="BJ144" i="24"/>
  <c r="BJ145" i="24"/>
  <c r="BJ146" i="24"/>
  <c r="BJ147" i="24"/>
  <c r="BJ148" i="24"/>
  <c r="BJ149" i="24"/>
  <c r="BJ150" i="24"/>
  <c r="BJ151" i="24"/>
  <c r="BJ154" i="24"/>
  <c r="BJ155" i="24"/>
  <c r="BJ156" i="24"/>
  <c r="BJ157" i="24"/>
  <c r="BJ158" i="24"/>
  <c r="BJ159" i="24"/>
  <c r="BJ160" i="24"/>
  <c r="BJ161" i="24"/>
  <c r="BJ162" i="24"/>
  <c r="BJ163" i="24"/>
  <c r="BJ166" i="24"/>
  <c r="BJ167" i="24"/>
  <c r="BJ168" i="24"/>
  <c r="BJ169" i="24"/>
  <c r="BJ170" i="24"/>
  <c r="BJ171" i="24"/>
  <c r="BJ174" i="24"/>
  <c r="BJ175" i="24"/>
  <c r="BJ176" i="24"/>
  <c r="BJ177" i="24"/>
  <c r="BJ178" i="24"/>
  <c r="BJ179" i="24"/>
  <c r="BJ180" i="24"/>
  <c r="BJ181" i="24"/>
  <c r="BJ182" i="24"/>
  <c r="BJ185" i="24"/>
  <c r="BJ186" i="24"/>
  <c r="BJ187" i="24"/>
  <c r="BJ188" i="24"/>
  <c r="BJ192" i="24"/>
  <c r="BJ195" i="24"/>
  <c r="BJ196" i="24"/>
  <c r="BJ199" i="24"/>
  <c r="BJ202" i="24"/>
  <c r="BJ205" i="24"/>
  <c r="BJ208" i="24"/>
  <c r="BJ211" i="24"/>
  <c r="BI8" i="24"/>
  <c r="BI9" i="24"/>
  <c r="BI10" i="24"/>
  <c r="BI11" i="24"/>
  <c r="BI12" i="24"/>
  <c r="BI13" i="24"/>
  <c r="BI16" i="24"/>
  <c r="BI17" i="24"/>
  <c r="BI18" i="24"/>
  <c r="BI19" i="24"/>
  <c r="BI20" i="24"/>
  <c r="BI21" i="24"/>
  <c r="BI22" i="24"/>
  <c r="BI23" i="24"/>
  <c r="BI26" i="24"/>
  <c r="BI27" i="24"/>
  <c r="BI28" i="24"/>
  <c r="BI29" i="24"/>
  <c r="BI32" i="24"/>
  <c r="BI33" i="24"/>
  <c r="BI34" i="24"/>
  <c r="BI35" i="24"/>
  <c r="BI36" i="24"/>
  <c r="BI37" i="24"/>
  <c r="BI38" i="24"/>
  <c r="BI39" i="24"/>
  <c r="BI42" i="24"/>
  <c r="BI43" i="24"/>
  <c r="BI44" i="24"/>
  <c r="BI45" i="24"/>
  <c r="BI46" i="24"/>
  <c r="BI49" i="24"/>
  <c r="BI50" i="24"/>
  <c r="BI51" i="24"/>
  <c r="BI52" i="24"/>
  <c r="BI55" i="24"/>
  <c r="BI56" i="24"/>
  <c r="BI57" i="24"/>
  <c r="BI58" i="24"/>
  <c r="BI59" i="24"/>
  <c r="BI60" i="24"/>
  <c r="BI63" i="24"/>
  <c r="BI64" i="24"/>
  <c r="BI65" i="24"/>
  <c r="BI66" i="24"/>
  <c r="BI70" i="24"/>
  <c r="BI71" i="24"/>
  <c r="BI72" i="24"/>
  <c r="BI73" i="24"/>
  <c r="BI74" i="24"/>
  <c r="BI75" i="24"/>
  <c r="BI76" i="24"/>
  <c r="BI77" i="24"/>
  <c r="BI78" i="24"/>
  <c r="BI80" i="24"/>
  <c r="BI81" i="24"/>
  <c r="BI82" i="24"/>
  <c r="BI87" i="24"/>
  <c r="BI88" i="24"/>
  <c r="BI89" i="24"/>
  <c r="BI90" i="24"/>
  <c r="BI91" i="24"/>
  <c r="BI92" i="24"/>
  <c r="BI93" i="24"/>
  <c r="BI94" i="24"/>
  <c r="BI95" i="24"/>
  <c r="BI98" i="24"/>
  <c r="BI99" i="24"/>
  <c r="BI100" i="24"/>
  <c r="BI101" i="24"/>
  <c r="BI102" i="24"/>
  <c r="BI103" i="24"/>
  <c r="BI104" i="24"/>
  <c r="BI105" i="24"/>
  <c r="BI106" i="24"/>
  <c r="BI109" i="24"/>
  <c r="BI110" i="24"/>
  <c r="BI111" i="24"/>
  <c r="BI112" i="24"/>
  <c r="BI113" i="24"/>
  <c r="BI114" i="24"/>
  <c r="BI115" i="24"/>
  <c r="BI116" i="24"/>
  <c r="BI117" i="24"/>
  <c r="BI118" i="24"/>
  <c r="BI124" i="24"/>
  <c r="BI125" i="24"/>
  <c r="BI126" i="24"/>
  <c r="BI127" i="24"/>
  <c r="BI128" i="24"/>
  <c r="BI129" i="24"/>
  <c r="BI130" i="24"/>
  <c r="BI131" i="24"/>
  <c r="BI134" i="24"/>
  <c r="BI135" i="24"/>
  <c r="BI136" i="24"/>
  <c r="BI137" i="24"/>
  <c r="BI138" i="24"/>
  <c r="BI139" i="24"/>
  <c r="BI140" i="24"/>
  <c r="BI141" i="24"/>
  <c r="BI144" i="24"/>
  <c r="BI145" i="24"/>
  <c r="BI146" i="24"/>
  <c r="BI147" i="24"/>
  <c r="BI148" i="24"/>
  <c r="BI149" i="24"/>
  <c r="BI150" i="24"/>
  <c r="BI151" i="24"/>
  <c r="BI154" i="24"/>
  <c r="BI155" i="24"/>
  <c r="BI156" i="24"/>
  <c r="BI157" i="24"/>
  <c r="BI158" i="24"/>
  <c r="BI159" i="24"/>
  <c r="BI160" i="24"/>
  <c r="BI161" i="24"/>
  <c r="BI162" i="24"/>
  <c r="BI163" i="24"/>
  <c r="BI166" i="24"/>
  <c r="BI167" i="24"/>
  <c r="BI168" i="24"/>
  <c r="BI169" i="24"/>
  <c r="BI170" i="24"/>
  <c r="BI171" i="24"/>
  <c r="BI174" i="24"/>
  <c r="BI175" i="24"/>
  <c r="BI176" i="24"/>
  <c r="BI177" i="24"/>
  <c r="BI178" i="24"/>
  <c r="BI179" i="24"/>
  <c r="BI180" i="24"/>
  <c r="BI181" i="24"/>
  <c r="BI182" i="24"/>
  <c r="BI185" i="24"/>
  <c r="BI186" i="24"/>
  <c r="BI187" i="24"/>
  <c r="BI188" i="24"/>
  <c r="BI192" i="24"/>
  <c r="BI195" i="24"/>
  <c r="BI196" i="24"/>
  <c r="BI199" i="24"/>
  <c r="BI202" i="24"/>
  <c r="BI205" i="24"/>
  <c r="BI208" i="24"/>
  <c r="BI211" i="24"/>
  <c r="BH8" i="24"/>
  <c r="BH9" i="24"/>
  <c r="BH10" i="24"/>
  <c r="BH11" i="24"/>
  <c r="BH12" i="24"/>
  <c r="BH13" i="24"/>
  <c r="BH16" i="24"/>
  <c r="BH17" i="24"/>
  <c r="BH18" i="24"/>
  <c r="BH19" i="24"/>
  <c r="BH20" i="24"/>
  <c r="BH21" i="24"/>
  <c r="BH22" i="24"/>
  <c r="BH23" i="24"/>
  <c r="BH26" i="24"/>
  <c r="BH27" i="24"/>
  <c r="BH28" i="24"/>
  <c r="BH29" i="24"/>
  <c r="BH32" i="24"/>
  <c r="BH33" i="24"/>
  <c r="BH34" i="24"/>
  <c r="BH35" i="24"/>
  <c r="BH36" i="24"/>
  <c r="BH37" i="24"/>
  <c r="BH38" i="24"/>
  <c r="BH39" i="24"/>
  <c r="BH42" i="24"/>
  <c r="BH43" i="24"/>
  <c r="BH44" i="24"/>
  <c r="BH45" i="24"/>
  <c r="BH46" i="24"/>
  <c r="BH49" i="24"/>
  <c r="BH50" i="24"/>
  <c r="BH51" i="24"/>
  <c r="BH52" i="24"/>
  <c r="BH55" i="24"/>
  <c r="BH56" i="24"/>
  <c r="BH57" i="24"/>
  <c r="BH58" i="24"/>
  <c r="BH59" i="24"/>
  <c r="BH60" i="24"/>
  <c r="BH63" i="24"/>
  <c r="BH64" i="24"/>
  <c r="BH65" i="24"/>
  <c r="BH66" i="24"/>
  <c r="BH70" i="24"/>
  <c r="BH71" i="24"/>
  <c r="BH72" i="24"/>
  <c r="BH73" i="24"/>
  <c r="BH74" i="24"/>
  <c r="BH75" i="24"/>
  <c r="BH76" i="24"/>
  <c r="BH77" i="24"/>
  <c r="BH78" i="24"/>
  <c r="BH81" i="24"/>
  <c r="BH82" i="24"/>
  <c r="BH87" i="24"/>
  <c r="BH88" i="24"/>
  <c r="BH89" i="24"/>
  <c r="BH90" i="24"/>
  <c r="BH91" i="24"/>
  <c r="BH92" i="24"/>
  <c r="BH93" i="24"/>
  <c r="BH94" i="24"/>
  <c r="BH95" i="24"/>
  <c r="BH98" i="24"/>
  <c r="BH99" i="24"/>
  <c r="BH100" i="24"/>
  <c r="BH101" i="24"/>
  <c r="BH102" i="24"/>
  <c r="BH103" i="24"/>
  <c r="BH104" i="24"/>
  <c r="BH105" i="24"/>
  <c r="BH106" i="24"/>
  <c r="BH109" i="24"/>
  <c r="BH110" i="24"/>
  <c r="BH111" i="24"/>
  <c r="BH112" i="24"/>
  <c r="BH113" i="24"/>
  <c r="BH114" i="24"/>
  <c r="BH115" i="24"/>
  <c r="BH116" i="24"/>
  <c r="BH117" i="24"/>
  <c r="BH118" i="24"/>
  <c r="BH124" i="24"/>
  <c r="BH125" i="24"/>
  <c r="BH126" i="24"/>
  <c r="BH127" i="24"/>
  <c r="BH128" i="24"/>
  <c r="BH129" i="24"/>
  <c r="BH130" i="24"/>
  <c r="BH131" i="24"/>
  <c r="BH134" i="24"/>
  <c r="BH135" i="24"/>
  <c r="BH136" i="24"/>
  <c r="BH137" i="24"/>
  <c r="BH138" i="24"/>
  <c r="BH139" i="24"/>
  <c r="BH140" i="24"/>
  <c r="BH141" i="24"/>
  <c r="BH144" i="24"/>
  <c r="BH145" i="24"/>
  <c r="BH146" i="24"/>
  <c r="BH147" i="24"/>
  <c r="BH148" i="24"/>
  <c r="BH149" i="24"/>
  <c r="BH150" i="24"/>
  <c r="BH151" i="24"/>
  <c r="BH154" i="24"/>
  <c r="BH155" i="24"/>
  <c r="BH156" i="24"/>
  <c r="BH157" i="24"/>
  <c r="BH158" i="24"/>
  <c r="BH159" i="24"/>
  <c r="BH160" i="24"/>
  <c r="BH161" i="24"/>
  <c r="BH162" i="24"/>
  <c r="BH163" i="24"/>
  <c r="BH166" i="24"/>
  <c r="BH167" i="24"/>
  <c r="BH168" i="24"/>
  <c r="BH169" i="24"/>
  <c r="BH170" i="24"/>
  <c r="BH171" i="24"/>
  <c r="BH174" i="24"/>
  <c r="BH175" i="24"/>
  <c r="BH176" i="24"/>
  <c r="BH177" i="24"/>
  <c r="BH178" i="24"/>
  <c r="BH179" i="24"/>
  <c r="BH180" i="24"/>
  <c r="BH181" i="24"/>
  <c r="BH182" i="24"/>
  <c r="BH185" i="24"/>
  <c r="BH186" i="24"/>
  <c r="BH187" i="24"/>
  <c r="BH188" i="24"/>
  <c r="BH192" i="24"/>
  <c r="BH195" i="24"/>
  <c r="BH196" i="24"/>
  <c r="BH199" i="24"/>
  <c r="BH202" i="24"/>
  <c r="BH205" i="24"/>
  <c r="BH208" i="24"/>
  <c r="BH211" i="24"/>
  <c r="G216" i="24"/>
  <c r="H216" i="24"/>
  <c r="I216" i="24"/>
  <c r="J216" i="24"/>
  <c r="K216" i="24"/>
  <c r="L216" i="24"/>
  <c r="M216" i="24"/>
  <c r="N216" i="24"/>
  <c r="O216" i="24"/>
  <c r="P216" i="24"/>
  <c r="Q216" i="24"/>
  <c r="R216" i="24"/>
  <c r="S216" i="24"/>
  <c r="T216" i="24"/>
  <c r="U216" i="24"/>
  <c r="V216" i="24"/>
  <c r="W216" i="24"/>
  <c r="X216" i="24"/>
  <c r="Y216" i="24"/>
  <c r="Z216" i="24"/>
  <c r="AA216" i="24"/>
  <c r="AB216" i="24"/>
  <c r="AC216" i="24"/>
  <c r="AD216" i="24"/>
  <c r="AE216" i="24"/>
  <c r="AF216" i="24"/>
  <c r="AG216" i="24"/>
  <c r="AH216" i="24"/>
  <c r="AI216" i="24"/>
  <c r="AJ216" i="24"/>
  <c r="AK216" i="24"/>
  <c r="AL216" i="24"/>
  <c r="AM216" i="24"/>
  <c r="AN216" i="24"/>
  <c r="AO216" i="24"/>
  <c r="AP216" i="24"/>
  <c r="AQ216" i="24"/>
  <c r="AR216" i="24"/>
  <c r="AS216" i="24"/>
  <c r="AT216" i="24"/>
  <c r="AU216" i="24"/>
  <c r="AV216" i="24"/>
  <c r="AW216" i="24"/>
  <c r="AX216" i="24"/>
  <c r="AY216" i="24"/>
  <c r="AZ216" i="24"/>
  <c r="BA216" i="24"/>
  <c r="BB216" i="24"/>
  <c r="BC216" i="24"/>
  <c r="BD216" i="24"/>
  <c r="BE216" i="24"/>
  <c r="BF216" i="24"/>
  <c r="G213" i="24"/>
  <c r="H213" i="24"/>
  <c r="I213" i="24"/>
  <c r="J213" i="24"/>
  <c r="K213" i="24"/>
  <c r="L213" i="24"/>
  <c r="M213" i="24"/>
  <c r="N213" i="24"/>
  <c r="O213" i="24"/>
  <c r="P213" i="24"/>
  <c r="Q213" i="24"/>
  <c r="R213" i="24"/>
  <c r="S213" i="24"/>
  <c r="T213" i="24"/>
  <c r="U213" i="24"/>
  <c r="V213" i="24"/>
  <c r="W213" i="24"/>
  <c r="X213" i="24"/>
  <c r="Y213" i="24"/>
  <c r="Z213" i="24"/>
  <c r="AA213" i="24"/>
  <c r="AB213" i="24"/>
  <c r="AC213" i="24"/>
  <c r="AD213" i="24"/>
  <c r="AE213" i="24"/>
  <c r="AF213" i="24"/>
  <c r="AG213" i="24"/>
  <c r="AH213" i="24"/>
  <c r="AI213" i="24"/>
  <c r="AJ213" i="24"/>
  <c r="AK213" i="24"/>
  <c r="AL213" i="24"/>
  <c r="AM213" i="24"/>
  <c r="AN213" i="24"/>
  <c r="AO213" i="24"/>
  <c r="AP213" i="24"/>
  <c r="AQ213" i="24"/>
  <c r="AR213" i="24"/>
  <c r="AS213" i="24"/>
  <c r="AT213" i="24"/>
  <c r="AU213" i="24"/>
  <c r="AV213" i="24"/>
  <c r="AW213" i="24"/>
  <c r="AX213" i="24"/>
  <c r="AY213" i="24"/>
  <c r="AZ213" i="24"/>
  <c r="BA213" i="24"/>
  <c r="BB213" i="24"/>
  <c r="BC213" i="24"/>
  <c r="BD213" i="24"/>
  <c r="BE213" i="24"/>
  <c r="BF213" i="24"/>
  <c r="G210" i="24"/>
  <c r="H210" i="24"/>
  <c r="I210" i="24"/>
  <c r="J210" i="24"/>
  <c r="K210" i="24"/>
  <c r="L210" i="24"/>
  <c r="M210" i="24"/>
  <c r="N210" i="24"/>
  <c r="O210" i="24"/>
  <c r="P210" i="24"/>
  <c r="Q210" i="24"/>
  <c r="R210" i="24"/>
  <c r="S210" i="24"/>
  <c r="T210" i="24"/>
  <c r="U210" i="24"/>
  <c r="V210" i="24"/>
  <c r="W210" i="24"/>
  <c r="X210" i="24"/>
  <c r="Y210" i="24"/>
  <c r="Z210" i="24"/>
  <c r="AA210" i="24"/>
  <c r="AB210" i="24"/>
  <c r="AC210" i="24"/>
  <c r="AD210" i="24"/>
  <c r="AE210" i="24"/>
  <c r="AF210" i="24"/>
  <c r="AG210" i="24"/>
  <c r="AH210" i="24"/>
  <c r="AI210" i="24"/>
  <c r="AJ210" i="24"/>
  <c r="AK210" i="24"/>
  <c r="AL210" i="24"/>
  <c r="AM210" i="24"/>
  <c r="AN210" i="24"/>
  <c r="AO210" i="24"/>
  <c r="AP210" i="24"/>
  <c r="AQ210" i="24"/>
  <c r="AR210" i="24"/>
  <c r="AS210" i="24"/>
  <c r="AT210" i="24"/>
  <c r="AU210" i="24"/>
  <c r="AV210" i="24"/>
  <c r="AW210" i="24"/>
  <c r="AX210" i="24"/>
  <c r="AY210" i="24"/>
  <c r="AZ210" i="24"/>
  <c r="BA210" i="24"/>
  <c r="BB210" i="24"/>
  <c r="BC210" i="24"/>
  <c r="BD210" i="24"/>
  <c r="BE210" i="24"/>
  <c r="BF210" i="24"/>
  <c r="G207" i="24"/>
  <c r="I207" i="24"/>
  <c r="J207" i="24"/>
  <c r="K207" i="24"/>
  <c r="L207" i="24"/>
  <c r="M207" i="24"/>
  <c r="N207" i="24"/>
  <c r="O207" i="24"/>
  <c r="P207" i="24"/>
  <c r="Q207" i="24"/>
  <c r="R207" i="24"/>
  <c r="S207" i="24"/>
  <c r="T207" i="24"/>
  <c r="U207" i="24"/>
  <c r="V207" i="24"/>
  <c r="W207" i="24"/>
  <c r="X207" i="24"/>
  <c r="Y207" i="24"/>
  <c r="Z207" i="24"/>
  <c r="AA207" i="24"/>
  <c r="AB207" i="24"/>
  <c r="AC207" i="24"/>
  <c r="AD207" i="24"/>
  <c r="AE207" i="24"/>
  <c r="AF207" i="24"/>
  <c r="AG207" i="24"/>
  <c r="AH207" i="24"/>
  <c r="AI207" i="24"/>
  <c r="AJ207" i="24"/>
  <c r="AK207" i="24"/>
  <c r="AL207" i="24"/>
  <c r="AM207" i="24"/>
  <c r="AN207" i="24"/>
  <c r="AO207" i="24"/>
  <c r="AP207" i="24"/>
  <c r="AQ207" i="24"/>
  <c r="AR207" i="24"/>
  <c r="AS207" i="24"/>
  <c r="AT207" i="24"/>
  <c r="AU207" i="24"/>
  <c r="AV207" i="24"/>
  <c r="AW207" i="24"/>
  <c r="AX207" i="24"/>
  <c r="AY207" i="24"/>
  <c r="AZ207" i="24"/>
  <c r="BA207" i="24"/>
  <c r="BB207" i="24"/>
  <c r="BC207" i="24"/>
  <c r="BD207" i="24"/>
  <c r="BE207" i="24"/>
  <c r="BF207" i="24"/>
  <c r="G204" i="24"/>
  <c r="H204" i="24"/>
  <c r="I204" i="24"/>
  <c r="J204" i="24"/>
  <c r="K204" i="24"/>
  <c r="L204" i="24"/>
  <c r="M204" i="24"/>
  <c r="N204" i="24"/>
  <c r="O204" i="24"/>
  <c r="P204" i="24"/>
  <c r="Q204" i="24"/>
  <c r="R204" i="24"/>
  <c r="S204" i="24"/>
  <c r="T204" i="24"/>
  <c r="U204" i="24"/>
  <c r="V204" i="24"/>
  <c r="W204" i="24"/>
  <c r="X204" i="24"/>
  <c r="Y204" i="24"/>
  <c r="Z204" i="24"/>
  <c r="AA204" i="24"/>
  <c r="AB204" i="24"/>
  <c r="AC204" i="24"/>
  <c r="AD204" i="24"/>
  <c r="AE204" i="24"/>
  <c r="AF204" i="24"/>
  <c r="AG204" i="24"/>
  <c r="AH204" i="24"/>
  <c r="AI204" i="24"/>
  <c r="AJ204" i="24"/>
  <c r="AK204" i="24"/>
  <c r="AL204" i="24"/>
  <c r="AM204" i="24"/>
  <c r="AN204" i="24"/>
  <c r="AO204" i="24"/>
  <c r="AP204" i="24"/>
  <c r="AQ204" i="24"/>
  <c r="AR204" i="24"/>
  <c r="AS204" i="24"/>
  <c r="AT204" i="24"/>
  <c r="AU204" i="24"/>
  <c r="AV204" i="24"/>
  <c r="AW204" i="24"/>
  <c r="AX204" i="24"/>
  <c r="AY204" i="24"/>
  <c r="AZ204" i="24"/>
  <c r="BA204" i="24"/>
  <c r="BB204" i="24"/>
  <c r="BC204" i="24"/>
  <c r="BD204" i="24"/>
  <c r="BE204" i="24"/>
  <c r="BF204" i="24"/>
  <c r="G201" i="24"/>
  <c r="H201" i="24"/>
  <c r="I201" i="24"/>
  <c r="J201" i="24"/>
  <c r="K201" i="24"/>
  <c r="L201" i="24"/>
  <c r="M201" i="24"/>
  <c r="N201" i="24"/>
  <c r="O201" i="24"/>
  <c r="P201" i="24"/>
  <c r="Q201" i="24"/>
  <c r="R201" i="24"/>
  <c r="S201" i="24"/>
  <c r="T201" i="24"/>
  <c r="U201" i="24"/>
  <c r="V201" i="24"/>
  <c r="W201" i="24"/>
  <c r="X201" i="24"/>
  <c r="Y201" i="24"/>
  <c r="Z201" i="24"/>
  <c r="AA201" i="24"/>
  <c r="AB201" i="24"/>
  <c r="AC201" i="24"/>
  <c r="AD201" i="24"/>
  <c r="AE201" i="24"/>
  <c r="AF201" i="24"/>
  <c r="AG201" i="24"/>
  <c r="AH201" i="24"/>
  <c r="AI201" i="24"/>
  <c r="AJ201" i="24"/>
  <c r="AK201" i="24"/>
  <c r="AL201" i="24"/>
  <c r="AM201" i="24"/>
  <c r="AN201" i="24"/>
  <c r="AO201" i="24"/>
  <c r="AP201" i="24"/>
  <c r="AQ201" i="24"/>
  <c r="AR201" i="24"/>
  <c r="AS201" i="24"/>
  <c r="AT201" i="24"/>
  <c r="AU201" i="24"/>
  <c r="AV201" i="24"/>
  <c r="AW201" i="24"/>
  <c r="AX201" i="24"/>
  <c r="AY201" i="24"/>
  <c r="AZ201" i="24"/>
  <c r="BA201" i="24"/>
  <c r="BB201" i="24"/>
  <c r="BC201" i="24"/>
  <c r="BD201" i="24"/>
  <c r="BE201" i="24"/>
  <c r="BF201" i="24"/>
  <c r="G198" i="24"/>
  <c r="H198" i="24"/>
  <c r="I198" i="24"/>
  <c r="J198" i="24"/>
  <c r="K198" i="24"/>
  <c r="L198" i="24"/>
  <c r="M198" i="24"/>
  <c r="N198" i="24"/>
  <c r="O198" i="24"/>
  <c r="P198" i="24"/>
  <c r="Q198" i="24"/>
  <c r="R198" i="24"/>
  <c r="S198" i="24"/>
  <c r="T198" i="24"/>
  <c r="U198" i="24"/>
  <c r="V198" i="24"/>
  <c r="W198" i="24"/>
  <c r="X198" i="24"/>
  <c r="Y198" i="24"/>
  <c r="Z198" i="24"/>
  <c r="AA198" i="24"/>
  <c r="AB198" i="24"/>
  <c r="AC198" i="24"/>
  <c r="AD198" i="24"/>
  <c r="AE198" i="24"/>
  <c r="AF198" i="24"/>
  <c r="AG198" i="24"/>
  <c r="AH198" i="24"/>
  <c r="AI198" i="24"/>
  <c r="AJ198" i="24"/>
  <c r="AK198" i="24"/>
  <c r="AL198" i="24"/>
  <c r="AM198" i="24"/>
  <c r="AN198" i="24"/>
  <c r="AO198" i="24"/>
  <c r="AP198" i="24"/>
  <c r="AQ198" i="24"/>
  <c r="AR198" i="24"/>
  <c r="AS198" i="24"/>
  <c r="AT198" i="24"/>
  <c r="AU198" i="24"/>
  <c r="AV198" i="24"/>
  <c r="AW198" i="24"/>
  <c r="AX198" i="24"/>
  <c r="AY198" i="24"/>
  <c r="AZ198" i="24"/>
  <c r="BA198" i="24"/>
  <c r="BB198" i="24"/>
  <c r="BC198" i="24"/>
  <c r="BD198" i="24"/>
  <c r="BE198" i="24"/>
  <c r="BF198" i="24"/>
  <c r="G194" i="24"/>
  <c r="H194" i="24"/>
  <c r="I194" i="24"/>
  <c r="J194" i="24"/>
  <c r="K194" i="24"/>
  <c r="L194" i="24"/>
  <c r="M194" i="24"/>
  <c r="N194" i="24"/>
  <c r="O194" i="24"/>
  <c r="P194" i="24"/>
  <c r="Q194" i="24"/>
  <c r="R194" i="24"/>
  <c r="S194" i="24"/>
  <c r="T194" i="24"/>
  <c r="U194" i="24"/>
  <c r="V194" i="24"/>
  <c r="W194" i="24"/>
  <c r="X194" i="24"/>
  <c r="Y194" i="24"/>
  <c r="Z194" i="24"/>
  <c r="AA194" i="24"/>
  <c r="AB194" i="24"/>
  <c r="AC194" i="24"/>
  <c r="AD194" i="24"/>
  <c r="AE194" i="24"/>
  <c r="AF194" i="24"/>
  <c r="AG194" i="24"/>
  <c r="AH194" i="24"/>
  <c r="AI194" i="24"/>
  <c r="AJ194" i="24"/>
  <c r="AK194" i="24"/>
  <c r="AL194" i="24"/>
  <c r="AM194" i="24"/>
  <c r="AN194" i="24"/>
  <c r="AO194" i="24"/>
  <c r="AP194" i="24"/>
  <c r="AQ194" i="24"/>
  <c r="AR194" i="24"/>
  <c r="AS194" i="24"/>
  <c r="AT194" i="24"/>
  <c r="AU194" i="24"/>
  <c r="AV194" i="24"/>
  <c r="AW194" i="24"/>
  <c r="AX194" i="24"/>
  <c r="AY194" i="24"/>
  <c r="AZ194" i="24"/>
  <c r="BA194" i="24"/>
  <c r="BB194" i="24"/>
  <c r="BC194" i="24"/>
  <c r="BD194" i="24"/>
  <c r="BE194" i="24"/>
  <c r="BF194" i="24"/>
  <c r="G191" i="24"/>
  <c r="H191" i="24"/>
  <c r="I191" i="24"/>
  <c r="J191" i="24"/>
  <c r="K191" i="24"/>
  <c r="L191" i="24"/>
  <c r="M191" i="24"/>
  <c r="N191" i="24"/>
  <c r="O191" i="24"/>
  <c r="P191" i="24"/>
  <c r="Q191" i="24"/>
  <c r="R191" i="24"/>
  <c r="S191" i="24"/>
  <c r="T191" i="24"/>
  <c r="U191" i="24"/>
  <c r="V191" i="24"/>
  <c r="W191" i="24"/>
  <c r="X191" i="24"/>
  <c r="Y191" i="24"/>
  <c r="Z191" i="24"/>
  <c r="AA191" i="24"/>
  <c r="AB191" i="24"/>
  <c r="AC191" i="24"/>
  <c r="AD191" i="24"/>
  <c r="AE191" i="24"/>
  <c r="AF191" i="24"/>
  <c r="AG191" i="24"/>
  <c r="AH191" i="24"/>
  <c r="AI191" i="24"/>
  <c r="AJ191" i="24"/>
  <c r="AK191" i="24"/>
  <c r="AL191" i="24"/>
  <c r="AM191" i="24"/>
  <c r="AN191" i="24"/>
  <c r="AO191" i="24"/>
  <c r="AP191" i="24"/>
  <c r="AQ191" i="24"/>
  <c r="AR191" i="24"/>
  <c r="AS191" i="24"/>
  <c r="AT191" i="24"/>
  <c r="AU191" i="24"/>
  <c r="AV191" i="24"/>
  <c r="AW191" i="24"/>
  <c r="AX191" i="24"/>
  <c r="AY191" i="24"/>
  <c r="AZ191" i="24"/>
  <c r="BA191" i="24"/>
  <c r="BB191" i="24"/>
  <c r="BC191" i="24"/>
  <c r="BD191" i="24"/>
  <c r="BE191" i="24"/>
  <c r="BF191" i="24"/>
  <c r="G184" i="24"/>
  <c r="H184" i="24"/>
  <c r="I184" i="24"/>
  <c r="J184" i="24"/>
  <c r="K184" i="24"/>
  <c r="L184" i="24"/>
  <c r="M184" i="24"/>
  <c r="N184" i="24"/>
  <c r="O184" i="24"/>
  <c r="P184" i="24"/>
  <c r="Q184" i="24"/>
  <c r="R184" i="24"/>
  <c r="S184" i="24"/>
  <c r="T184" i="24"/>
  <c r="U184" i="24"/>
  <c r="V184" i="24"/>
  <c r="W184" i="24"/>
  <c r="X184" i="24"/>
  <c r="Y184" i="24"/>
  <c r="Z184" i="24"/>
  <c r="AA184" i="24"/>
  <c r="AB184" i="24"/>
  <c r="AC184" i="24"/>
  <c r="AD184" i="24"/>
  <c r="AE184" i="24"/>
  <c r="AF184" i="24"/>
  <c r="AG184" i="24"/>
  <c r="AH184" i="24"/>
  <c r="AI184" i="24"/>
  <c r="AJ184" i="24"/>
  <c r="AK184" i="24"/>
  <c r="AL184" i="24"/>
  <c r="AM184" i="24"/>
  <c r="AN184" i="24"/>
  <c r="AO184" i="24"/>
  <c r="AP184" i="24"/>
  <c r="AQ184" i="24"/>
  <c r="AR184" i="24"/>
  <c r="AS184" i="24"/>
  <c r="AT184" i="24"/>
  <c r="AU184" i="24"/>
  <c r="AV184" i="24"/>
  <c r="AW184" i="24"/>
  <c r="AX184" i="24"/>
  <c r="AY184" i="24"/>
  <c r="AZ184" i="24"/>
  <c r="BA184" i="24"/>
  <c r="BB184" i="24"/>
  <c r="BC184" i="24"/>
  <c r="BD184" i="24"/>
  <c r="BE184" i="24"/>
  <c r="BF184" i="24"/>
  <c r="G173" i="24"/>
  <c r="H173" i="24"/>
  <c r="I173" i="24"/>
  <c r="J173" i="24"/>
  <c r="K173" i="24"/>
  <c r="L173" i="24"/>
  <c r="M173" i="24"/>
  <c r="N173" i="24"/>
  <c r="O173" i="24"/>
  <c r="P173" i="24"/>
  <c r="Q173" i="24"/>
  <c r="R173" i="24"/>
  <c r="S173" i="24"/>
  <c r="T173" i="24"/>
  <c r="U173" i="24"/>
  <c r="V173" i="24"/>
  <c r="W173" i="24"/>
  <c r="X173" i="24"/>
  <c r="Y173" i="24"/>
  <c r="Z173" i="24"/>
  <c r="AA173" i="24"/>
  <c r="AB173" i="24"/>
  <c r="AC173" i="24"/>
  <c r="AD173" i="24"/>
  <c r="AE173" i="24"/>
  <c r="AF173" i="24"/>
  <c r="AG173" i="24"/>
  <c r="AH173" i="24"/>
  <c r="AI173" i="24"/>
  <c r="AJ173" i="24"/>
  <c r="AK173" i="24"/>
  <c r="AL173" i="24"/>
  <c r="AM173" i="24"/>
  <c r="AN173" i="24"/>
  <c r="AO173" i="24"/>
  <c r="AP173" i="24"/>
  <c r="AQ173" i="24"/>
  <c r="AR173" i="24"/>
  <c r="AS173" i="24"/>
  <c r="AT173" i="24"/>
  <c r="AU173" i="24"/>
  <c r="AV173" i="24"/>
  <c r="AW173" i="24"/>
  <c r="AX173" i="24"/>
  <c r="AY173" i="24"/>
  <c r="AZ173" i="24"/>
  <c r="BA173" i="24"/>
  <c r="BB173" i="24"/>
  <c r="BC173" i="24"/>
  <c r="BD173" i="24"/>
  <c r="BE173" i="24"/>
  <c r="BF173" i="24"/>
  <c r="G165" i="24"/>
  <c r="H165" i="24"/>
  <c r="J165" i="24"/>
  <c r="K165" i="24"/>
  <c r="L165" i="24"/>
  <c r="M165" i="24"/>
  <c r="N165" i="24"/>
  <c r="O165" i="24"/>
  <c r="P165" i="24"/>
  <c r="Q165" i="24"/>
  <c r="R165" i="24"/>
  <c r="S165" i="24"/>
  <c r="T165" i="24"/>
  <c r="U165" i="24"/>
  <c r="V165" i="24"/>
  <c r="W165" i="24"/>
  <c r="X165" i="24"/>
  <c r="Y165" i="24"/>
  <c r="Z165" i="24"/>
  <c r="AA165" i="24"/>
  <c r="AB165" i="24"/>
  <c r="AC165" i="24"/>
  <c r="AD165" i="24"/>
  <c r="AE165" i="24"/>
  <c r="AF165" i="24"/>
  <c r="AG165" i="24"/>
  <c r="AH165" i="24"/>
  <c r="AI165" i="24"/>
  <c r="AJ165" i="24"/>
  <c r="AK165" i="24"/>
  <c r="AL165" i="24"/>
  <c r="AM165" i="24"/>
  <c r="AN165" i="24"/>
  <c r="AO165" i="24"/>
  <c r="AP165" i="24"/>
  <c r="AQ165" i="24"/>
  <c r="AR165" i="24"/>
  <c r="AS165" i="24"/>
  <c r="AT165" i="24"/>
  <c r="AU165" i="24"/>
  <c r="AV165" i="24"/>
  <c r="AW165" i="24"/>
  <c r="AX165" i="24"/>
  <c r="AY165" i="24"/>
  <c r="AZ165" i="24"/>
  <c r="BA165" i="24"/>
  <c r="BB165" i="24"/>
  <c r="BC165" i="24"/>
  <c r="BD165" i="24"/>
  <c r="BE165" i="24"/>
  <c r="BF165" i="24"/>
  <c r="G153" i="24"/>
  <c r="H153" i="24"/>
  <c r="I153" i="24"/>
  <c r="J153" i="24"/>
  <c r="K153" i="24"/>
  <c r="L153" i="24"/>
  <c r="M153" i="24"/>
  <c r="N153" i="24"/>
  <c r="O153" i="24"/>
  <c r="P153" i="24"/>
  <c r="Q153" i="24"/>
  <c r="R153" i="24"/>
  <c r="S153" i="24"/>
  <c r="T153" i="24"/>
  <c r="U153" i="24"/>
  <c r="V153" i="24"/>
  <c r="W153" i="24"/>
  <c r="X153" i="24"/>
  <c r="Y153" i="24"/>
  <c r="Z153" i="24"/>
  <c r="AA153" i="24"/>
  <c r="AB153" i="24"/>
  <c r="AC153" i="24"/>
  <c r="AD153" i="24"/>
  <c r="AE153" i="24"/>
  <c r="AF153" i="24"/>
  <c r="AG153" i="24"/>
  <c r="AH153" i="24"/>
  <c r="AI153" i="24"/>
  <c r="AJ153" i="24"/>
  <c r="AK153" i="24"/>
  <c r="AL153" i="24"/>
  <c r="AM153" i="24"/>
  <c r="AN153" i="24"/>
  <c r="AO153" i="24"/>
  <c r="AP153" i="24"/>
  <c r="AQ153" i="24"/>
  <c r="AR153" i="24"/>
  <c r="AS153" i="24"/>
  <c r="AT153" i="24"/>
  <c r="AU153" i="24"/>
  <c r="AV153" i="24"/>
  <c r="AW153" i="24"/>
  <c r="AX153" i="24"/>
  <c r="AY153" i="24"/>
  <c r="AZ153" i="24"/>
  <c r="BA153" i="24"/>
  <c r="BB153" i="24"/>
  <c r="BC153" i="24"/>
  <c r="BD153" i="24"/>
  <c r="BE153" i="24"/>
  <c r="BF153" i="24"/>
  <c r="G143" i="24"/>
  <c r="H143" i="24"/>
  <c r="I143" i="24"/>
  <c r="J143" i="24"/>
  <c r="K143" i="24"/>
  <c r="L143" i="24"/>
  <c r="M143" i="24"/>
  <c r="N143" i="24"/>
  <c r="O143" i="24"/>
  <c r="P143" i="24"/>
  <c r="Q143" i="24"/>
  <c r="R143" i="24"/>
  <c r="S143" i="24"/>
  <c r="T143" i="24"/>
  <c r="U143" i="24"/>
  <c r="V143" i="24"/>
  <c r="W143" i="24"/>
  <c r="X143" i="24"/>
  <c r="Y143" i="24"/>
  <c r="Z143" i="24"/>
  <c r="AA143" i="24"/>
  <c r="AB143" i="24"/>
  <c r="AC143" i="24"/>
  <c r="AD143" i="24"/>
  <c r="AE143" i="24"/>
  <c r="AF143" i="24"/>
  <c r="AG143" i="24"/>
  <c r="AH143" i="24"/>
  <c r="AI143" i="24"/>
  <c r="AJ143" i="24"/>
  <c r="AK143" i="24"/>
  <c r="AL143" i="24"/>
  <c r="AM143" i="24"/>
  <c r="AN143" i="24"/>
  <c r="AO143" i="24"/>
  <c r="AP143" i="24"/>
  <c r="AQ143" i="24"/>
  <c r="AR143" i="24"/>
  <c r="AS143" i="24"/>
  <c r="AT143" i="24"/>
  <c r="AU143" i="24"/>
  <c r="AV143" i="24"/>
  <c r="AW143" i="24"/>
  <c r="AX143" i="24"/>
  <c r="AY143" i="24"/>
  <c r="AZ143" i="24"/>
  <c r="BA143" i="24"/>
  <c r="BB143" i="24"/>
  <c r="BC143" i="24"/>
  <c r="BD143" i="24"/>
  <c r="BE143" i="24"/>
  <c r="BF143" i="24"/>
  <c r="G133" i="24"/>
  <c r="H133" i="24"/>
  <c r="I133" i="24"/>
  <c r="J133" i="24"/>
  <c r="K133" i="24"/>
  <c r="L133" i="24"/>
  <c r="M133" i="24"/>
  <c r="N133" i="24"/>
  <c r="O133" i="24"/>
  <c r="P133" i="24"/>
  <c r="Q133" i="24"/>
  <c r="R133" i="24"/>
  <c r="S133" i="24"/>
  <c r="T133" i="24"/>
  <c r="U133" i="24"/>
  <c r="V133" i="24"/>
  <c r="W133" i="24"/>
  <c r="X133" i="24"/>
  <c r="Y133" i="24"/>
  <c r="Z133" i="24"/>
  <c r="AA133" i="24"/>
  <c r="AB133" i="24"/>
  <c r="AC133" i="24"/>
  <c r="AD133" i="24"/>
  <c r="AE133" i="24"/>
  <c r="AF133" i="24"/>
  <c r="AG133" i="24"/>
  <c r="AH133" i="24"/>
  <c r="AI133" i="24"/>
  <c r="AJ133" i="24"/>
  <c r="AK133" i="24"/>
  <c r="AL133" i="24"/>
  <c r="AM133" i="24"/>
  <c r="AN133" i="24"/>
  <c r="AO133" i="24"/>
  <c r="AP133" i="24"/>
  <c r="AQ133" i="24"/>
  <c r="AR133" i="24"/>
  <c r="AS133" i="24"/>
  <c r="AT133" i="24"/>
  <c r="AU133" i="24"/>
  <c r="AV133" i="24"/>
  <c r="AW133" i="24"/>
  <c r="AX133" i="24"/>
  <c r="AY133" i="24"/>
  <c r="AZ133" i="24"/>
  <c r="BA133" i="24"/>
  <c r="BB133" i="24"/>
  <c r="BC133" i="24"/>
  <c r="BD133" i="24"/>
  <c r="BE133" i="24"/>
  <c r="BF133" i="24"/>
  <c r="G123" i="24"/>
  <c r="H123" i="24"/>
  <c r="E21" i="77" s="1"/>
  <c r="I123" i="24"/>
  <c r="F21" i="77" s="1"/>
  <c r="J123" i="24"/>
  <c r="G21" i="77" s="1"/>
  <c r="K123" i="24"/>
  <c r="H21" i="77" s="1"/>
  <c r="L123" i="24"/>
  <c r="I21" i="77" s="1"/>
  <c r="M123" i="24"/>
  <c r="J21" i="77" s="1"/>
  <c r="N123" i="24"/>
  <c r="K21" i="77" s="1"/>
  <c r="O123" i="24"/>
  <c r="L21" i="77" s="1"/>
  <c r="P123" i="24"/>
  <c r="M21" i="77" s="1"/>
  <c r="Q123" i="24"/>
  <c r="N21" i="77" s="1"/>
  <c r="R123" i="24"/>
  <c r="O21" i="77" s="1"/>
  <c r="S123" i="24"/>
  <c r="P21" i="77" s="1"/>
  <c r="T123" i="24"/>
  <c r="Q21" i="77" s="1"/>
  <c r="U123" i="24"/>
  <c r="R21" i="77" s="1"/>
  <c r="V123" i="24"/>
  <c r="S21" i="77" s="1"/>
  <c r="W123" i="24"/>
  <c r="T21" i="77" s="1"/>
  <c r="X123" i="24"/>
  <c r="U21" i="77" s="1"/>
  <c r="Y123" i="24"/>
  <c r="Z123" i="24"/>
  <c r="W21" i="77" s="1"/>
  <c r="AA123" i="24"/>
  <c r="X21" i="77" s="1"/>
  <c r="AB123" i="24"/>
  <c r="Y21" i="77" s="1"/>
  <c r="AC123" i="24"/>
  <c r="Z21" i="77" s="1"/>
  <c r="AD123" i="24"/>
  <c r="AA21" i="77" s="1"/>
  <c r="AE123" i="24"/>
  <c r="AB21" i="77" s="1"/>
  <c r="AF123" i="24"/>
  <c r="AC21" i="77" s="1"/>
  <c r="AG123" i="24"/>
  <c r="AH123" i="24"/>
  <c r="AI123" i="24"/>
  <c r="AJ123" i="24"/>
  <c r="AK123" i="24"/>
  <c r="AL123" i="24"/>
  <c r="AM123" i="24"/>
  <c r="AN123" i="24"/>
  <c r="AO123" i="24"/>
  <c r="AP123" i="24"/>
  <c r="AQ123" i="24"/>
  <c r="AR123" i="24"/>
  <c r="AS123" i="24"/>
  <c r="AT123" i="24"/>
  <c r="AU123" i="24"/>
  <c r="AV123" i="24"/>
  <c r="AW123" i="24"/>
  <c r="AX123" i="24"/>
  <c r="AY123" i="24"/>
  <c r="AZ123" i="24"/>
  <c r="BA123" i="24"/>
  <c r="BB123" i="24"/>
  <c r="BC123" i="24"/>
  <c r="BD123" i="24"/>
  <c r="BE123" i="24"/>
  <c r="BF123" i="24"/>
  <c r="G108" i="24"/>
  <c r="H108" i="24"/>
  <c r="I108" i="24"/>
  <c r="J108" i="24"/>
  <c r="K108" i="24"/>
  <c r="L108" i="24"/>
  <c r="M108" i="24"/>
  <c r="N108" i="24"/>
  <c r="O108" i="24"/>
  <c r="P108" i="24"/>
  <c r="Q108" i="24"/>
  <c r="R108" i="24"/>
  <c r="S108" i="24"/>
  <c r="T108" i="24"/>
  <c r="U108" i="24"/>
  <c r="V108" i="24"/>
  <c r="W108" i="24"/>
  <c r="X108" i="24"/>
  <c r="Y108" i="24"/>
  <c r="Z108" i="24"/>
  <c r="AA108" i="24"/>
  <c r="AB108" i="24"/>
  <c r="AC108" i="24"/>
  <c r="AD108" i="24"/>
  <c r="AE108" i="24"/>
  <c r="AF108" i="24"/>
  <c r="AG108" i="24"/>
  <c r="AH108" i="24"/>
  <c r="AI108" i="24"/>
  <c r="AJ108" i="24"/>
  <c r="AK108" i="24"/>
  <c r="AL108" i="24"/>
  <c r="AM108" i="24"/>
  <c r="AN108" i="24"/>
  <c r="AO108" i="24"/>
  <c r="AP108" i="24"/>
  <c r="AQ108" i="24"/>
  <c r="AR108" i="24"/>
  <c r="AS108" i="24"/>
  <c r="AT108" i="24"/>
  <c r="AU108" i="24"/>
  <c r="AV108" i="24"/>
  <c r="AW108" i="24"/>
  <c r="AX108" i="24"/>
  <c r="AY108" i="24"/>
  <c r="AZ108" i="24"/>
  <c r="BA108" i="24"/>
  <c r="BB108" i="24"/>
  <c r="BC108" i="24"/>
  <c r="BD108" i="24"/>
  <c r="BE108" i="24"/>
  <c r="BF108" i="24"/>
  <c r="G97" i="24"/>
  <c r="H97" i="24"/>
  <c r="I97" i="24"/>
  <c r="J97" i="24"/>
  <c r="K97" i="24"/>
  <c r="L97" i="24"/>
  <c r="M97" i="24"/>
  <c r="N97" i="24"/>
  <c r="O97" i="24"/>
  <c r="P97" i="24"/>
  <c r="Q97" i="24"/>
  <c r="R97" i="24"/>
  <c r="S97" i="24"/>
  <c r="T97" i="24"/>
  <c r="U97" i="24"/>
  <c r="V97" i="24"/>
  <c r="W97" i="24"/>
  <c r="X97" i="24"/>
  <c r="Y97" i="24"/>
  <c r="Z97" i="24"/>
  <c r="AA97" i="24"/>
  <c r="AB97" i="24"/>
  <c r="AC97" i="24"/>
  <c r="AD97" i="24"/>
  <c r="AE97" i="24"/>
  <c r="AF97" i="24"/>
  <c r="AG97" i="24"/>
  <c r="AH97" i="24"/>
  <c r="AI97" i="24"/>
  <c r="AJ97" i="24"/>
  <c r="AK97" i="24"/>
  <c r="AL97" i="24"/>
  <c r="AM97" i="24"/>
  <c r="AN97" i="24"/>
  <c r="AO97" i="24"/>
  <c r="AP97" i="24"/>
  <c r="AQ97" i="24"/>
  <c r="AR97" i="24"/>
  <c r="AS97" i="24"/>
  <c r="AT97" i="24"/>
  <c r="AU97" i="24"/>
  <c r="AV97" i="24"/>
  <c r="AW97" i="24"/>
  <c r="AX97" i="24"/>
  <c r="AY97" i="24"/>
  <c r="AZ97" i="24"/>
  <c r="BA97" i="24"/>
  <c r="BB97" i="24"/>
  <c r="BC97" i="24"/>
  <c r="BD97" i="24"/>
  <c r="BE97" i="24"/>
  <c r="BF97" i="24"/>
  <c r="G86" i="24"/>
  <c r="H86" i="24"/>
  <c r="I86" i="24"/>
  <c r="J86" i="24"/>
  <c r="K86" i="24"/>
  <c r="L86" i="24"/>
  <c r="M86" i="24"/>
  <c r="N86" i="24"/>
  <c r="O86" i="24"/>
  <c r="P86" i="24"/>
  <c r="Q86" i="24"/>
  <c r="R86" i="24"/>
  <c r="S86" i="24"/>
  <c r="T86" i="24"/>
  <c r="U86" i="24"/>
  <c r="V86" i="24"/>
  <c r="W86" i="24"/>
  <c r="X86" i="24"/>
  <c r="Y86" i="24"/>
  <c r="Z86" i="24"/>
  <c r="AA86" i="24"/>
  <c r="AB86" i="24"/>
  <c r="AC86" i="24"/>
  <c r="AD86" i="24"/>
  <c r="AE86" i="24"/>
  <c r="AF86" i="24"/>
  <c r="AG86" i="24"/>
  <c r="AH86" i="24"/>
  <c r="AI86" i="24"/>
  <c r="AJ86" i="24"/>
  <c r="AK86" i="24"/>
  <c r="AL86" i="24"/>
  <c r="AM86" i="24"/>
  <c r="AN86" i="24"/>
  <c r="AO86" i="24"/>
  <c r="AP86" i="24"/>
  <c r="AQ86" i="24"/>
  <c r="AR86" i="24"/>
  <c r="AS86" i="24"/>
  <c r="AT86" i="24"/>
  <c r="AU86" i="24"/>
  <c r="AV86" i="24"/>
  <c r="AW86" i="24"/>
  <c r="AX86" i="24"/>
  <c r="AY86" i="24"/>
  <c r="AZ86" i="24"/>
  <c r="BA86" i="24"/>
  <c r="BB86" i="24"/>
  <c r="BC86" i="24"/>
  <c r="BD86" i="24"/>
  <c r="BE86" i="24"/>
  <c r="BF86" i="24"/>
  <c r="BH80" i="24"/>
  <c r="G69" i="24"/>
  <c r="H69" i="24"/>
  <c r="I69" i="24"/>
  <c r="J69" i="24"/>
  <c r="K69" i="24"/>
  <c r="L69" i="24"/>
  <c r="M69" i="24"/>
  <c r="N69" i="24"/>
  <c r="O69" i="24"/>
  <c r="P69" i="24"/>
  <c r="Q69" i="24"/>
  <c r="R69" i="24"/>
  <c r="S69" i="24"/>
  <c r="T69" i="24"/>
  <c r="U69" i="24"/>
  <c r="V69" i="24"/>
  <c r="W69" i="24"/>
  <c r="X69" i="24"/>
  <c r="Y69" i="24"/>
  <c r="Z69" i="24"/>
  <c r="AA69" i="24"/>
  <c r="AB69" i="24"/>
  <c r="AC69" i="24"/>
  <c r="AD69" i="24"/>
  <c r="AE69" i="24"/>
  <c r="AF69" i="24"/>
  <c r="AG69" i="24"/>
  <c r="AH69" i="24"/>
  <c r="AI69" i="24"/>
  <c r="AJ69" i="24"/>
  <c r="AK69" i="24"/>
  <c r="AL69" i="24"/>
  <c r="AM69" i="24"/>
  <c r="AN69" i="24"/>
  <c r="AO69" i="24"/>
  <c r="AP69" i="24"/>
  <c r="AQ69" i="24"/>
  <c r="AR69" i="24"/>
  <c r="AS69" i="24"/>
  <c r="AT69" i="24"/>
  <c r="AU69" i="24"/>
  <c r="AV69" i="24"/>
  <c r="AW69" i="24"/>
  <c r="AX69" i="24"/>
  <c r="AY69" i="24"/>
  <c r="AZ69" i="24"/>
  <c r="BA69" i="24"/>
  <c r="BB69" i="24"/>
  <c r="BC69" i="24"/>
  <c r="BD69" i="24"/>
  <c r="BE69" i="24"/>
  <c r="BF69" i="24"/>
  <c r="G62" i="24"/>
  <c r="H62" i="24"/>
  <c r="I62" i="24"/>
  <c r="J62" i="24"/>
  <c r="K62" i="24"/>
  <c r="L62" i="24"/>
  <c r="M62" i="24"/>
  <c r="N62" i="24"/>
  <c r="O62" i="24"/>
  <c r="P62" i="24"/>
  <c r="Q62" i="24"/>
  <c r="R62" i="24"/>
  <c r="S62" i="24"/>
  <c r="T62" i="24"/>
  <c r="U62" i="24"/>
  <c r="V62" i="24"/>
  <c r="W62" i="24"/>
  <c r="X62" i="24"/>
  <c r="Y62" i="24"/>
  <c r="Z62" i="24"/>
  <c r="AA62" i="24"/>
  <c r="AB62" i="24"/>
  <c r="AC62" i="24"/>
  <c r="AD62" i="24"/>
  <c r="AE62" i="24"/>
  <c r="AF62" i="24"/>
  <c r="AG62" i="24"/>
  <c r="AH62" i="24"/>
  <c r="AI62" i="24"/>
  <c r="AJ62" i="24"/>
  <c r="AK62" i="24"/>
  <c r="AL62" i="24"/>
  <c r="AM62" i="24"/>
  <c r="AN62" i="24"/>
  <c r="AO62" i="24"/>
  <c r="AP62" i="24"/>
  <c r="AQ62" i="24"/>
  <c r="AR62" i="24"/>
  <c r="AS62" i="24"/>
  <c r="AT62" i="24"/>
  <c r="AU62" i="24"/>
  <c r="AV62" i="24"/>
  <c r="AW62" i="24"/>
  <c r="AX62" i="24"/>
  <c r="AY62" i="24"/>
  <c r="AZ62" i="24"/>
  <c r="BA62" i="24"/>
  <c r="BB62" i="24"/>
  <c r="BC62" i="24"/>
  <c r="BD62" i="24"/>
  <c r="BE62" i="24"/>
  <c r="BF62" i="24"/>
  <c r="G54" i="24"/>
  <c r="H54" i="24"/>
  <c r="I54" i="24"/>
  <c r="J54" i="24"/>
  <c r="K54" i="24"/>
  <c r="L54" i="24"/>
  <c r="M54" i="24"/>
  <c r="N54" i="24"/>
  <c r="O54" i="24"/>
  <c r="P54" i="24"/>
  <c r="Q54" i="24"/>
  <c r="R54" i="24"/>
  <c r="S54" i="24"/>
  <c r="T54" i="24"/>
  <c r="U54" i="24"/>
  <c r="V54" i="24"/>
  <c r="W54" i="24"/>
  <c r="X54" i="24"/>
  <c r="Y54" i="24"/>
  <c r="Z54" i="24"/>
  <c r="AA54" i="24"/>
  <c r="AB54" i="24"/>
  <c r="AC54" i="24"/>
  <c r="AD54" i="24"/>
  <c r="AE54" i="24"/>
  <c r="AF54" i="24"/>
  <c r="AG54" i="24"/>
  <c r="AH54" i="24"/>
  <c r="AI54" i="24"/>
  <c r="AJ54" i="24"/>
  <c r="AK54" i="24"/>
  <c r="AL54" i="24"/>
  <c r="AM54" i="24"/>
  <c r="AN54" i="24"/>
  <c r="AO54" i="24"/>
  <c r="AP54" i="24"/>
  <c r="AQ54" i="24"/>
  <c r="AR54" i="24"/>
  <c r="AS54" i="24"/>
  <c r="AT54" i="24"/>
  <c r="AU54" i="24"/>
  <c r="AV54" i="24"/>
  <c r="AW54" i="24"/>
  <c r="AX54" i="24"/>
  <c r="AY54" i="24"/>
  <c r="AZ54" i="24"/>
  <c r="BA54" i="24"/>
  <c r="BB54" i="24"/>
  <c r="BC54" i="24"/>
  <c r="BD54" i="24"/>
  <c r="BE54" i="24"/>
  <c r="BF54" i="24"/>
  <c r="G48" i="24"/>
  <c r="H48" i="24"/>
  <c r="J48" i="24"/>
  <c r="K48" i="24"/>
  <c r="L48" i="24"/>
  <c r="M48" i="24"/>
  <c r="N48" i="24"/>
  <c r="O48" i="24"/>
  <c r="P48" i="24"/>
  <c r="Q48" i="24"/>
  <c r="R48" i="24"/>
  <c r="S48" i="24"/>
  <c r="T48" i="24"/>
  <c r="U48" i="24"/>
  <c r="V48" i="24"/>
  <c r="W48" i="24"/>
  <c r="X48" i="24"/>
  <c r="Y48" i="24"/>
  <c r="Z48" i="24"/>
  <c r="AA48" i="24"/>
  <c r="AB48" i="24"/>
  <c r="AC48" i="24"/>
  <c r="AD48" i="24"/>
  <c r="AF48" i="24"/>
  <c r="AG48" i="24"/>
  <c r="AH48" i="24"/>
  <c r="AI48" i="24"/>
  <c r="AJ48" i="24"/>
  <c r="AK48" i="24"/>
  <c r="AL48" i="24"/>
  <c r="AM48" i="24"/>
  <c r="AN48" i="24"/>
  <c r="AO48" i="24"/>
  <c r="AP48" i="24"/>
  <c r="AQ48" i="24"/>
  <c r="AR48" i="24"/>
  <c r="AS48" i="24"/>
  <c r="AT48" i="24"/>
  <c r="AU48" i="24"/>
  <c r="AV48" i="24"/>
  <c r="AW48" i="24"/>
  <c r="AX48" i="24"/>
  <c r="AY48" i="24"/>
  <c r="AZ48" i="24"/>
  <c r="BA48" i="24"/>
  <c r="BB48" i="24"/>
  <c r="BC48" i="24"/>
  <c r="BD48" i="24"/>
  <c r="BE48" i="24"/>
  <c r="BF48" i="24"/>
  <c r="G41" i="24"/>
  <c r="I41" i="24"/>
  <c r="J41" i="24"/>
  <c r="K41" i="24"/>
  <c r="L41" i="24"/>
  <c r="M41" i="24"/>
  <c r="N41" i="24"/>
  <c r="O41" i="24"/>
  <c r="P41" i="24"/>
  <c r="Q41" i="24"/>
  <c r="R41" i="24"/>
  <c r="S41" i="24"/>
  <c r="T41" i="24"/>
  <c r="U41" i="24"/>
  <c r="V41" i="24"/>
  <c r="W41" i="24"/>
  <c r="X41" i="24"/>
  <c r="Y41" i="24"/>
  <c r="Z41" i="24"/>
  <c r="AA41" i="24"/>
  <c r="AB41" i="24"/>
  <c r="AC41" i="24"/>
  <c r="AD41" i="24"/>
  <c r="AE41" i="24"/>
  <c r="AF41" i="24"/>
  <c r="AG41" i="24"/>
  <c r="AH41" i="24"/>
  <c r="AI41" i="24"/>
  <c r="AJ41" i="24"/>
  <c r="AK41" i="24"/>
  <c r="AL41" i="24"/>
  <c r="AM41" i="24"/>
  <c r="AN41" i="24"/>
  <c r="AO41" i="24"/>
  <c r="AP41" i="24"/>
  <c r="AQ41" i="24"/>
  <c r="AR41" i="24"/>
  <c r="AS41" i="24"/>
  <c r="AT41" i="24"/>
  <c r="AU41" i="24"/>
  <c r="AV41" i="24"/>
  <c r="AW41" i="24"/>
  <c r="AX41" i="24"/>
  <c r="AY41" i="24"/>
  <c r="AZ41" i="24"/>
  <c r="BA41" i="24"/>
  <c r="BB41" i="24"/>
  <c r="BC41" i="24"/>
  <c r="BD41" i="24"/>
  <c r="BE41" i="24"/>
  <c r="BF41" i="24"/>
  <c r="G31" i="24"/>
  <c r="H31" i="24"/>
  <c r="I31" i="24"/>
  <c r="J31" i="24"/>
  <c r="K31" i="24"/>
  <c r="L31" i="24"/>
  <c r="M31" i="24"/>
  <c r="N31" i="24"/>
  <c r="O31" i="24"/>
  <c r="P31" i="24"/>
  <c r="Q31" i="24"/>
  <c r="R31" i="24"/>
  <c r="S31" i="24"/>
  <c r="T31" i="24"/>
  <c r="U31" i="24"/>
  <c r="V31" i="24"/>
  <c r="W31" i="24"/>
  <c r="X31" i="24"/>
  <c r="Y31" i="24"/>
  <c r="Z31" i="24"/>
  <c r="AA31" i="24"/>
  <c r="AB31" i="24"/>
  <c r="AC31" i="24"/>
  <c r="AD31" i="24"/>
  <c r="AE31" i="24"/>
  <c r="AF31" i="24"/>
  <c r="AG31" i="24"/>
  <c r="AH31" i="24"/>
  <c r="AI31" i="24"/>
  <c r="AJ31" i="24"/>
  <c r="AK31" i="24"/>
  <c r="AL31" i="24"/>
  <c r="AM31" i="24"/>
  <c r="AN31" i="24"/>
  <c r="AO31" i="24"/>
  <c r="AP31" i="24"/>
  <c r="AQ31" i="24"/>
  <c r="AR31" i="24"/>
  <c r="AS31" i="24"/>
  <c r="AT31" i="24"/>
  <c r="AU31" i="24"/>
  <c r="AV31" i="24"/>
  <c r="AW31" i="24"/>
  <c r="AX31" i="24"/>
  <c r="AY31" i="24"/>
  <c r="AZ31" i="24"/>
  <c r="BA31" i="24"/>
  <c r="BB31" i="24"/>
  <c r="BC31" i="24"/>
  <c r="BD31" i="24"/>
  <c r="BE31" i="24"/>
  <c r="BF31" i="24"/>
  <c r="G25" i="24"/>
  <c r="H25" i="24"/>
  <c r="I25" i="24"/>
  <c r="K25" i="24"/>
  <c r="L25" i="24"/>
  <c r="M25" i="24"/>
  <c r="N25" i="24"/>
  <c r="O25" i="24"/>
  <c r="P25" i="24"/>
  <c r="Q25" i="24"/>
  <c r="R25" i="24"/>
  <c r="S25" i="24"/>
  <c r="T25" i="24"/>
  <c r="U25" i="24"/>
  <c r="V25" i="24"/>
  <c r="W25" i="24"/>
  <c r="X25" i="24"/>
  <c r="Y25" i="24"/>
  <c r="Z25" i="24"/>
  <c r="AA25" i="24"/>
  <c r="AB25" i="24"/>
  <c r="AC25" i="24"/>
  <c r="AD25" i="24"/>
  <c r="AE25" i="24"/>
  <c r="AF25" i="24"/>
  <c r="AG25" i="24"/>
  <c r="AH25" i="24"/>
  <c r="AI25" i="24"/>
  <c r="AJ25" i="24"/>
  <c r="AL25" i="24"/>
  <c r="AM25" i="24"/>
  <c r="AN25" i="24"/>
  <c r="AO25" i="24"/>
  <c r="AP25" i="24"/>
  <c r="AQ25" i="24"/>
  <c r="AR25" i="24"/>
  <c r="AS25" i="24"/>
  <c r="AT25" i="24"/>
  <c r="AU25" i="24"/>
  <c r="AV25" i="24"/>
  <c r="AW25" i="24"/>
  <c r="AX25" i="24"/>
  <c r="AY25" i="24"/>
  <c r="AZ25" i="24"/>
  <c r="BA25" i="24"/>
  <c r="BB25" i="24"/>
  <c r="BC25" i="24"/>
  <c r="BD25" i="24"/>
  <c r="BE25" i="24"/>
  <c r="BF25" i="24"/>
  <c r="G15" i="24"/>
  <c r="H15" i="24"/>
  <c r="I15" i="24"/>
  <c r="J15" i="24"/>
  <c r="K15" i="24"/>
  <c r="L15" i="24"/>
  <c r="N15" i="24"/>
  <c r="O15" i="24"/>
  <c r="P15" i="24"/>
  <c r="Q15" i="24"/>
  <c r="R15" i="24"/>
  <c r="S15" i="24"/>
  <c r="T15" i="24"/>
  <c r="U15" i="24"/>
  <c r="V15" i="24"/>
  <c r="W15" i="24"/>
  <c r="X15" i="24"/>
  <c r="Y15" i="24"/>
  <c r="Z15" i="24"/>
  <c r="AA15" i="24"/>
  <c r="AB15" i="24"/>
  <c r="AC15" i="24"/>
  <c r="AD15" i="24"/>
  <c r="AE15" i="24"/>
  <c r="AF15" i="24"/>
  <c r="AG15" i="24"/>
  <c r="AH15" i="24"/>
  <c r="AI15" i="24"/>
  <c r="AJ15" i="24"/>
  <c r="AK15" i="24"/>
  <c r="AL15" i="24"/>
  <c r="AM15" i="24"/>
  <c r="AN15" i="24"/>
  <c r="AO15" i="24"/>
  <c r="AP15" i="24"/>
  <c r="AQ15" i="24"/>
  <c r="AR15" i="24"/>
  <c r="AS15" i="24"/>
  <c r="AT15" i="24"/>
  <c r="AU15" i="24"/>
  <c r="AV15" i="24"/>
  <c r="AW15" i="24"/>
  <c r="AX15" i="24"/>
  <c r="AY15" i="24"/>
  <c r="AZ15" i="24"/>
  <c r="BA15" i="24"/>
  <c r="BB15" i="24"/>
  <c r="BC15" i="24"/>
  <c r="BD15" i="24"/>
  <c r="BE15" i="24"/>
  <c r="BF15"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AH7" i="24"/>
  <c r="AI7" i="24"/>
  <c r="AJ7" i="24"/>
  <c r="AK7" i="24"/>
  <c r="AL7" i="24"/>
  <c r="AM7" i="24"/>
  <c r="AN7" i="24"/>
  <c r="AO7" i="24"/>
  <c r="AP7" i="24"/>
  <c r="AQ7" i="24"/>
  <c r="AR7" i="24"/>
  <c r="AS7" i="24"/>
  <c r="AT7" i="24"/>
  <c r="AU7" i="24"/>
  <c r="AV7" i="24"/>
  <c r="AW7" i="24"/>
  <c r="AX7" i="24"/>
  <c r="AY7" i="24"/>
  <c r="AZ7" i="24"/>
  <c r="BA7" i="24"/>
  <c r="BB7" i="24"/>
  <c r="BC7" i="24"/>
  <c r="BD7" i="24"/>
  <c r="BE7" i="24"/>
  <c r="BF7" i="24"/>
  <c r="F216" i="24"/>
  <c r="F213" i="24"/>
  <c r="F210" i="24"/>
  <c r="F207" i="24"/>
  <c r="F204" i="24"/>
  <c r="F201" i="24"/>
  <c r="F198" i="24"/>
  <c r="F194" i="24"/>
  <c r="F191" i="24"/>
  <c r="F184" i="24"/>
  <c r="F173" i="24"/>
  <c r="F165" i="24"/>
  <c r="F153" i="24"/>
  <c r="F143" i="24"/>
  <c r="F133" i="24"/>
  <c r="F123" i="24"/>
  <c r="F108" i="24"/>
  <c r="F97" i="24"/>
  <c r="F86" i="24"/>
  <c r="F69" i="24"/>
  <c r="F62" i="24"/>
  <c r="F54" i="24"/>
  <c r="F48" i="24"/>
  <c r="F41" i="24"/>
  <c r="F31" i="24"/>
  <c r="F25" i="24"/>
  <c r="F15" i="24"/>
  <c r="F7" i="24"/>
  <c r="Q190" i="24" l="1"/>
  <c r="G190" i="24"/>
  <c r="K190" i="24"/>
  <c r="BH222" i="24"/>
  <c r="BK217" i="24"/>
  <c r="AO190" i="24"/>
  <c r="AE190" i="24"/>
  <c r="AC190" i="24"/>
  <c r="AA190" i="24"/>
  <c r="W190" i="24"/>
  <c r="C25" i="26"/>
  <c r="C49" i="26"/>
  <c r="BB5" i="24"/>
  <c r="I190" i="24"/>
  <c r="BE190" i="24"/>
  <c r="BC190" i="24"/>
  <c r="AA122" i="24"/>
  <c r="G6" i="24"/>
  <c r="BB6" i="24"/>
  <c r="BC5" i="24"/>
  <c r="AA6" i="24"/>
  <c r="X8" i="32" s="1"/>
  <c r="J121" i="24"/>
  <c r="L122" i="24"/>
  <c r="BA190" i="24"/>
  <c r="BA5" i="24"/>
  <c r="AZ121" i="24"/>
  <c r="BD6" i="24"/>
  <c r="AZ6" i="24"/>
  <c r="P6" i="24"/>
  <c r="N6" i="24"/>
  <c r="AA121" i="24"/>
  <c r="M122" i="24"/>
  <c r="AY190" i="24"/>
  <c r="AY5" i="24"/>
  <c r="P5" i="24"/>
  <c r="AY68" i="24"/>
  <c r="P121" i="24"/>
  <c r="G121" i="24"/>
  <c r="N122" i="24"/>
  <c r="K10" i="32" s="1"/>
  <c r="H122" i="24"/>
  <c r="BD5" i="24"/>
  <c r="AZ5" i="24"/>
  <c r="BC68" i="24"/>
  <c r="BA68" i="24"/>
  <c r="BD121" i="24"/>
  <c r="N121" i="24"/>
  <c r="H121" i="24"/>
  <c r="BB122" i="24"/>
  <c r="AY10" i="32" s="1"/>
  <c r="P122" i="24"/>
  <c r="J122" i="24"/>
  <c r="G122" i="24"/>
  <c r="D21" i="77"/>
  <c r="BF190" i="24"/>
  <c r="BD190" i="24"/>
  <c r="BB190" i="24"/>
  <c r="AZ190" i="24"/>
  <c r="AV190" i="24"/>
  <c r="AL190" i="24"/>
  <c r="AH190" i="24"/>
  <c r="X190" i="24"/>
  <c r="T190" i="24"/>
  <c r="R190" i="24"/>
  <c r="P190" i="24"/>
  <c r="N190" i="24"/>
  <c r="L190" i="24"/>
  <c r="J190" i="24"/>
  <c r="H190" i="24"/>
  <c r="BC6" i="24"/>
  <c r="BA6" i="24"/>
  <c r="AY6" i="24"/>
  <c r="BD68" i="24"/>
  <c r="BB68" i="24"/>
  <c r="AZ68" i="24"/>
  <c r="P68" i="24"/>
  <c r="BB121" i="24"/>
  <c r="BD122" i="24"/>
  <c r="AZ122" i="24"/>
  <c r="AW190" i="24"/>
  <c r="AW121" i="24"/>
  <c r="AW6" i="24"/>
  <c r="AU68" i="24"/>
  <c r="AU122" i="24"/>
  <c r="AU190" i="24"/>
  <c r="AU5" i="24"/>
  <c r="BE122" i="24"/>
  <c r="BC122" i="24"/>
  <c r="BA122" i="24"/>
  <c r="AY122" i="24"/>
  <c r="AV10" i="32" s="1"/>
  <c r="AW5" i="24"/>
  <c r="AU6" i="24"/>
  <c r="C21" i="77"/>
  <c r="C21" i="78" s="1"/>
  <c r="C22" i="78" s="1"/>
  <c r="AD12" i="77"/>
  <c r="AD16" i="77"/>
  <c r="AD14" i="77"/>
  <c r="V21" i="77"/>
  <c r="C16" i="32"/>
  <c r="X10" i="32"/>
  <c r="BC12" i="32"/>
  <c r="BA12" i="32"/>
  <c r="AY12" i="32"/>
  <c r="AW12" i="32"/>
  <c r="AU12" i="32"/>
  <c r="AS12" i="32"/>
  <c r="AQ12" i="32"/>
  <c r="AO12" i="32"/>
  <c r="AM12" i="32"/>
  <c r="AI12" i="32"/>
  <c r="AG12" i="32"/>
  <c r="AE12" i="32"/>
  <c r="AC12" i="32"/>
  <c r="AA12" i="32"/>
  <c r="Y12" i="32"/>
  <c r="W12" i="32"/>
  <c r="U12" i="32"/>
  <c r="S12" i="32"/>
  <c r="Q12" i="32"/>
  <c r="O12" i="32"/>
  <c r="M12" i="32"/>
  <c r="K12" i="32"/>
  <c r="I12" i="32"/>
  <c r="G12" i="32"/>
  <c r="E12" i="32"/>
  <c r="BC14" i="32"/>
  <c r="BA14" i="32"/>
  <c r="AY14" i="32"/>
  <c r="AW14" i="32"/>
  <c r="AU14" i="32"/>
  <c r="AS14" i="32"/>
  <c r="AQ14" i="32"/>
  <c r="AO14" i="32"/>
  <c r="AM14" i="32"/>
  <c r="AI14" i="32"/>
  <c r="AG14" i="32"/>
  <c r="AE14" i="32"/>
  <c r="AC14" i="32"/>
  <c r="AA14" i="32"/>
  <c r="Y14" i="32"/>
  <c r="W14" i="32"/>
  <c r="U14" i="32"/>
  <c r="S14" i="32"/>
  <c r="Q14" i="32"/>
  <c r="O14" i="32"/>
  <c r="M14" i="32"/>
  <c r="K14" i="32"/>
  <c r="I14" i="32"/>
  <c r="G14" i="32"/>
  <c r="E14" i="32"/>
  <c r="BC16" i="32"/>
  <c r="BA16" i="32"/>
  <c r="AY16" i="32"/>
  <c r="AW16" i="32"/>
  <c r="AU16" i="32"/>
  <c r="AS16" i="32"/>
  <c r="AQ16" i="32"/>
  <c r="AO16" i="32"/>
  <c r="AM16" i="32"/>
  <c r="AI16" i="32"/>
  <c r="AG16" i="32"/>
  <c r="AE16" i="32"/>
  <c r="AC16" i="32"/>
  <c r="AA16" i="32"/>
  <c r="Y16" i="32"/>
  <c r="W16" i="32"/>
  <c r="U16" i="32"/>
  <c r="S16" i="32"/>
  <c r="Q16" i="32"/>
  <c r="O16" i="32"/>
  <c r="M16" i="32"/>
  <c r="K16" i="32"/>
  <c r="I16" i="32"/>
  <c r="G16" i="32"/>
  <c r="D16" i="32"/>
  <c r="C12" i="32"/>
  <c r="C14" i="32"/>
  <c r="AY8" i="32"/>
  <c r="D23" i="65"/>
  <c r="BB12" i="32"/>
  <c r="AZ12" i="32"/>
  <c r="AX12" i="32"/>
  <c r="AV12" i="32"/>
  <c r="AT12" i="32"/>
  <c r="AR12" i="32"/>
  <c r="AP12" i="32"/>
  <c r="AN12" i="32"/>
  <c r="AL12" i="32"/>
  <c r="AJ12" i="32"/>
  <c r="AH12" i="32"/>
  <c r="AF12" i="32"/>
  <c r="AD12" i="32"/>
  <c r="AB12" i="32"/>
  <c r="Z12" i="32"/>
  <c r="X12" i="32"/>
  <c r="V12" i="32"/>
  <c r="T12" i="32"/>
  <c r="R12" i="32"/>
  <c r="P12" i="32"/>
  <c r="N12" i="32"/>
  <c r="L12" i="32"/>
  <c r="J12" i="32"/>
  <c r="H12" i="32"/>
  <c r="F12" i="32"/>
  <c r="D12" i="32"/>
  <c r="BB14" i="32"/>
  <c r="AZ14" i="32"/>
  <c r="AX14" i="32"/>
  <c r="AV14" i="32"/>
  <c r="AT14" i="32"/>
  <c r="AR14" i="32"/>
  <c r="AP14" i="32"/>
  <c r="AN14" i="32"/>
  <c r="AL14" i="32"/>
  <c r="AJ14" i="32"/>
  <c r="AH14" i="32"/>
  <c r="AF14" i="32"/>
  <c r="AD14" i="32"/>
  <c r="AB14" i="32"/>
  <c r="Z14" i="32"/>
  <c r="X14" i="32"/>
  <c r="V14" i="32"/>
  <c r="T14" i="32"/>
  <c r="R14" i="32"/>
  <c r="P14" i="32"/>
  <c r="N14" i="32"/>
  <c r="L14" i="32"/>
  <c r="J14" i="32"/>
  <c r="H14" i="32"/>
  <c r="F14" i="32"/>
  <c r="D14" i="32"/>
  <c r="BB16" i="32"/>
  <c r="AZ16" i="32"/>
  <c r="AX16" i="32"/>
  <c r="AV16" i="32"/>
  <c r="AT16" i="32"/>
  <c r="AR16" i="32"/>
  <c r="AP16" i="32"/>
  <c r="AN16" i="32"/>
  <c r="AL16" i="32"/>
  <c r="AJ16" i="32"/>
  <c r="AH16" i="32"/>
  <c r="AF16" i="32"/>
  <c r="AD16" i="32"/>
  <c r="AB16" i="32"/>
  <c r="Z16" i="32"/>
  <c r="X16" i="32"/>
  <c r="V16" i="32"/>
  <c r="T16" i="32"/>
  <c r="R16" i="32"/>
  <c r="P16" i="32"/>
  <c r="N16" i="32"/>
  <c r="L16" i="32"/>
  <c r="J16" i="32"/>
  <c r="H16" i="32"/>
  <c r="E16" i="32"/>
  <c r="AN190" i="24"/>
  <c r="AN122" i="24"/>
  <c r="AK16" i="32"/>
  <c r="AK14" i="32"/>
  <c r="AN121" i="24"/>
  <c r="AK10" i="32"/>
  <c r="AK12" i="32"/>
  <c r="AN68" i="24"/>
  <c r="AN6" i="24"/>
  <c r="AN5" i="24"/>
  <c r="AK8" i="32"/>
  <c r="AM122" i="24"/>
  <c r="BF168" i="23"/>
  <c r="AW68" i="24"/>
  <c r="AM68" i="24"/>
  <c r="AE68" i="24"/>
  <c r="AC68" i="24"/>
  <c r="U68" i="24"/>
  <c r="S68" i="24"/>
  <c r="O68" i="24"/>
  <c r="K68" i="24"/>
  <c r="G68" i="24"/>
  <c r="BH168" i="23"/>
  <c r="AM190" i="24"/>
  <c r="AM121" i="24"/>
  <c r="AM5" i="24"/>
  <c r="AM6" i="24"/>
  <c r="F190" i="24"/>
  <c r="Q68" i="24"/>
  <c r="AX68" i="24"/>
  <c r="AV68" i="24"/>
  <c r="AT68" i="24"/>
  <c r="AR68" i="24"/>
  <c r="AP68" i="24"/>
  <c r="AH68" i="24"/>
  <c r="AF68" i="24"/>
  <c r="AD68" i="24"/>
  <c r="AB68" i="24"/>
  <c r="Z68" i="24"/>
  <c r="R68" i="24"/>
  <c r="N68" i="24"/>
  <c r="BE121" i="24"/>
  <c r="BC121" i="24"/>
  <c r="BA121" i="24"/>
  <c r="AY121" i="24"/>
  <c r="AU121" i="24"/>
  <c r="AW122" i="24"/>
  <c r="AS122" i="24"/>
  <c r="AQ122" i="24"/>
  <c r="AK122" i="24"/>
  <c r="AI122" i="24"/>
  <c r="AG122" i="24"/>
  <c r="S122" i="24"/>
  <c r="O122" i="24"/>
  <c r="M6" i="24"/>
  <c r="AL122" i="24"/>
  <c r="AJ122" i="24"/>
  <c r="Z122" i="24"/>
  <c r="R122" i="24"/>
  <c r="M190" i="24"/>
  <c r="AT190" i="24"/>
  <c r="AT121" i="24"/>
  <c r="AT122" i="24"/>
  <c r="AT6" i="24"/>
  <c r="AT5" i="24"/>
  <c r="AI190" i="24"/>
  <c r="AI121" i="24"/>
  <c r="AI68" i="24"/>
  <c r="AI6" i="24"/>
  <c r="AI5" i="24"/>
  <c r="AJ190" i="24"/>
  <c r="AJ121" i="24"/>
  <c r="AJ68" i="24"/>
  <c r="AJ6" i="24"/>
  <c r="AJ5" i="24"/>
  <c r="AG190" i="24"/>
  <c r="AG121" i="24"/>
  <c r="AG68" i="24"/>
  <c r="AG6" i="24"/>
  <c r="AG5" i="24"/>
  <c r="AF190" i="24"/>
  <c r="AF121" i="24"/>
  <c r="AF122" i="24"/>
  <c r="AF6" i="24"/>
  <c r="AF5" i="24"/>
  <c r="AD190" i="24"/>
  <c r="AD121" i="24"/>
  <c r="AD122" i="24"/>
  <c r="AD6" i="24"/>
  <c r="AD5" i="24"/>
  <c r="AB190" i="24"/>
  <c r="AB121" i="24"/>
  <c r="AB122" i="24"/>
  <c r="AB6" i="24"/>
  <c r="AB5" i="24"/>
  <c r="Z190" i="24"/>
  <c r="Z121" i="24"/>
  <c r="Z6" i="24"/>
  <c r="Z5" i="24"/>
  <c r="Y190" i="24"/>
  <c r="Y121" i="24"/>
  <c r="Y122" i="24"/>
  <c r="Y68" i="24"/>
  <c r="Y6" i="24"/>
  <c r="Y5" i="24"/>
  <c r="AS190" i="24"/>
  <c r="AS121" i="24"/>
  <c r="AS68" i="24"/>
  <c r="AS6" i="24"/>
  <c r="AS5" i="24"/>
  <c r="AR190" i="24"/>
  <c r="AR121" i="24"/>
  <c r="AR122" i="24"/>
  <c r="AR6" i="24"/>
  <c r="AR5" i="24"/>
  <c r="AQ190" i="24"/>
  <c r="AQ121" i="24"/>
  <c r="AQ68" i="24"/>
  <c r="AQ6" i="24"/>
  <c r="AQ5" i="24"/>
  <c r="AX190" i="24"/>
  <c r="AX121" i="24"/>
  <c r="AX122" i="24"/>
  <c r="AX6" i="24"/>
  <c r="AX5" i="24"/>
  <c r="O190" i="24"/>
  <c r="O121" i="24"/>
  <c r="O6" i="24"/>
  <c r="O5" i="24"/>
  <c r="O226" i="24" s="1"/>
  <c r="U190" i="24"/>
  <c r="U122" i="24"/>
  <c r="U121" i="24"/>
  <c r="U6" i="24"/>
  <c r="U5" i="24"/>
  <c r="U226" i="24" s="1"/>
  <c r="S190" i="24"/>
  <c r="S121" i="24"/>
  <c r="S6" i="24"/>
  <c r="S5" i="24"/>
  <c r="S226" i="24" s="1"/>
  <c r="V190" i="24"/>
  <c r="V121" i="24"/>
  <c r="V122" i="24"/>
  <c r="V68" i="24"/>
  <c r="V6" i="24"/>
  <c r="V5" i="24"/>
  <c r="V226" i="24" s="1"/>
  <c r="M121" i="24"/>
  <c r="AP190" i="24"/>
  <c r="AP121" i="24"/>
  <c r="AP122" i="24"/>
  <c r="AP6" i="24"/>
  <c r="AP5" i="24"/>
  <c r="AK190" i="24"/>
  <c r="BI194" i="24"/>
  <c r="AK121" i="24"/>
  <c r="AK68" i="24"/>
  <c r="AK6" i="24"/>
  <c r="AK5" i="24"/>
  <c r="BI191" i="24"/>
  <c r="AC121" i="24"/>
  <c r="AC122" i="24"/>
  <c r="AC6" i="24"/>
  <c r="AC5" i="24"/>
  <c r="W121" i="24"/>
  <c r="W122" i="24"/>
  <c r="W68" i="24"/>
  <c r="W6" i="24"/>
  <c r="W5" i="24"/>
  <c r="W226" i="24" s="1"/>
  <c r="BI216" i="24"/>
  <c r="BI173" i="24"/>
  <c r="AH121" i="24"/>
  <c r="AH122" i="24"/>
  <c r="BI97" i="24"/>
  <c r="BI48" i="24"/>
  <c r="AH6" i="24"/>
  <c r="BI15" i="24"/>
  <c r="AH5" i="24"/>
  <c r="K121" i="24"/>
  <c r="K122" i="24"/>
  <c r="K6" i="24"/>
  <c r="K5" i="24"/>
  <c r="BF121" i="24"/>
  <c r="BF122" i="24"/>
  <c r="BF68" i="24"/>
  <c r="BF6" i="24"/>
  <c r="BF5" i="24"/>
  <c r="C12" i="52"/>
  <c r="BJ207" i="24"/>
  <c r="AO68" i="24"/>
  <c r="BJ213" i="24"/>
  <c r="AO121" i="24"/>
  <c r="AO122" i="24"/>
  <c r="AO6" i="24"/>
  <c r="AO5" i="24"/>
  <c r="BJ210" i="24"/>
  <c r="AV121" i="24"/>
  <c r="AV122" i="24"/>
  <c r="AV6" i="24"/>
  <c r="AV5" i="24"/>
  <c r="T121" i="24"/>
  <c r="T122" i="24"/>
  <c r="T68" i="24"/>
  <c r="T6" i="24"/>
  <c r="T5" i="24"/>
  <c r="X121" i="24"/>
  <c r="X122" i="24"/>
  <c r="X68" i="24"/>
  <c r="X6" i="24"/>
  <c r="X5" i="24"/>
  <c r="BI213" i="24"/>
  <c r="BI210" i="24"/>
  <c r="BI207" i="24"/>
  <c r="BI201" i="24"/>
  <c r="BI198" i="24"/>
  <c r="BI184" i="24"/>
  <c r="BI153" i="24"/>
  <c r="BI143" i="24"/>
  <c r="AE121" i="24"/>
  <c r="AE122" i="24"/>
  <c r="BI108" i="24"/>
  <c r="BI86" i="24"/>
  <c r="BI69" i="24"/>
  <c r="BI62" i="24"/>
  <c r="BI54" i="24"/>
  <c r="BI41" i="24"/>
  <c r="BI31" i="24"/>
  <c r="BI25" i="24"/>
  <c r="AE6" i="24"/>
  <c r="AE5" i="24"/>
  <c r="BI7" i="24"/>
  <c r="R121" i="24"/>
  <c r="R6" i="24"/>
  <c r="R5" i="24"/>
  <c r="I122" i="24"/>
  <c r="I68" i="24"/>
  <c r="BJ204" i="24"/>
  <c r="BJ201" i="24"/>
  <c r="AL121" i="24"/>
  <c r="BJ108" i="24"/>
  <c r="BJ97" i="24"/>
  <c r="AL68" i="24"/>
  <c r="BJ86" i="24"/>
  <c r="AL6" i="24"/>
  <c r="AL5" i="24"/>
  <c r="Q121" i="24"/>
  <c r="Q122" i="24"/>
  <c r="Q6" i="24"/>
  <c r="Q5" i="24"/>
  <c r="I121" i="24"/>
  <c r="I6" i="24"/>
  <c r="I5" i="24"/>
  <c r="L121" i="24"/>
  <c r="L68" i="24"/>
  <c r="L6" i="24"/>
  <c r="L5" i="24"/>
  <c r="H68" i="24"/>
  <c r="H6" i="24"/>
  <c r="H5" i="24"/>
  <c r="J68" i="24"/>
  <c r="J6" i="24"/>
  <c r="J5" i="24"/>
  <c r="BJ216" i="24"/>
  <c r="BJ198" i="24"/>
  <c r="BJ194" i="24"/>
  <c r="BJ191" i="24"/>
  <c r="BJ184" i="24"/>
  <c r="BJ173" i="24"/>
  <c r="BJ153" i="24"/>
  <c r="BJ143" i="24"/>
  <c r="BE68" i="24"/>
  <c r="BJ69" i="24"/>
  <c r="BJ62" i="24"/>
  <c r="BJ54" i="24"/>
  <c r="BJ48" i="24"/>
  <c r="BJ41" i="24"/>
  <c r="BJ31" i="24"/>
  <c r="BE6" i="24"/>
  <c r="BJ25" i="24"/>
  <c r="BJ15" i="24"/>
  <c r="BE5" i="24"/>
  <c r="BJ7" i="24"/>
  <c r="BH210" i="24"/>
  <c r="M68" i="24"/>
  <c r="M5" i="24"/>
  <c r="BH204" i="24"/>
  <c r="BH198" i="24"/>
  <c r="G5" i="24"/>
  <c r="BH48" i="24"/>
  <c r="BG204" i="24"/>
  <c r="F202" i="31" s="1"/>
  <c r="E6" i="83" s="1"/>
  <c r="N5" i="24"/>
  <c r="BH216" i="24"/>
  <c r="BG210" i="24"/>
  <c r="F208" i="31" s="1"/>
  <c r="E8" i="83" s="1"/>
  <c r="BH173" i="24"/>
  <c r="F121" i="24"/>
  <c r="F122" i="24"/>
  <c r="F68" i="24"/>
  <c r="BH62" i="24"/>
  <c r="BH25" i="24"/>
  <c r="BH15" i="24"/>
  <c r="F5" i="24"/>
  <c r="D68" i="27"/>
  <c r="C37" i="26"/>
  <c r="F215" i="31"/>
  <c r="BG222" i="24"/>
  <c r="BI204" i="24"/>
  <c r="BI165" i="24"/>
  <c r="BI133" i="24"/>
  <c r="BI123" i="24"/>
  <c r="AA5" i="24"/>
  <c r="AA68" i="24"/>
  <c r="C13" i="26"/>
  <c r="D22" i="27"/>
  <c r="BG213" i="24"/>
  <c r="F211" i="31" s="1"/>
  <c r="E9" i="83" s="1"/>
  <c r="BG207" i="24"/>
  <c r="F205" i="31" s="1"/>
  <c r="E7" i="83" s="1"/>
  <c r="BG201" i="24"/>
  <c r="F199" i="31" s="1"/>
  <c r="E5" i="83" s="1"/>
  <c r="BG198" i="24"/>
  <c r="F196" i="31" s="1"/>
  <c r="E4" i="83" s="1"/>
  <c r="BG194" i="24"/>
  <c r="F192" i="31" s="1"/>
  <c r="E3" i="83" s="1"/>
  <c r="BG191" i="24"/>
  <c r="BG184" i="24"/>
  <c r="F182" i="31" s="1"/>
  <c r="BJ165" i="24"/>
  <c r="BG153" i="24"/>
  <c r="F151" i="31" s="1"/>
  <c r="BG143" i="24"/>
  <c r="F141" i="31" s="1"/>
  <c r="BJ133" i="24"/>
  <c r="BJ123" i="24"/>
  <c r="BG108" i="24"/>
  <c r="F106" i="31" s="1"/>
  <c r="BG97" i="24"/>
  <c r="F95" i="31" s="1"/>
  <c r="BG86" i="24"/>
  <c r="F84" i="31" s="1"/>
  <c r="BG69" i="24"/>
  <c r="F69" i="31" s="1"/>
  <c r="BG54" i="24"/>
  <c r="F54" i="31" s="1"/>
  <c r="BG41" i="24"/>
  <c r="F41" i="31" s="1"/>
  <c r="BG31" i="24"/>
  <c r="F31" i="31" s="1"/>
  <c r="BG7" i="24"/>
  <c r="F7" i="31" s="1"/>
  <c r="BG216" i="24"/>
  <c r="F214" i="31" s="1"/>
  <c r="E10" i="83" s="1"/>
  <c r="BH213" i="24"/>
  <c r="BH207" i="24"/>
  <c r="BH201" i="24"/>
  <c r="BH194" i="24"/>
  <c r="BH191" i="24"/>
  <c r="BH184" i="24"/>
  <c r="BG165" i="24"/>
  <c r="F163" i="31" s="1"/>
  <c r="BH165" i="24"/>
  <c r="BH153" i="24"/>
  <c r="BH143" i="24"/>
  <c r="BH133" i="24"/>
  <c r="BG133" i="24"/>
  <c r="F131" i="31" s="1"/>
  <c r="BG123" i="24"/>
  <c r="F121" i="31" s="1"/>
  <c r="BH123" i="24"/>
  <c r="BH108" i="24"/>
  <c r="BH97" i="24"/>
  <c r="BH86" i="24"/>
  <c r="BG80" i="24"/>
  <c r="F80" i="31" s="1"/>
  <c r="BH69" i="24"/>
  <c r="BG62" i="24"/>
  <c r="F62" i="31" s="1"/>
  <c r="BH54" i="24"/>
  <c r="BG48" i="24"/>
  <c r="F48" i="31" s="1"/>
  <c r="BH41" i="24"/>
  <c r="BH31" i="24"/>
  <c r="BG25" i="24"/>
  <c r="F25" i="31" s="1"/>
  <c r="BG15" i="24"/>
  <c r="F15" i="31" s="1"/>
  <c r="BH7" i="24"/>
  <c r="BG173" i="24"/>
  <c r="F171" i="31" s="1"/>
  <c r="F6" i="24"/>
  <c r="D47" i="22"/>
  <c r="E47" i="22"/>
  <c r="F47" i="22"/>
  <c r="G47" i="22"/>
  <c r="H47" i="22"/>
  <c r="I47" i="22"/>
  <c r="J47" i="22"/>
  <c r="K47" i="22"/>
  <c r="L47" i="22"/>
  <c r="M47" i="22"/>
  <c r="N47" i="22"/>
  <c r="O47" i="22"/>
  <c r="P47" i="22"/>
  <c r="Q47" i="22"/>
  <c r="R47" i="22"/>
  <c r="S47" i="22"/>
  <c r="T47" i="22"/>
  <c r="U47" i="22"/>
  <c r="V47" i="22"/>
  <c r="W47" i="22"/>
  <c r="X47" i="22"/>
  <c r="Y47" i="22"/>
  <c r="Z47" i="22"/>
  <c r="AA47" i="22"/>
  <c r="AB47" i="22"/>
  <c r="AC47" i="22"/>
  <c r="AD47" i="22"/>
  <c r="AE47" i="22"/>
  <c r="AF47" i="22"/>
  <c r="AG47" i="22"/>
  <c r="AH47" i="22"/>
  <c r="AI47" i="22"/>
  <c r="AJ47" i="22"/>
  <c r="AK47" i="22"/>
  <c r="AL47" i="22"/>
  <c r="AM47" i="22"/>
  <c r="AN47" i="22"/>
  <c r="AO47" i="22"/>
  <c r="AP47" i="22"/>
  <c r="AQ47" i="22"/>
  <c r="AR47" i="22"/>
  <c r="AS47" i="22"/>
  <c r="AT47" i="22"/>
  <c r="AU47" i="22"/>
  <c r="AV47" i="22"/>
  <c r="AW47" i="22"/>
  <c r="AX47" i="22"/>
  <c r="AY47" i="22"/>
  <c r="AZ47" i="22"/>
  <c r="BA47" i="22"/>
  <c r="BB47" i="22"/>
  <c r="BC47" i="22"/>
  <c r="D46" i="22"/>
  <c r="E46" i="22"/>
  <c r="F46" i="22"/>
  <c r="G46" i="22"/>
  <c r="H46" i="22"/>
  <c r="I46" i="22"/>
  <c r="J46" i="22"/>
  <c r="K46" i="22"/>
  <c r="L46" i="22"/>
  <c r="M46" i="22"/>
  <c r="N46" i="22"/>
  <c r="O46" i="22"/>
  <c r="P46" i="22"/>
  <c r="Q46" i="22"/>
  <c r="R46" i="22"/>
  <c r="S46" i="22"/>
  <c r="T46" i="22"/>
  <c r="U46" i="22"/>
  <c r="V46" i="22"/>
  <c r="W46" i="22"/>
  <c r="X46" i="22"/>
  <c r="Y46" i="22"/>
  <c r="Z46" i="22"/>
  <c r="AA46" i="22"/>
  <c r="AB46" i="22"/>
  <c r="AC46" i="22"/>
  <c r="AD46" i="22"/>
  <c r="AE46" i="22"/>
  <c r="AF46" i="22"/>
  <c r="AG46" i="22"/>
  <c r="AH46" i="22"/>
  <c r="AI46" i="22"/>
  <c r="AJ46" i="22"/>
  <c r="AK46" i="22"/>
  <c r="AL46" i="22"/>
  <c r="AM46" i="22"/>
  <c r="AN46" i="22"/>
  <c r="AO46" i="22"/>
  <c r="AP46" i="22"/>
  <c r="AQ46" i="22"/>
  <c r="AR46" i="22"/>
  <c r="AS46" i="22"/>
  <c r="AT46" i="22"/>
  <c r="AU46" i="22"/>
  <c r="AV46" i="22"/>
  <c r="AW46" i="22"/>
  <c r="AX46" i="22"/>
  <c r="AY46" i="22"/>
  <c r="AZ46" i="22"/>
  <c r="BA46" i="22"/>
  <c r="BB46" i="22"/>
  <c r="BC46" i="22"/>
  <c r="D45" i="22"/>
  <c r="E45" i="22"/>
  <c r="F45" i="22"/>
  <c r="G45" i="22"/>
  <c r="H45" i="22"/>
  <c r="I45" i="22"/>
  <c r="J45" i="22"/>
  <c r="K45" i="22"/>
  <c r="L45" i="22"/>
  <c r="N45" i="22"/>
  <c r="O45" i="22"/>
  <c r="P45" i="22"/>
  <c r="Q45" i="22"/>
  <c r="R45" i="22"/>
  <c r="S45" i="22"/>
  <c r="T45" i="22"/>
  <c r="U45" i="22"/>
  <c r="V45" i="22"/>
  <c r="W45" i="22"/>
  <c r="X45" i="22"/>
  <c r="Y45" i="22"/>
  <c r="Z45" i="22"/>
  <c r="AA45" i="22"/>
  <c r="AB45" i="22"/>
  <c r="AC45" i="22"/>
  <c r="AD45" i="22"/>
  <c r="AE45" i="22"/>
  <c r="AF45" i="22"/>
  <c r="AG45" i="22"/>
  <c r="AH45" i="22"/>
  <c r="AI45" i="22"/>
  <c r="AJ45" i="22"/>
  <c r="AK45" i="22"/>
  <c r="AL45" i="22"/>
  <c r="AM45" i="22"/>
  <c r="AN45" i="22"/>
  <c r="AO45" i="22"/>
  <c r="AP45" i="22"/>
  <c r="AQ45" i="22"/>
  <c r="AR45" i="22"/>
  <c r="AS45" i="22"/>
  <c r="AT45" i="22"/>
  <c r="AU45" i="22"/>
  <c r="AV45" i="22"/>
  <c r="AW45" i="22"/>
  <c r="AX45" i="22"/>
  <c r="AY45" i="22"/>
  <c r="AZ45" i="22"/>
  <c r="BA45" i="22"/>
  <c r="BB45" i="22"/>
  <c r="BC45" i="22"/>
  <c r="C47" i="22"/>
  <c r="C46" i="22"/>
  <c r="C45" i="22"/>
  <c r="BG6" i="22"/>
  <c r="BG7" i="22"/>
  <c r="BG9" i="22"/>
  <c r="BG10" i="22"/>
  <c r="BG11" i="22"/>
  <c r="BG13" i="22"/>
  <c r="BG14" i="22"/>
  <c r="BG15" i="22"/>
  <c r="BG17" i="22"/>
  <c r="BG18" i="22"/>
  <c r="BG19" i="22"/>
  <c r="BG21" i="22"/>
  <c r="BG22" i="22"/>
  <c r="BG23" i="22"/>
  <c r="BG25" i="22"/>
  <c r="BG26" i="22"/>
  <c r="BG27" i="22"/>
  <c r="BG29" i="22"/>
  <c r="BG30" i="22"/>
  <c r="BG31" i="22"/>
  <c r="BG33" i="22"/>
  <c r="BG34" i="22"/>
  <c r="BG35" i="22"/>
  <c r="BG37" i="22"/>
  <c r="BG38" i="22"/>
  <c r="BG39" i="22"/>
  <c r="BG41" i="22"/>
  <c r="BG42" i="22"/>
  <c r="BG43" i="22"/>
  <c r="BF6" i="22"/>
  <c r="BF7" i="22"/>
  <c r="BF9" i="22"/>
  <c r="BF10" i="22"/>
  <c r="BF11" i="22"/>
  <c r="BF13" i="22"/>
  <c r="BF14" i="22"/>
  <c r="BF15" i="22"/>
  <c r="BF17" i="22"/>
  <c r="BF18" i="22"/>
  <c r="BF19" i="22"/>
  <c r="BF21" i="22"/>
  <c r="BF22" i="22"/>
  <c r="BF23" i="22"/>
  <c r="BF25" i="22"/>
  <c r="BF26" i="22"/>
  <c r="BF27" i="22"/>
  <c r="BF29" i="22"/>
  <c r="BF30" i="22"/>
  <c r="BF31" i="22"/>
  <c r="BF33" i="22"/>
  <c r="BF34" i="22"/>
  <c r="BF35" i="22"/>
  <c r="BF37" i="22"/>
  <c r="BF38" i="22"/>
  <c r="BF39" i="22"/>
  <c r="BF41" i="22"/>
  <c r="BF42" i="22"/>
  <c r="BF43" i="22"/>
  <c r="BE6" i="22"/>
  <c r="BE7" i="22"/>
  <c r="BE9" i="22"/>
  <c r="BE10" i="22"/>
  <c r="BE11" i="22"/>
  <c r="BE13" i="22"/>
  <c r="BE14" i="22"/>
  <c r="BE15" i="22"/>
  <c r="BE17" i="22"/>
  <c r="BE18" i="22"/>
  <c r="BE19" i="22"/>
  <c r="BE21" i="22"/>
  <c r="BE22" i="22"/>
  <c r="BE23" i="22"/>
  <c r="BE25" i="22"/>
  <c r="BE26" i="22"/>
  <c r="BE27" i="22"/>
  <c r="BE29" i="22"/>
  <c r="BE30" i="22"/>
  <c r="BE31" i="22"/>
  <c r="BE33" i="22"/>
  <c r="BE34" i="22"/>
  <c r="BE35" i="22"/>
  <c r="BE37" i="22"/>
  <c r="BE38" i="22"/>
  <c r="BE39" i="22"/>
  <c r="BE41" i="22"/>
  <c r="BE42" i="22"/>
  <c r="BE43" i="22"/>
  <c r="BD6" i="22"/>
  <c r="C8" i="30" s="1"/>
  <c r="B2" i="81" s="1"/>
  <c r="BD7" i="22"/>
  <c r="C9" i="30" s="1"/>
  <c r="B14" i="81" s="1"/>
  <c r="BD9" i="22"/>
  <c r="C11" i="30" s="1"/>
  <c r="BD10" i="22"/>
  <c r="C12" i="30" s="1"/>
  <c r="B3" i="81" s="1"/>
  <c r="BD11" i="22"/>
  <c r="C13" i="30" s="1"/>
  <c r="B15" i="81" s="1"/>
  <c r="BD13" i="22"/>
  <c r="C15" i="30" s="1"/>
  <c r="BD14" i="22"/>
  <c r="C16" i="30" s="1"/>
  <c r="B4" i="81" s="1"/>
  <c r="BD15" i="22"/>
  <c r="C17" i="30" s="1"/>
  <c r="B16" i="81" s="1"/>
  <c r="BD17" i="22"/>
  <c r="C19" i="30" s="1"/>
  <c r="BD18" i="22"/>
  <c r="C20" i="30" s="1"/>
  <c r="B5" i="81" s="1"/>
  <c r="BD19" i="22"/>
  <c r="C21" i="30" s="1"/>
  <c r="B17" i="81" s="1"/>
  <c r="BD21" i="22"/>
  <c r="C23" i="30" s="1"/>
  <c r="BD22" i="22"/>
  <c r="C24" i="30" s="1"/>
  <c r="B6" i="81" s="1"/>
  <c r="BD23" i="22"/>
  <c r="C25" i="30" s="1"/>
  <c r="B18" i="81" s="1"/>
  <c r="BD25" i="22"/>
  <c r="C27" i="30" s="1"/>
  <c r="BD26" i="22"/>
  <c r="C28" i="30" s="1"/>
  <c r="B7" i="81" s="1"/>
  <c r="BD27" i="22"/>
  <c r="C29" i="30" s="1"/>
  <c r="B19" i="81" s="1"/>
  <c r="BD29" i="22"/>
  <c r="C31" i="30" s="1"/>
  <c r="BD30" i="22"/>
  <c r="C32" i="30" s="1"/>
  <c r="B8" i="81" s="1"/>
  <c r="BD31" i="22"/>
  <c r="C33" i="30" s="1"/>
  <c r="B20" i="81" s="1"/>
  <c r="BD33" i="22"/>
  <c r="C35" i="30" s="1"/>
  <c r="BD34" i="22"/>
  <c r="C36" i="30" s="1"/>
  <c r="B9" i="81" s="1"/>
  <c r="BD35" i="22"/>
  <c r="C37" i="30" s="1"/>
  <c r="B21" i="81" s="1"/>
  <c r="BD37" i="22"/>
  <c r="C39" i="30" s="1"/>
  <c r="BD38" i="22"/>
  <c r="C40" i="30" s="1"/>
  <c r="B10" i="81" s="1"/>
  <c r="BD39" i="22"/>
  <c r="C41" i="30" s="1"/>
  <c r="B22" i="81" s="1"/>
  <c r="BD41" i="22"/>
  <c r="C43" i="30" s="1"/>
  <c r="BD42" i="22"/>
  <c r="C44" i="30" s="1"/>
  <c r="B11" i="81" s="1"/>
  <c r="BD43" i="22"/>
  <c r="C45" i="30" s="1"/>
  <c r="B23" i="81" s="1"/>
  <c r="BG5" i="22"/>
  <c r="BF5" i="22"/>
  <c r="BE5" i="22"/>
  <c r="BD5" i="22"/>
  <c r="C7" i="30" s="1"/>
  <c r="BI152" i="29"/>
  <c r="BH152" i="29"/>
  <c r="BG152" i="29"/>
  <c r="BF152" i="29"/>
  <c r="BI74" i="29"/>
  <c r="BH74" i="29"/>
  <c r="BG74" i="29"/>
  <c r="BF74" i="29"/>
  <c r="BE3" i="29"/>
  <c r="BD3" i="29"/>
  <c r="BC3" i="29"/>
  <c r="BB3" i="29"/>
  <c r="BA3" i="29"/>
  <c r="AZ3" i="29"/>
  <c r="AY3" i="29"/>
  <c r="AX3" i="29"/>
  <c r="AW3" i="29"/>
  <c r="AV3" i="29"/>
  <c r="AU3" i="29"/>
  <c r="AT3" i="29"/>
  <c r="AS3" i="29"/>
  <c r="AR3" i="29"/>
  <c r="AQ3" i="29"/>
  <c r="AP3" i="29"/>
  <c r="AO3" i="29"/>
  <c r="AN3" i="29"/>
  <c r="AM3" i="29"/>
  <c r="AL3" i="29"/>
  <c r="AK3" i="29"/>
  <c r="AJ3" i="29"/>
  <c r="AI3" i="29"/>
  <c r="AH3" i="29"/>
  <c r="AG3" i="29"/>
  <c r="AF3" i="29"/>
  <c r="AE3" i="29"/>
  <c r="AD3" i="29"/>
  <c r="AC3" i="29"/>
  <c r="AB3" i="29"/>
  <c r="AA3" i="29"/>
  <c r="Z3" i="29"/>
  <c r="Y3" i="29"/>
  <c r="X3" i="29"/>
  <c r="W3" i="29"/>
  <c r="V3" i="29"/>
  <c r="U3" i="29"/>
  <c r="T3" i="29"/>
  <c r="S3" i="29"/>
  <c r="R3" i="29"/>
  <c r="Q3" i="29"/>
  <c r="P3" i="29"/>
  <c r="O3" i="29"/>
  <c r="N3" i="29"/>
  <c r="M3" i="29"/>
  <c r="L3" i="29"/>
  <c r="K3" i="29"/>
  <c r="J3" i="29"/>
  <c r="I3" i="29"/>
  <c r="H3" i="29"/>
  <c r="G3" i="29"/>
  <c r="F3" i="29"/>
  <c r="E3" i="29"/>
  <c r="BB226" i="24" l="1"/>
  <c r="F193" i="51"/>
  <c r="AW226" i="24"/>
  <c r="AL226" i="24"/>
  <c r="X226" i="24"/>
  <c r="Z226" i="24"/>
  <c r="Y226" i="24"/>
  <c r="AH226" i="24"/>
  <c r="R226" i="24"/>
  <c r="I226" i="24"/>
  <c r="M226" i="24"/>
  <c r="J10" i="32"/>
  <c r="K8" i="32"/>
  <c r="K24" i="32" s="1"/>
  <c r="K25" i="32" s="1"/>
  <c r="E11" i="82" s="1"/>
  <c r="G226" i="24"/>
  <c r="J226" i="24"/>
  <c r="D8" i="32"/>
  <c r="T226" i="24"/>
  <c r="AZ8" i="32"/>
  <c r="AL21" i="32"/>
  <c r="B38" i="82" s="1"/>
  <c r="BE226" i="24"/>
  <c r="BC226" i="24"/>
  <c r="X21" i="32"/>
  <c r="AY24" i="32"/>
  <c r="D51" i="82" s="1"/>
  <c r="AW8" i="32"/>
  <c r="M21" i="32"/>
  <c r="B13" i="82" s="1"/>
  <c r="AZ226" i="24"/>
  <c r="P226" i="24"/>
  <c r="AA226" i="24"/>
  <c r="N226" i="24"/>
  <c r="AU226" i="24"/>
  <c r="G10" i="32"/>
  <c r="AR10" i="32"/>
  <c r="BA10" i="32"/>
  <c r="BA8" i="32"/>
  <c r="I10" i="32"/>
  <c r="AZ10" i="32"/>
  <c r="AT8" i="32"/>
  <c r="M8" i="32"/>
  <c r="BA226" i="24"/>
  <c r="BE14" i="32"/>
  <c r="BF14" i="32"/>
  <c r="AY226" i="24"/>
  <c r="AV8" i="32"/>
  <c r="AV24" i="32" s="1"/>
  <c r="BF226" i="24"/>
  <c r="F229" i="51" s="1"/>
  <c r="H226" i="24"/>
  <c r="M10" i="32"/>
  <c r="M24" i="32" s="1"/>
  <c r="AW10" i="32"/>
  <c r="C21" i="32"/>
  <c r="BE16" i="32"/>
  <c r="BF16" i="32"/>
  <c r="AY21" i="32"/>
  <c r="BF12" i="32"/>
  <c r="E10" i="32"/>
  <c r="X24" i="32"/>
  <c r="BD226" i="24"/>
  <c r="BE12" i="32"/>
  <c r="D10" i="32"/>
  <c r="AX10" i="32"/>
  <c r="BB10" i="32"/>
  <c r="AX8" i="32"/>
  <c r="C49" i="50"/>
  <c r="C50" i="50"/>
  <c r="BG14" i="32"/>
  <c r="BG16" i="32"/>
  <c r="AR8" i="32"/>
  <c r="F124" i="51"/>
  <c r="BD16" i="32"/>
  <c r="AD21" i="77"/>
  <c r="BB8" i="32"/>
  <c r="G8" i="32"/>
  <c r="G23" i="65"/>
  <c r="I8" i="32"/>
  <c r="I23" i="65"/>
  <c r="F8" i="32"/>
  <c r="N8" i="32"/>
  <c r="AI8" i="32"/>
  <c r="AB10" i="32"/>
  <c r="Q8" i="32"/>
  <c r="Q10" i="32"/>
  <c r="AS10" i="32"/>
  <c r="AL8" i="32"/>
  <c r="F8" i="51"/>
  <c r="F71" i="51"/>
  <c r="H8" i="32"/>
  <c r="AE10" i="32"/>
  <c r="Z8" i="32"/>
  <c r="AM10" i="32"/>
  <c r="L8" i="32"/>
  <c r="AU8" i="32"/>
  <c r="AO8" i="32"/>
  <c r="V8" i="32"/>
  <c r="V10" i="32"/>
  <c r="W8" i="32"/>
  <c r="Y8" i="32"/>
  <c r="AA10" i="32"/>
  <c r="AC8" i="32"/>
  <c r="AG8" i="32"/>
  <c r="AQ8" i="32"/>
  <c r="W10" i="32"/>
  <c r="AI10" i="32"/>
  <c r="J8" i="32"/>
  <c r="P10" i="32"/>
  <c r="AF10" i="32"/>
  <c r="AN10" i="32"/>
  <c r="AT10" i="32"/>
  <c r="AJ8" i="32"/>
  <c r="D21" i="65"/>
  <c r="F21" i="65"/>
  <c r="H21" i="65"/>
  <c r="J21" i="65"/>
  <c r="L21" i="65"/>
  <c r="N21" i="65"/>
  <c r="J23" i="65"/>
  <c r="C21" i="65"/>
  <c r="E21" i="65"/>
  <c r="G21" i="65"/>
  <c r="I21" i="65"/>
  <c r="K21" i="65"/>
  <c r="M21" i="65"/>
  <c r="O21" i="65"/>
  <c r="K23" i="65"/>
  <c r="M23" i="65"/>
  <c r="C8" i="32"/>
  <c r="C10" i="32"/>
  <c r="E8" i="32"/>
  <c r="E23" i="65"/>
  <c r="N10" i="32"/>
  <c r="N24" i="32" s="1"/>
  <c r="F10" i="32"/>
  <c r="O8" i="32"/>
  <c r="AB8" i="32"/>
  <c r="U8" i="32"/>
  <c r="U10" i="32"/>
  <c r="AS8" i="32"/>
  <c r="AL10" i="32"/>
  <c r="H10" i="32"/>
  <c r="AE8" i="32"/>
  <c r="T8" i="32"/>
  <c r="T10" i="32"/>
  <c r="Z10" i="32"/>
  <c r="AH8" i="32"/>
  <c r="AM8" i="32"/>
  <c r="S8" i="32"/>
  <c r="S10" i="32"/>
  <c r="P8" i="32"/>
  <c r="R8" i="32"/>
  <c r="R10" i="32"/>
  <c r="AU10" i="32"/>
  <c r="AN8" i="32"/>
  <c r="AO10" i="32"/>
  <c r="AP8" i="32"/>
  <c r="Y10" i="32"/>
  <c r="AA8" i="32"/>
  <c r="AC10" i="32"/>
  <c r="AD8" i="32"/>
  <c r="AF8" i="32"/>
  <c r="AQ10" i="32"/>
  <c r="AQ24" i="32" s="1"/>
  <c r="O10" i="32"/>
  <c r="O23" i="65"/>
  <c r="AG10" i="32"/>
  <c r="L10" i="32"/>
  <c r="L23" i="65"/>
  <c r="AD10" i="32"/>
  <c r="AH10" i="32"/>
  <c r="AP10" i="32"/>
  <c r="AJ10" i="32"/>
  <c r="C16" i="52"/>
  <c r="C14" i="52"/>
  <c r="D21" i="32"/>
  <c r="F21" i="32"/>
  <c r="H21" i="32"/>
  <c r="J21" i="32"/>
  <c r="L21" i="32"/>
  <c r="N21" i="32"/>
  <c r="P21" i="32"/>
  <c r="R21" i="32"/>
  <c r="T21" i="32"/>
  <c r="V21" i="32"/>
  <c r="Z21" i="32"/>
  <c r="AB21" i="32"/>
  <c r="AD21" i="32"/>
  <c r="AF21" i="32"/>
  <c r="AH21" i="32"/>
  <c r="AJ21" i="32"/>
  <c r="AN21" i="32"/>
  <c r="AP21" i="32"/>
  <c r="AR21" i="32"/>
  <c r="AT21" i="32"/>
  <c r="AV21" i="32"/>
  <c r="AX21" i="32"/>
  <c r="AZ21" i="32"/>
  <c r="BB21" i="32"/>
  <c r="E21" i="32"/>
  <c r="G21" i="32"/>
  <c r="I21" i="32"/>
  <c r="K21" i="32"/>
  <c r="O21" i="32"/>
  <c r="Q21" i="32"/>
  <c r="S21" i="32"/>
  <c r="U21" i="32"/>
  <c r="W21" i="32"/>
  <c r="Y21" i="32"/>
  <c r="AA21" i="32"/>
  <c r="AC21" i="32"/>
  <c r="AE21" i="32"/>
  <c r="AG21" i="32"/>
  <c r="AI21" i="32"/>
  <c r="AM21" i="32"/>
  <c r="AO21" i="32"/>
  <c r="AQ21" i="32"/>
  <c r="AS21" i="32"/>
  <c r="AU21" i="32"/>
  <c r="AW21" i="32"/>
  <c r="BA21" i="32"/>
  <c r="BC21" i="32"/>
  <c r="P16" i="65"/>
  <c r="C16" i="66" s="1"/>
  <c r="BD14" i="32"/>
  <c r="AK21" i="32"/>
  <c r="P14" i="65"/>
  <c r="C14" i="66" s="1"/>
  <c r="BD12" i="32"/>
  <c r="BG12" i="32"/>
  <c r="AK24" i="32"/>
  <c r="AN226" i="24"/>
  <c r="P12" i="65"/>
  <c r="C12" i="66" s="1"/>
  <c r="AM226" i="24"/>
  <c r="BC8" i="32"/>
  <c r="F9" i="51"/>
  <c r="BC10" i="32"/>
  <c r="F125" i="51"/>
  <c r="AT226" i="24"/>
  <c r="AI226" i="24"/>
  <c r="AJ226" i="24"/>
  <c r="AG226" i="24"/>
  <c r="AF226" i="24"/>
  <c r="AD226" i="24"/>
  <c r="AB226" i="24"/>
  <c r="AS226" i="24"/>
  <c r="AR226" i="24"/>
  <c r="AQ226" i="24"/>
  <c r="AX226" i="24"/>
  <c r="BH190" i="24"/>
  <c r="BJ190" i="24"/>
  <c r="AP226" i="24"/>
  <c r="BI190" i="24"/>
  <c r="F189" i="31"/>
  <c r="E2" i="83" s="1"/>
  <c r="BG190" i="24"/>
  <c r="F188" i="31" s="1"/>
  <c r="AK226" i="24"/>
  <c r="BI68" i="24"/>
  <c r="AC226" i="24"/>
  <c r="BI121" i="24"/>
  <c r="K226" i="24"/>
  <c r="BJ68" i="24"/>
  <c r="AO226" i="24"/>
  <c r="BJ121" i="24"/>
  <c r="AV226" i="24"/>
  <c r="BJ122" i="24"/>
  <c r="BI122" i="24"/>
  <c r="AE226" i="24"/>
  <c r="BI6" i="24"/>
  <c r="Q226" i="24"/>
  <c r="BH121" i="24"/>
  <c r="L226" i="24"/>
  <c r="BH68" i="24"/>
  <c r="BJ6" i="24"/>
  <c r="BJ5" i="24"/>
  <c r="BG122" i="24"/>
  <c r="F120" i="31" s="1"/>
  <c r="BH122" i="24"/>
  <c r="BG121" i="24"/>
  <c r="F119" i="31" s="1"/>
  <c r="F226" i="24"/>
  <c r="BG6" i="24"/>
  <c r="F6" i="31" s="1"/>
  <c r="BH5" i="24"/>
  <c r="BH6" i="24"/>
  <c r="BG5" i="24"/>
  <c r="F5" i="31" s="1"/>
  <c r="BI5" i="24"/>
  <c r="BG68" i="24"/>
  <c r="F68" i="31" s="1"/>
  <c r="BF47" i="22"/>
  <c r="BF46" i="22"/>
  <c r="BG47" i="22"/>
  <c r="BG46" i="22"/>
  <c r="BE47" i="22"/>
  <c r="BE46" i="22"/>
  <c r="BD47" i="22"/>
  <c r="C49" i="30" s="1"/>
  <c r="BD46" i="22"/>
  <c r="C48" i="30" s="1"/>
  <c r="BF45" i="22"/>
  <c r="BG45" i="22"/>
  <c r="BE45" i="22"/>
  <c r="BD45" i="22"/>
  <c r="C47" i="30" s="1"/>
  <c r="BH3" i="29"/>
  <c r="BF3" i="29"/>
  <c r="BI3" i="29"/>
  <c r="BG3" i="29"/>
  <c r="BC3" i="22"/>
  <c r="BB3" i="22"/>
  <c r="BA3" i="22"/>
  <c r="AZ3" i="22"/>
  <c r="AY3" i="22"/>
  <c r="AX3" i="22"/>
  <c r="AW3" i="22"/>
  <c r="AV3" i="22"/>
  <c r="AU3" i="22"/>
  <c r="AT3" i="22"/>
  <c r="AS3" i="22"/>
  <c r="AR3" i="22"/>
  <c r="AQ3" i="22"/>
  <c r="AP3" i="22"/>
  <c r="AO3" i="22"/>
  <c r="AN3" i="22"/>
  <c r="AM3" i="22"/>
  <c r="AL3" i="22"/>
  <c r="AK3" i="22"/>
  <c r="AJ3" i="22"/>
  <c r="AI3" i="22"/>
  <c r="AH3" i="22"/>
  <c r="AG3" i="22"/>
  <c r="AF3" i="22"/>
  <c r="AE3" i="22"/>
  <c r="AD3" i="22"/>
  <c r="AC3" i="22"/>
  <c r="AB3" i="22"/>
  <c r="AA3" i="22"/>
  <c r="Z3" i="22"/>
  <c r="Y3" i="22"/>
  <c r="X3" i="22"/>
  <c r="W3" i="22"/>
  <c r="V3" i="22"/>
  <c r="U3" i="22"/>
  <c r="T3" i="22"/>
  <c r="S3" i="22"/>
  <c r="R3" i="22"/>
  <c r="Q3" i="22"/>
  <c r="P3" i="22"/>
  <c r="O3" i="22"/>
  <c r="N3" i="22"/>
  <c r="M3" i="22"/>
  <c r="L3" i="22"/>
  <c r="K3" i="22"/>
  <c r="J3" i="22"/>
  <c r="I3" i="22"/>
  <c r="H3" i="22"/>
  <c r="G3" i="22"/>
  <c r="F3" i="22"/>
  <c r="E3" i="22"/>
  <c r="D3" i="22"/>
  <c r="C3" i="22"/>
  <c r="AF24" i="32" l="1"/>
  <c r="BB24" i="32"/>
  <c r="AU24" i="32"/>
  <c r="AR24" i="32"/>
  <c r="D44" i="82" s="1"/>
  <c r="J24" i="32"/>
  <c r="J25" i="32" s="1"/>
  <c r="E10" i="82" s="1"/>
  <c r="AY25" i="32"/>
  <c r="E51" i="82" s="1"/>
  <c r="AL22" i="32"/>
  <c r="C38" i="82" s="1"/>
  <c r="D11" i="82"/>
  <c r="M22" i="32"/>
  <c r="C13" i="82" s="1"/>
  <c r="BC22" i="32"/>
  <c r="C55" i="82" s="1"/>
  <c r="B55" i="82"/>
  <c r="AW22" i="32"/>
  <c r="C49" i="82" s="1"/>
  <c r="B49" i="82"/>
  <c r="AS22" i="32"/>
  <c r="C45" i="82" s="1"/>
  <c r="B45" i="82"/>
  <c r="AO22" i="32"/>
  <c r="C41" i="82" s="1"/>
  <c r="B41" i="82"/>
  <c r="AI22" i="32"/>
  <c r="C35" i="82" s="1"/>
  <c r="B35" i="82"/>
  <c r="AE22" i="32"/>
  <c r="C31" i="82" s="1"/>
  <c r="B31" i="82"/>
  <c r="AA22" i="32"/>
  <c r="C27" i="82" s="1"/>
  <c r="B27" i="82"/>
  <c r="W22" i="32"/>
  <c r="C23" i="82" s="1"/>
  <c r="B23" i="82"/>
  <c r="S22" i="32"/>
  <c r="C19" i="82" s="1"/>
  <c r="B19" i="82"/>
  <c r="O22" i="32"/>
  <c r="C15" i="82" s="1"/>
  <c r="B15" i="82"/>
  <c r="I22" i="32"/>
  <c r="C9" i="82" s="1"/>
  <c r="B9" i="82"/>
  <c r="E22" i="32"/>
  <c r="C5" i="82" s="1"/>
  <c r="B5" i="82"/>
  <c r="AZ22" i="32"/>
  <c r="C52" i="82" s="1"/>
  <c r="B52" i="82"/>
  <c r="AV22" i="32"/>
  <c r="C48" i="82" s="1"/>
  <c r="B48" i="82"/>
  <c r="AR22" i="32"/>
  <c r="C44" i="82" s="1"/>
  <c r="B44" i="82"/>
  <c r="AN22" i="32"/>
  <c r="C40" i="82" s="1"/>
  <c r="B40" i="82"/>
  <c r="AH22" i="32"/>
  <c r="C34" i="82" s="1"/>
  <c r="B34" i="82"/>
  <c r="AD22" i="32"/>
  <c r="C30" i="82" s="1"/>
  <c r="B30" i="82"/>
  <c r="Z22" i="32"/>
  <c r="C26" i="82" s="1"/>
  <c r="B26" i="82"/>
  <c r="T22" i="32"/>
  <c r="C20" i="82" s="1"/>
  <c r="B20" i="82"/>
  <c r="P22" i="32"/>
  <c r="C16" i="82" s="1"/>
  <c r="B16" i="82"/>
  <c r="L22" i="32"/>
  <c r="C12" i="82" s="1"/>
  <c r="B12" i="82"/>
  <c r="H22" i="32"/>
  <c r="C8" i="82" s="1"/>
  <c r="B8" i="82"/>
  <c r="D22" i="32"/>
  <c r="C4" i="82" s="1"/>
  <c r="B4" i="82"/>
  <c r="AQ25" i="32"/>
  <c r="E43" i="82" s="1"/>
  <c r="D43" i="82"/>
  <c r="AY22" i="32"/>
  <c r="C51" i="82" s="1"/>
  <c r="B51" i="82"/>
  <c r="X22" i="32"/>
  <c r="C24" i="82" s="1"/>
  <c r="B24" i="82"/>
  <c r="D24" i="32"/>
  <c r="AK25" i="32"/>
  <c r="E37" i="82" s="1"/>
  <c r="D37" i="82"/>
  <c r="AK22" i="32"/>
  <c r="C37" i="82" s="1"/>
  <c r="B37" i="82"/>
  <c r="BA22" i="32"/>
  <c r="C53" i="82" s="1"/>
  <c r="B53" i="82"/>
  <c r="AU22" i="32"/>
  <c r="C47" i="82" s="1"/>
  <c r="B47" i="82"/>
  <c r="AQ22" i="32"/>
  <c r="C43" i="82" s="1"/>
  <c r="B43" i="82"/>
  <c r="AM22" i="32"/>
  <c r="C39" i="82" s="1"/>
  <c r="B39" i="82"/>
  <c r="AG22" i="32"/>
  <c r="C33" i="82" s="1"/>
  <c r="B33" i="82"/>
  <c r="AC22" i="32"/>
  <c r="C29" i="82" s="1"/>
  <c r="B29" i="82"/>
  <c r="Y22" i="32"/>
  <c r="C25" i="82" s="1"/>
  <c r="B25" i="82"/>
  <c r="U22" i="32"/>
  <c r="C21" i="82" s="1"/>
  <c r="B21" i="82"/>
  <c r="Q22" i="32"/>
  <c r="C17" i="82" s="1"/>
  <c r="B17" i="82"/>
  <c r="K22" i="32"/>
  <c r="C11" i="82" s="1"/>
  <c r="B11" i="82"/>
  <c r="G22" i="32"/>
  <c r="C7" i="82" s="1"/>
  <c r="B7" i="82"/>
  <c r="BB22" i="32"/>
  <c r="C54" i="82" s="1"/>
  <c r="B54" i="82"/>
  <c r="AX22" i="32"/>
  <c r="C50" i="82" s="1"/>
  <c r="B50" i="82"/>
  <c r="AT22" i="32"/>
  <c r="C46" i="82" s="1"/>
  <c r="B46" i="82"/>
  <c r="AP22" i="32"/>
  <c r="C42" i="82" s="1"/>
  <c r="B42" i="82"/>
  <c r="B36" i="82"/>
  <c r="AF22" i="32"/>
  <c r="C32" i="82" s="1"/>
  <c r="B32" i="82"/>
  <c r="AB22" i="32"/>
  <c r="C28" i="82" s="1"/>
  <c r="B28" i="82"/>
  <c r="V22" i="32"/>
  <c r="C22" i="82" s="1"/>
  <c r="B22" i="82"/>
  <c r="R22" i="32"/>
  <c r="C18" i="82" s="1"/>
  <c r="B18" i="82"/>
  <c r="N22" i="32"/>
  <c r="C14" i="82" s="1"/>
  <c r="B14" i="82"/>
  <c r="J22" i="32"/>
  <c r="C10" i="82" s="1"/>
  <c r="B10" i="82"/>
  <c r="F22" i="32"/>
  <c r="C6" i="82" s="1"/>
  <c r="B6" i="82"/>
  <c r="AF25" i="32"/>
  <c r="E32" i="82" s="1"/>
  <c r="D32" i="82"/>
  <c r="AU25" i="32"/>
  <c r="E47" i="82" s="1"/>
  <c r="D47" i="82"/>
  <c r="N25" i="32"/>
  <c r="E14" i="82" s="1"/>
  <c r="D14" i="82"/>
  <c r="BB25" i="32"/>
  <c r="E54" i="82" s="1"/>
  <c r="D54" i="82"/>
  <c r="AR25" i="32"/>
  <c r="E44" i="82" s="1"/>
  <c r="X25" i="32"/>
  <c r="E24" i="82" s="1"/>
  <c r="D24" i="82"/>
  <c r="C22" i="32"/>
  <c r="C3" i="82" s="1"/>
  <c r="B3" i="82"/>
  <c r="M25" i="32"/>
  <c r="E13" i="82" s="1"/>
  <c r="D13" i="82"/>
  <c r="AV25" i="32"/>
  <c r="E48" i="82" s="1"/>
  <c r="D48" i="82"/>
  <c r="E24" i="32"/>
  <c r="AT24" i="32"/>
  <c r="AC24" i="32"/>
  <c r="Y24" i="32"/>
  <c r="AO24" i="32"/>
  <c r="Z24" i="32"/>
  <c r="H24" i="32"/>
  <c r="AS24" i="32"/>
  <c r="BA24" i="32"/>
  <c r="AZ24" i="32"/>
  <c r="AW24" i="32"/>
  <c r="I24" i="32"/>
  <c r="G24" i="32"/>
  <c r="C24" i="32"/>
  <c r="AE24" i="32"/>
  <c r="AL24" i="32"/>
  <c r="D38" i="82" s="1"/>
  <c r="AB24" i="32"/>
  <c r="BE10" i="32"/>
  <c r="C48" i="50"/>
  <c r="BF8" i="32"/>
  <c r="AM24" i="32"/>
  <c r="BE21" i="32"/>
  <c r="BE22" i="32" s="1"/>
  <c r="BD8" i="32"/>
  <c r="BE8" i="32"/>
  <c r="AX24" i="32"/>
  <c r="BF10" i="32"/>
  <c r="AA24" i="32"/>
  <c r="BG8" i="32"/>
  <c r="BG10" i="32"/>
  <c r="H23" i="65"/>
  <c r="BF21" i="32"/>
  <c r="BF22" i="32" s="1"/>
  <c r="BD10" i="32"/>
  <c r="C21" i="52"/>
  <c r="AN24" i="32"/>
  <c r="P24" i="32"/>
  <c r="F23" i="65"/>
  <c r="N23" i="65"/>
  <c r="P10" i="65"/>
  <c r="C10" i="66" s="1"/>
  <c r="P8" i="65"/>
  <c r="C8" i="66" s="1"/>
  <c r="AD8" i="77"/>
  <c r="AD10" i="77"/>
  <c r="AJ24" i="32"/>
  <c r="AD24" i="32"/>
  <c r="AP24" i="32"/>
  <c r="R24" i="32"/>
  <c r="S24" i="32"/>
  <c r="AH24" i="32"/>
  <c r="T24" i="32"/>
  <c r="C10" i="52"/>
  <c r="U24" i="32"/>
  <c r="O24" i="32"/>
  <c r="AJ22" i="32"/>
  <c r="C36" i="82" s="1"/>
  <c r="C23" i="65"/>
  <c r="AG24" i="32"/>
  <c r="W24" i="32"/>
  <c r="V24" i="32"/>
  <c r="L24" i="32"/>
  <c r="C8" i="52"/>
  <c r="Q24" i="32"/>
  <c r="C24" i="52" s="1"/>
  <c r="AI24" i="32"/>
  <c r="F24" i="32"/>
  <c r="BD21" i="32"/>
  <c r="BD22" i="32" s="1"/>
  <c r="BG21" i="32"/>
  <c r="BG22" i="32" s="1"/>
  <c r="P21" i="65"/>
  <c r="C21" i="66" s="1"/>
  <c r="BC24" i="32"/>
  <c r="BI226" i="24"/>
  <c r="BJ226" i="24"/>
  <c r="BH226" i="24"/>
  <c r="BG226" i="24"/>
  <c r="F220" i="31" s="1"/>
  <c r="BD3" i="22"/>
  <c r="BG3" i="22"/>
  <c r="BF3" i="22"/>
  <c r="BE3" i="22"/>
  <c r="D10" i="82" l="1"/>
  <c r="AL25" i="32"/>
  <c r="E38" i="82" s="1"/>
  <c r="C22" i="52"/>
  <c r="AI25" i="32"/>
  <c r="E35" i="82" s="1"/>
  <c r="D35" i="82"/>
  <c r="V25" i="32"/>
  <c r="E22" i="82" s="1"/>
  <c r="D22" i="82"/>
  <c r="T25" i="32"/>
  <c r="E20" i="82" s="1"/>
  <c r="D20" i="82"/>
  <c r="AP25" i="32"/>
  <c r="E42" i="82" s="1"/>
  <c r="D42" i="82"/>
  <c r="D36" i="82"/>
  <c r="BC25" i="32"/>
  <c r="E55" i="82" s="1"/>
  <c r="D55" i="82"/>
  <c r="F25" i="32"/>
  <c r="E6" i="82" s="1"/>
  <c r="D6" i="82"/>
  <c r="Q25" i="32"/>
  <c r="E17" i="82" s="1"/>
  <c r="D17" i="82"/>
  <c r="L25" i="32"/>
  <c r="E12" i="82" s="1"/>
  <c r="D12" i="82"/>
  <c r="W25" i="32"/>
  <c r="E23" i="82" s="1"/>
  <c r="D23" i="82"/>
  <c r="O25" i="32"/>
  <c r="E15" i="82" s="1"/>
  <c r="D15" i="82"/>
  <c r="AH25" i="32"/>
  <c r="E34" i="82" s="1"/>
  <c r="D34" i="82"/>
  <c r="R25" i="32"/>
  <c r="E18" i="82" s="1"/>
  <c r="D18" i="82"/>
  <c r="AD25" i="32"/>
  <c r="E30" i="82" s="1"/>
  <c r="D30" i="82"/>
  <c r="AN25" i="32"/>
  <c r="E40" i="82" s="1"/>
  <c r="D40" i="82"/>
  <c r="G25" i="32"/>
  <c r="E7" i="82" s="1"/>
  <c r="D7" i="82"/>
  <c r="AW25" i="32"/>
  <c r="E49" i="82" s="1"/>
  <c r="D49" i="82"/>
  <c r="BA25" i="32"/>
  <c r="E53" i="82" s="1"/>
  <c r="D53" i="82"/>
  <c r="H25" i="32"/>
  <c r="E8" i="82" s="1"/>
  <c r="D8" i="82"/>
  <c r="AO25" i="32"/>
  <c r="E41" i="82" s="1"/>
  <c r="D41" i="82"/>
  <c r="AC25" i="32"/>
  <c r="E29" i="82" s="1"/>
  <c r="D29" i="82"/>
  <c r="E25" i="32"/>
  <c r="E5" i="82" s="1"/>
  <c r="D5" i="82"/>
  <c r="AG25" i="32"/>
  <c r="E33" i="82" s="1"/>
  <c r="D33" i="82"/>
  <c r="U25" i="32"/>
  <c r="E21" i="82" s="1"/>
  <c r="D21" i="82"/>
  <c r="S25" i="32"/>
  <c r="E19" i="82" s="1"/>
  <c r="D19" i="82"/>
  <c r="P25" i="32"/>
  <c r="E16" i="82" s="1"/>
  <c r="D16" i="82"/>
  <c r="AA25" i="32"/>
  <c r="E27" i="82" s="1"/>
  <c r="D27" i="82"/>
  <c r="AX25" i="32"/>
  <c r="E50" i="82" s="1"/>
  <c r="D50" i="82"/>
  <c r="AM25" i="32"/>
  <c r="E39" i="82" s="1"/>
  <c r="D39" i="82"/>
  <c r="AB25" i="32"/>
  <c r="E28" i="82" s="1"/>
  <c r="D28" i="82"/>
  <c r="AE25" i="32"/>
  <c r="E31" i="82" s="1"/>
  <c r="D31" i="82"/>
  <c r="C25" i="32"/>
  <c r="E3" i="82" s="1"/>
  <c r="D3" i="82"/>
  <c r="I25" i="32"/>
  <c r="E9" i="82" s="1"/>
  <c r="D9" i="82"/>
  <c r="AZ25" i="32"/>
  <c r="E52" i="82" s="1"/>
  <c r="D52" i="82"/>
  <c r="AS25" i="32"/>
  <c r="E45" i="82" s="1"/>
  <c r="D45" i="82"/>
  <c r="Z25" i="32"/>
  <c r="E26" i="82" s="1"/>
  <c r="D26" i="82"/>
  <c r="Y25" i="32"/>
  <c r="E25" i="82" s="1"/>
  <c r="D25" i="82"/>
  <c r="AT25" i="32"/>
  <c r="E46" i="82" s="1"/>
  <c r="D46" i="82"/>
  <c r="D25" i="32"/>
  <c r="E4" i="82" s="1"/>
  <c r="D4" i="82"/>
  <c r="P23" i="65"/>
  <c r="C23" i="66" s="1"/>
  <c r="BG24" i="32"/>
  <c r="BG25" i="32" s="1"/>
  <c r="BF24" i="32"/>
  <c r="BF25" i="32" s="1"/>
  <c r="BE24" i="32"/>
  <c r="BE25" i="32" s="1"/>
  <c r="BD24" i="32"/>
  <c r="BD25" i="32" s="1"/>
  <c r="AJ25" i="32"/>
  <c r="E36" i="82" s="1"/>
  <c r="BF3" i="24"/>
  <c r="BE3" i="24"/>
  <c r="BD3" i="24"/>
  <c r="BC3" i="24"/>
  <c r="BB3" i="24"/>
  <c r="BA3" i="24"/>
  <c r="AZ3" i="24"/>
  <c r="AY3" i="24"/>
  <c r="AX3" i="24"/>
  <c r="AW3" i="24"/>
  <c r="AV3" i="24"/>
  <c r="AU3" i="24"/>
  <c r="AT3" i="24"/>
  <c r="AS3" i="24"/>
  <c r="AR3" i="24"/>
  <c r="AQ3" i="24"/>
  <c r="AP3" i="24"/>
  <c r="AO3" i="24"/>
  <c r="AN3" i="24"/>
  <c r="AM3" i="24"/>
  <c r="AL3" i="24"/>
  <c r="AK3" i="24"/>
  <c r="AJ3" i="24"/>
  <c r="AI3" i="24"/>
  <c r="AH3"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C25" i="52" l="1"/>
  <c r="BG3" i="24"/>
  <c r="F3" i="31" s="1"/>
  <c r="BJ3" i="24"/>
  <c r="BI3" i="24"/>
  <c r="BH3" i="24"/>
  <c r="BI7" i="23"/>
  <c r="BE3" i="23"/>
  <c r="BD3" i="23"/>
  <c r="BC3" i="23"/>
  <c r="BB3" i="23"/>
  <c r="BA3" i="23"/>
  <c r="AZ3" i="23"/>
  <c r="AY3" i="23"/>
  <c r="AX3" i="23"/>
  <c r="AW3" i="23"/>
  <c r="AV3" i="23"/>
  <c r="AU3" i="23"/>
  <c r="AT3" i="23"/>
  <c r="AS3" i="23"/>
  <c r="AR3" i="23"/>
  <c r="AQ3" i="23"/>
  <c r="AP3" i="23"/>
  <c r="AO3" i="23"/>
  <c r="AN3" i="23"/>
  <c r="AM3" i="23"/>
  <c r="AL3" i="23"/>
  <c r="AK3" i="23"/>
  <c r="AJ3" i="23"/>
  <c r="AI3" i="23"/>
  <c r="AH3" i="23"/>
  <c r="AG3" i="23"/>
  <c r="AF3" i="23"/>
  <c r="AE3" i="23"/>
  <c r="AD3" i="23"/>
  <c r="AC3" i="23"/>
  <c r="AB3" i="23"/>
  <c r="AA3" i="23"/>
  <c r="Z3" i="23"/>
  <c r="Y3" i="23"/>
  <c r="X3" i="23"/>
  <c r="W3" i="23"/>
  <c r="V3" i="23"/>
  <c r="U3" i="23"/>
  <c r="T3" i="23"/>
  <c r="S3" i="23"/>
  <c r="R3" i="23"/>
  <c r="Q3" i="23"/>
  <c r="P3" i="23"/>
  <c r="O3" i="23"/>
  <c r="O7" i="29" s="1"/>
  <c r="N3" i="23"/>
  <c r="M3" i="23"/>
  <c r="L3" i="23"/>
  <c r="K3" i="23"/>
  <c r="J3" i="23"/>
  <c r="I3" i="23"/>
  <c r="H3" i="23"/>
  <c r="G3" i="23"/>
  <c r="F3" i="23"/>
  <c r="E3" i="23"/>
  <c r="D85" i="27"/>
  <c r="C48" i="26"/>
  <c r="D63" i="27"/>
  <c r="C36" i="26"/>
  <c r="D39" i="27"/>
  <c r="C24" i="26"/>
  <c r="C12" i="26"/>
  <c r="BI59" i="23"/>
  <c r="BI60" i="23"/>
  <c r="BI61" i="23"/>
  <c r="BI62" i="23"/>
  <c r="BI63" i="23"/>
  <c r="F61" i="79" s="1"/>
  <c r="BI67" i="23"/>
  <c r="BI68" i="23"/>
  <c r="BI69" i="23"/>
  <c r="BI70" i="23"/>
  <c r="BI71" i="23"/>
  <c r="BI72" i="23"/>
  <c r="BI73" i="23"/>
  <c r="BI79" i="23"/>
  <c r="BI80" i="23"/>
  <c r="BI81" i="23"/>
  <c r="BI85" i="23"/>
  <c r="BI86" i="23"/>
  <c r="BI87" i="23"/>
  <c r="BI91" i="23"/>
  <c r="BI92" i="23"/>
  <c r="BI93" i="23"/>
  <c r="BI94" i="23"/>
  <c r="BI95" i="23"/>
  <c r="BI96" i="23"/>
  <c r="BI97" i="23"/>
  <c r="BI98" i="23"/>
  <c r="BI102" i="23"/>
  <c r="BI103" i="23"/>
  <c r="BI104" i="23"/>
  <c r="BI108" i="23"/>
  <c r="BI109" i="23"/>
  <c r="BI110" i="23"/>
  <c r="BI111" i="23"/>
  <c r="BI112" i="23"/>
  <c r="BI113" i="23"/>
  <c r="BI114" i="23"/>
  <c r="BI115" i="23"/>
  <c r="BI116" i="23"/>
  <c r="BI120" i="23"/>
  <c r="BI124" i="23"/>
  <c r="BI125" i="23"/>
  <c r="BI126" i="23"/>
  <c r="BI127" i="23"/>
  <c r="BI134" i="23"/>
  <c r="BI135" i="23"/>
  <c r="BI136" i="23"/>
  <c r="BI137" i="23"/>
  <c r="BI138" i="23"/>
  <c r="BI139" i="23"/>
  <c r="G61" i="79" s="1"/>
  <c r="BI143" i="23"/>
  <c r="BI144" i="23"/>
  <c r="BI145" i="23"/>
  <c r="BI146" i="23"/>
  <c r="BI147" i="23"/>
  <c r="BI148" i="23"/>
  <c r="BI149" i="23"/>
  <c r="BI156" i="23"/>
  <c r="C61" i="79" s="1"/>
  <c r="BI155" i="23"/>
  <c r="B61" i="79" s="1"/>
  <c r="BI142" i="23"/>
  <c r="BI133" i="23"/>
  <c r="BI130" i="23"/>
  <c r="BI123" i="23"/>
  <c r="BI119" i="23"/>
  <c r="BI107" i="23"/>
  <c r="BI101" i="23"/>
  <c r="BI90" i="23"/>
  <c r="BI84" i="23"/>
  <c r="BI78" i="23"/>
  <c r="BI66" i="23"/>
  <c r="BI58" i="23"/>
  <c r="BI55" i="23"/>
  <c r="BI42" i="23"/>
  <c r="BI34" i="23"/>
  <c r="BI35" i="23"/>
  <c r="BI36" i="23"/>
  <c r="BI37" i="23"/>
  <c r="BI38" i="23"/>
  <c r="BI30" i="23"/>
  <c r="BI18" i="23"/>
  <c r="BI19" i="23"/>
  <c r="BI20" i="23"/>
  <c r="BI21" i="23"/>
  <c r="BI22" i="23"/>
  <c r="BI23" i="23"/>
  <c r="BI24" i="23"/>
  <c r="BI25" i="23"/>
  <c r="BI26" i="23"/>
  <c r="BI46" i="23"/>
  <c r="BI47" i="23"/>
  <c r="BI48" i="23"/>
  <c r="BI49" i="23"/>
  <c r="BI50" i="23"/>
  <c r="BI51" i="23"/>
  <c r="BI52" i="23"/>
  <c r="BI45" i="23"/>
  <c r="BI41" i="23"/>
  <c r="BI33" i="23"/>
  <c r="BI29" i="23"/>
  <c r="BI17" i="23"/>
  <c r="BH18" i="23"/>
  <c r="BH19" i="23"/>
  <c r="BH20" i="23"/>
  <c r="BH21" i="23"/>
  <c r="BH22" i="23"/>
  <c r="BH23" i="23"/>
  <c r="BH24" i="23"/>
  <c r="BH25" i="23"/>
  <c r="BH26" i="23"/>
  <c r="BH30" i="23"/>
  <c r="BH34" i="23"/>
  <c r="BH35" i="23"/>
  <c r="BH36" i="23"/>
  <c r="BH37" i="23"/>
  <c r="BH38" i="23"/>
  <c r="BH42" i="23"/>
  <c r="BH46" i="23"/>
  <c r="BH47" i="23"/>
  <c r="BH48" i="23"/>
  <c r="BH49" i="23"/>
  <c r="BH50" i="23"/>
  <c r="BH51" i="23"/>
  <c r="BH52" i="23"/>
  <c r="BH59" i="23"/>
  <c r="BH60" i="23"/>
  <c r="BH61" i="23"/>
  <c r="BH62" i="23"/>
  <c r="BH63" i="23"/>
  <c r="F60" i="79" s="1"/>
  <c r="BH67" i="23"/>
  <c r="BH68" i="23"/>
  <c r="BH69" i="23"/>
  <c r="BH70" i="23"/>
  <c r="BH71" i="23"/>
  <c r="BH72" i="23"/>
  <c r="BH73" i="23"/>
  <c r="BH79" i="23"/>
  <c r="BH80" i="23"/>
  <c r="BH81" i="23"/>
  <c r="BH85" i="23"/>
  <c r="BH86" i="23"/>
  <c r="BH87" i="23"/>
  <c r="BH91" i="23"/>
  <c r="BH92" i="23"/>
  <c r="BH93" i="23"/>
  <c r="BH94" i="23"/>
  <c r="BH95" i="23"/>
  <c r="BH96" i="23"/>
  <c r="BH97" i="23"/>
  <c r="BH98" i="23"/>
  <c r="BH102" i="23"/>
  <c r="BH103" i="23"/>
  <c r="BH104" i="23"/>
  <c r="BH108" i="23"/>
  <c r="BH109" i="23"/>
  <c r="BH110" i="23"/>
  <c r="BH111" i="23"/>
  <c r="BH112" i="23"/>
  <c r="BH113" i="23"/>
  <c r="BH114" i="23"/>
  <c r="BH115" i="23"/>
  <c r="BH116" i="23"/>
  <c r="BH120" i="23"/>
  <c r="BG120" i="23"/>
  <c r="BH124" i="23"/>
  <c r="BH125" i="23"/>
  <c r="BH126" i="23"/>
  <c r="BH127" i="23"/>
  <c r="BH134" i="23"/>
  <c r="BH135" i="23"/>
  <c r="BH136" i="23"/>
  <c r="BH137" i="23"/>
  <c r="BH138" i="23"/>
  <c r="BH139" i="23"/>
  <c r="G60" i="79" s="1"/>
  <c r="BH143" i="23"/>
  <c r="BH144" i="23"/>
  <c r="BH145" i="23"/>
  <c r="BH146" i="23"/>
  <c r="BH147" i="23"/>
  <c r="BH148" i="23"/>
  <c r="BH149" i="23"/>
  <c r="BH156" i="23"/>
  <c r="C60" i="79" s="1"/>
  <c r="BH155" i="23"/>
  <c r="B60" i="79" s="1"/>
  <c r="BH142" i="23"/>
  <c r="BH133" i="23"/>
  <c r="BH130" i="23"/>
  <c r="BH123" i="23"/>
  <c r="BH119" i="23"/>
  <c r="BH107" i="23"/>
  <c r="BH101" i="23"/>
  <c r="BH90" i="23"/>
  <c r="BH84" i="23"/>
  <c r="BH78" i="23"/>
  <c r="BH66" i="23"/>
  <c r="BH58" i="23"/>
  <c r="BH55" i="23"/>
  <c r="BH45" i="23"/>
  <c r="BH41" i="23"/>
  <c r="BH33" i="23"/>
  <c r="BH29" i="23"/>
  <c r="BH17" i="23"/>
  <c r="BG156" i="23"/>
  <c r="C59" i="79" s="1"/>
  <c r="BG143" i="23"/>
  <c r="BG144" i="23"/>
  <c r="BG145" i="23"/>
  <c r="BG146" i="23"/>
  <c r="BG147" i="23"/>
  <c r="BG148" i="23"/>
  <c r="BG149" i="23"/>
  <c r="BG134" i="23"/>
  <c r="BG135" i="23"/>
  <c r="BG136" i="23"/>
  <c r="BG137" i="23"/>
  <c r="BG138" i="23"/>
  <c r="BG139" i="23"/>
  <c r="G59" i="79" s="1"/>
  <c r="BG124" i="23"/>
  <c r="BG125" i="23"/>
  <c r="BG126" i="23"/>
  <c r="BG127" i="23"/>
  <c r="BG155" i="23"/>
  <c r="B59" i="79" s="1"/>
  <c r="BG142" i="23"/>
  <c r="BG133" i="23"/>
  <c r="BG130" i="23"/>
  <c r="BG123" i="23"/>
  <c r="BG119" i="23"/>
  <c r="BG108" i="23"/>
  <c r="BG109" i="23"/>
  <c r="BG110" i="23"/>
  <c r="BG111" i="23"/>
  <c r="BG112" i="23"/>
  <c r="BG113" i="23"/>
  <c r="BG114" i="23"/>
  <c r="BG115" i="23"/>
  <c r="BG116" i="23"/>
  <c r="BG107" i="23"/>
  <c r="BG104" i="23"/>
  <c r="BG102" i="23"/>
  <c r="BG103" i="23"/>
  <c r="BG101" i="23"/>
  <c r="BG91" i="23"/>
  <c r="BG92" i="23"/>
  <c r="BG93" i="23"/>
  <c r="BG94" i="23"/>
  <c r="BG95" i="23"/>
  <c r="BG96" i="23"/>
  <c r="BG97" i="23"/>
  <c r="BG98" i="23"/>
  <c r="BG90" i="23"/>
  <c r="BG85" i="23"/>
  <c r="BG86" i="23"/>
  <c r="BG87" i="23"/>
  <c r="BG84" i="23"/>
  <c r="BG79" i="23"/>
  <c r="BG80" i="23"/>
  <c r="BG81" i="23"/>
  <c r="BG78" i="23"/>
  <c r="BG67" i="23"/>
  <c r="BG68" i="23"/>
  <c r="BG69" i="23"/>
  <c r="BG70" i="23"/>
  <c r="BG71" i="23"/>
  <c r="BG72" i="23"/>
  <c r="BG73" i="23"/>
  <c r="BG66" i="23"/>
  <c r="BG59" i="23"/>
  <c r="BG60" i="23"/>
  <c r="BG61" i="23"/>
  <c r="BG62" i="23"/>
  <c r="BG63" i="23"/>
  <c r="F59" i="79" s="1"/>
  <c r="BG58" i="23"/>
  <c r="BG55" i="23"/>
  <c r="BG46" i="23"/>
  <c r="BG47" i="23"/>
  <c r="BG48" i="23"/>
  <c r="BG49" i="23"/>
  <c r="BG50" i="23"/>
  <c r="BG51" i="23"/>
  <c r="BG52" i="23"/>
  <c r="BG45" i="23"/>
  <c r="BG42" i="23"/>
  <c r="BG41" i="23"/>
  <c r="BG34" i="23"/>
  <c r="BG35" i="23"/>
  <c r="BG36" i="23"/>
  <c r="BG37" i="23"/>
  <c r="BG38" i="23"/>
  <c r="BG33" i="23"/>
  <c r="BG30" i="23"/>
  <c r="BG29" i="23"/>
  <c r="BG18" i="23"/>
  <c r="BG19" i="23"/>
  <c r="BG20" i="23"/>
  <c r="BG21" i="23"/>
  <c r="BG22" i="23"/>
  <c r="BG23" i="23"/>
  <c r="BG24" i="23"/>
  <c r="BG25" i="23"/>
  <c r="BG26" i="23"/>
  <c r="BG17" i="23"/>
  <c r="BG3" i="23" l="1"/>
  <c r="D36" i="27"/>
  <c r="C23" i="26"/>
  <c r="C20" i="26"/>
  <c r="D40" i="27"/>
  <c r="C34" i="26"/>
  <c r="C35" i="26"/>
  <c r="D60" i="27"/>
  <c r="D82" i="27"/>
  <c r="C46" i="26"/>
  <c r="D84" i="27"/>
  <c r="D37" i="27"/>
  <c r="D35" i="27"/>
  <c r="D38" i="27"/>
  <c r="C22" i="26"/>
  <c r="C32" i="26"/>
  <c r="D64" i="27"/>
  <c r="D62" i="27"/>
  <c r="D61" i="27"/>
  <c r="D59" i="27"/>
  <c r="D83" i="27"/>
  <c r="D81" i="27"/>
  <c r="C44" i="26"/>
  <c r="D86" i="27"/>
  <c r="C47" i="26"/>
  <c r="C33" i="26"/>
  <c r="BI221" i="24"/>
  <c r="BI224" i="24" s="1"/>
  <c r="C45" i="26"/>
  <c r="BJ221" i="24"/>
  <c r="BJ224" i="24" s="1"/>
  <c r="C21" i="26"/>
  <c r="BH221" i="24"/>
  <c r="BH224" i="24" s="1"/>
  <c r="F166" i="29"/>
  <c r="F167" i="29"/>
  <c r="F165" i="29"/>
  <c r="F168" i="29"/>
  <c r="F169" i="29"/>
  <c r="F172" i="29"/>
  <c r="F170" i="29"/>
  <c r="F171" i="29"/>
  <c r="F174" i="29"/>
  <c r="F175" i="29"/>
  <c r="F173" i="29"/>
  <c r="F176" i="29"/>
  <c r="F177" i="29"/>
  <c r="H166" i="29"/>
  <c r="H167" i="29"/>
  <c r="H168" i="29"/>
  <c r="H169" i="29"/>
  <c r="H172" i="29"/>
  <c r="H165" i="29"/>
  <c r="H170" i="29"/>
  <c r="H171" i="29"/>
  <c r="H174" i="29"/>
  <c r="H175" i="29"/>
  <c r="H173" i="29"/>
  <c r="H176" i="29"/>
  <c r="H177" i="29"/>
  <c r="J166" i="29"/>
  <c r="J167" i="29"/>
  <c r="J165" i="29"/>
  <c r="J168" i="29"/>
  <c r="J169" i="29"/>
  <c r="J172" i="29"/>
  <c r="J170" i="29"/>
  <c r="J171" i="29"/>
  <c r="J174" i="29"/>
  <c r="J175" i="29"/>
  <c r="J173" i="29"/>
  <c r="J176" i="29"/>
  <c r="J177" i="29"/>
  <c r="L166" i="29"/>
  <c r="L167" i="29"/>
  <c r="L168" i="29"/>
  <c r="L169" i="29"/>
  <c r="L172" i="29"/>
  <c r="L165" i="29"/>
  <c r="L174" i="29"/>
  <c r="L175" i="29"/>
  <c r="L170" i="29"/>
  <c r="L171" i="29"/>
  <c r="L173" i="29"/>
  <c r="L176" i="29"/>
  <c r="L177" i="29"/>
  <c r="N166" i="29"/>
  <c r="N167" i="29"/>
  <c r="N165" i="29"/>
  <c r="N168" i="29"/>
  <c r="N169" i="29"/>
  <c r="N172" i="29"/>
  <c r="N170" i="29"/>
  <c r="N171" i="29"/>
  <c r="N174" i="29"/>
  <c r="N175" i="29"/>
  <c r="N173" i="29"/>
  <c r="N176" i="29"/>
  <c r="N177" i="29"/>
  <c r="P166" i="29"/>
  <c r="P167" i="29"/>
  <c r="P168" i="29"/>
  <c r="P169" i="29"/>
  <c r="P172" i="29"/>
  <c r="P170" i="29"/>
  <c r="P171" i="29"/>
  <c r="P174" i="29"/>
  <c r="P175" i="29"/>
  <c r="P165" i="29"/>
  <c r="P173" i="29"/>
  <c r="P176" i="29"/>
  <c r="P177" i="29"/>
  <c r="R166" i="29"/>
  <c r="R167" i="29"/>
  <c r="R165" i="29"/>
  <c r="R168" i="29"/>
  <c r="R169" i="29"/>
  <c r="R172" i="29"/>
  <c r="R170" i="29"/>
  <c r="R171" i="29"/>
  <c r="R174" i="29"/>
  <c r="R175" i="29"/>
  <c r="R173" i="29"/>
  <c r="R176" i="29"/>
  <c r="R177" i="29"/>
  <c r="T166" i="29"/>
  <c r="T167" i="29"/>
  <c r="T168" i="29"/>
  <c r="T169" i="29"/>
  <c r="T172" i="29"/>
  <c r="T165" i="29"/>
  <c r="T174" i="29"/>
  <c r="T175" i="29"/>
  <c r="T170" i="29"/>
  <c r="T171" i="29"/>
  <c r="T173" i="29"/>
  <c r="T176" i="29"/>
  <c r="T177" i="29"/>
  <c r="V166" i="29"/>
  <c r="V167" i="29"/>
  <c r="V165" i="29"/>
  <c r="V168" i="29"/>
  <c r="V169" i="29"/>
  <c r="V172" i="29"/>
  <c r="V170" i="29"/>
  <c r="V171" i="29"/>
  <c r="V174" i="29"/>
  <c r="V175" i="29"/>
  <c r="V173" i="29"/>
  <c r="V176" i="29"/>
  <c r="V177" i="29"/>
  <c r="X166" i="29"/>
  <c r="X167" i="29"/>
  <c r="X168" i="29"/>
  <c r="X169" i="29"/>
  <c r="X172" i="29"/>
  <c r="X165" i="29"/>
  <c r="X170" i="29"/>
  <c r="X171" i="29"/>
  <c r="X174" i="29"/>
  <c r="X175" i="29"/>
  <c r="X173" i="29"/>
  <c r="X176" i="29"/>
  <c r="X177" i="29"/>
  <c r="Z166" i="29"/>
  <c r="Z167" i="29"/>
  <c r="Z165" i="29"/>
  <c r="Z168" i="29"/>
  <c r="Z169" i="29"/>
  <c r="Z172" i="29"/>
  <c r="Z170" i="29"/>
  <c r="Z171" i="29"/>
  <c r="Z174" i="29"/>
  <c r="Z175" i="29"/>
  <c r="Z173" i="29"/>
  <c r="Z176" i="29"/>
  <c r="Z177" i="29"/>
  <c r="AB166" i="29"/>
  <c r="AB167" i="29"/>
  <c r="AB168" i="29"/>
  <c r="AB169" i="29"/>
  <c r="AB172" i="29"/>
  <c r="AB165" i="29"/>
  <c r="AB174" i="29"/>
  <c r="AB175" i="29"/>
  <c r="AB170" i="29"/>
  <c r="AB171" i="29"/>
  <c r="AB173" i="29"/>
  <c r="AB176" i="29"/>
  <c r="AB177" i="29"/>
  <c r="AD166" i="29"/>
  <c r="AD167" i="29"/>
  <c r="AD165" i="29"/>
  <c r="AD168" i="29"/>
  <c r="AD169" i="29"/>
  <c r="AD172" i="29"/>
  <c r="AD170" i="29"/>
  <c r="AD171" i="29"/>
  <c r="AD174" i="29"/>
  <c r="AD175" i="29"/>
  <c r="AD173" i="29"/>
  <c r="AD176" i="29"/>
  <c r="AD177" i="29"/>
  <c r="AF166" i="29"/>
  <c r="AF167" i="29"/>
  <c r="AF168" i="29"/>
  <c r="AF169" i="29"/>
  <c r="AF172" i="29"/>
  <c r="AF170" i="29"/>
  <c r="AF171" i="29"/>
  <c r="AF174" i="29"/>
  <c r="AF175" i="29"/>
  <c r="AF165" i="29"/>
  <c r="AF173" i="29"/>
  <c r="AF176" i="29"/>
  <c r="AF177" i="29"/>
  <c r="AH166" i="29"/>
  <c r="AH167" i="29"/>
  <c r="AH165" i="29"/>
  <c r="AH168" i="29"/>
  <c r="AH169" i="29"/>
  <c r="AH170" i="29"/>
  <c r="AH171" i="29"/>
  <c r="AH174" i="29"/>
  <c r="AH175" i="29"/>
  <c r="AH172" i="29"/>
  <c r="AH173" i="29"/>
  <c r="AH176" i="29"/>
  <c r="AH177" i="29"/>
  <c r="AJ166" i="29"/>
  <c r="AJ167" i="29"/>
  <c r="AJ168" i="29"/>
  <c r="AJ169" i="29"/>
  <c r="AJ165" i="29"/>
  <c r="AJ174" i="29"/>
  <c r="AJ175" i="29"/>
  <c r="AJ170" i="29"/>
  <c r="AJ171" i="29"/>
  <c r="AJ172" i="29"/>
  <c r="AJ173" i="29"/>
  <c r="AJ176" i="29"/>
  <c r="AJ177" i="29"/>
  <c r="AL166" i="29"/>
  <c r="AL167" i="29"/>
  <c r="AL165" i="29"/>
  <c r="AL168" i="29"/>
  <c r="AL169" i="29"/>
  <c r="AL170" i="29"/>
  <c r="AL171" i="29"/>
  <c r="AL174" i="29"/>
  <c r="AL175" i="29"/>
  <c r="AL172" i="29"/>
  <c r="AL173" i="29"/>
  <c r="AL176" i="29"/>
  <c r="AL177" i="29"/>
  <c r="AN166" i="29"/>
  <c r="AN167" i="29"/>
  <c r="AN168" i="29"/>
  <c r="AN169" i="29"/>
  <c r="AN165" i="29"/>
  <c r="AN170" i="29"/>
  <c r="AN171" i="29"/>
  <c r="AN174" i="29"/>
  <c r="AN175" i="29"/>
  <c r="AN172" i="29"/>
  <c r="AN173" i="29"/>
  <c r="AN176" i="29"/>
  <c r="AN177" i="29"/>
  <c r="AP166" i="29"/>
  <c r="AP167" i="29"/>
  <c r="AP165" i="29"/>
  <c r="AP168" i="29"/>
  <c r="AP169" i="29"/>
  <c r="AP170" i="29"/>
  <c r="AP171" i="29"/>
  <c r="AP174" i="29"/>
  <c r="AP175" i="29"/>
  <c r="AP172" i="29"/>
  <c r="AP173" i="29"/>
  <c r="AP176" i="29"/>
  <c r="AP177" i="29"/>
  <c r="AR166" i="29"/>
  <c r="AR167" i="29"/>
  <c r="AR168" i="29"/>
  <c r="AR169" i="29"/>
  <c r="AR165" i="29"/>
  <c r="AR174" i="29"/>
  <c r="AR175" i="29"/>
  <c r="AR170" i="29"/>
  <c r="AR171" i="29"/>
  <c r="AR172" i="29"/>
  <c r="AR173" i="29"/>
  <c r="AR176" i="29"/>
  <c r="AR177" i="29"/>
  <c r="AT166" i="29"/>
  <c r="AT167" i="29"/>
  <c r="AT165" i="29"/>
  <c r="AT168" i="29"/>
  <c r="AT169" i="29"/>
  <c r="AT170" i="29"/>
  <c r="AT171" i="29"/>
  <c r="AT174" i="29"/>
  <c r="AT175" i="29"/>
  <c r="AT172" i="29"/>
  <c r="AT173" i="29"/>
  <c r="AT176" i="29"/>
  <c r="AT177" i="29"/>
  <c r="AV166" i="29"/>
  <c r="AV167" i="29"/>
  <c r="AV168" i="29"/>
  <c r="AV169" i="29"/>
  <c r="AV170" i="29"/>
  <c r="AV171" i="29"/>
  <c r="AV174" i="29"/>
  <c r="AV175" i="29"/>
  <c r="AV165" i="29"/>
  <c r="AV172" i="29"/>
  <c r="AV173" i="29"/>
  <c r="AV176" i="29"/>
  <c r="AV177" i="29"/>
  <c r="AX166" i="29"/>
  <c r="AX167" i="29"/>
  <c r="AX165" i="29"/>
  <c r="AX168" i="29"/>
  <c r="AX169" i="29"/>
  <c r="AX170" i="29"/>
  <c r="AX171" i="29"/>
  <c r="AX174" i="29"/>
  <c r="AX175" i="29"/>
  <c r="AX172" i="29"/>
  <c r="AX173" i="29"/>
  <c r="AX176" i="29"/>
  <c r="AX177" i="29"/>
  <c r="AZ166" i="29"/>
  <c r="AZ167" i="29"/>
  <c r="AZ168" i="29"/>
  <c r="AZ169" i="29"/>
  <c r="AZ165" i="29"/>
  <c r="AZ174" i="29"/>
  <c r="AZ175" i="29"/>
  <c r="AZ170" i="29"/>
  <c r="AZ171" i="29"/>
  <c r="AZ172" i="29"/>
  <c r="AZ173" i="29"/>
  <c r="AZ176" i="29"/>
  <c r="AZ177" i="29"/>
  <c r="BB166" i="29"/>
  <c r="BB167" i="29"/>
  <c r="BB165" i="29"/>
  <c r="BB168" i="29"/>
  <c r="BB169" i="29"/>
  <c r="BB170" i="29"/>
  <c r="BB171" i="29"/>
  <c r="BB174" i="29"/>
  <c r="BB175" i="29"/>
  <c r="BB172" i="29"/>
  <c r="BB173" i="29"/>
  <c r="BB176" i="29"/>
  <c r="BB177" i="29"/>
  <c r="BD166" i="29"/>
  <c r="BD167" i="29"/>
  <c r="BD168" i="29"/>
  <c r="BD169" i="29"/>
  <c r="BD165" i="29"/>
  <c r="BD170" i="29"/>
  <c r="BD171" i="29"/>
  <c r="BD174" i="29"/>
  <c r="BD175" i="29"/>
  <c r="BD172" i="29"/>
  <c r="BD173" i="29"/>
  <c r="BD176" i="29"/>
  <c r="BD177" i="29"/>
  <c r="E165" i="29"/>
  <c r="E166" i="29"/>
  <c r="E167" i="29"/>
  <c r="E170" i="29"/>
  <c r="E171" i="29"/>
  <c r="E172" i="29"/>
  <c r="E173" i="29"/>
  <c r="E176" i="29"/>
  <c r="E177" i="29"/>
  <c r="E168" i="29"/>
  <c r="E169" i="29"/>
  <c r="E174" i="29"/>
  <c r="E175" i="29"/>
  <c r="G165" i="29"/>
  <c r="G170" i="29"/>
  <c r="G171" i="29"/>
  <c r="G168" i="29"/>
  <c r="G169" i="29"/>
  <c r="G167" i="29"/>
  <c r="G172" i="29"/>
  <c r="G173" i="29"/>
  <c r="G176" i="29"/>
  <c r="G177" i="29"/>
  <c r="G166" i="29"/>
  <c r="G174" i="29"/>
  <c r="G175" i="29"/>
  <c r="I165" i="29"/>
  <c r="I166" i="29"/>
  <c r="I167" i="29"/>
  <c r="I170" i="29"/>
  <c r="I171" i="29"/>
  <c r="I172" i="29"/>
  <c r="I168" i="29"/>
  <c r="I169" i="29"/>
  <c r="I173" i="29"/>
  <c r="I176" i="29"/>
  <c r="I177" i="29"/>
  <c r="I174" i="29"/>
  <c r="I175" i="29"/>
  <c r="K165" i="29"/>
  <c r="K170" i="29"/>
  <c r="K171" i="29"/>
  <c r="K166" i="29"/>
  <c r="K167" i="29"/>
  <c r="K168" i="29"/>
  <c r="K169" i="29"/>
  <c r="K173" i="29"/>
  <c r="K176" i="29"/>
  <c r="K177" i="29"/>
  <c r="K172" i="29"/>
  <c r="K174" i="29"/>
  <c r="K175" i="29"/>
  <c r="M165" i="29"/>
  <c r="M166" i="29"/>
  <c r="M167" i="29"/>
  <c r="M170" i="29"/>
  <c r="M171" i="29"/>
  <c r="M172" i="29"/>
  <c r="M173" i="29"/>
  <c r="M176" i="29"/>
  <c r="M177" i="29"/>
  <c r="M168" i="29"/>
  <c r="M169" i="29"/>
  <c r="M174" i="29"/>
  <c r="M175" i="29"/>
  <c r="O165" i="29"/>
  <c r="O170" i="29"/>
  <c r="O171" i="29"/>
  <c r="O168" i="29"/>
  <c r="O169" i="29"/>
  <c r="O166" i="29"/>
  <c r="O172" i="29"/>
  <c r="O173" i="29"/>
  <c r="O176" i="29"/>
  <c r="O177" i="29"/>
  <c r="O167" i="29"/>
  <c r="O174" i="29"/>
  <c r="O175" i="29"/>
  <c r="Q165" i="29"/>
  <c r="Q166" i="29"/>
  <c r="Q167" i="29"/>
  <c r="Q170" i="29"/>
  <c r="Q171" i="29"/>
  <c r="Q172" i="29"/>
  <c r="Q168" i="29"/>
  <c r="Q169" i="29"/>
  <c r="Q173" i="29"/>
  <c r="Q176" i="29"/>
  <c r="Q177" i="29"/>
  <c r="Q174" i="29"/>
  <c r="Q175" i="29"/>
  <c r="S165" i="29"/>
  <c r="S170" i="29"/>
  <c r="S171" i="29"/>
  <c r="S166" i="29"/>
  <c r="S167" i="29"/>
  <c r="S168" i="29"/>
  <c r="S169" i="29"/>
  <c r="S173" i="29"/>
  <c r="S176" i="29"/>
  <c r="S177" i="29"/>
  <c r="S172" i="29"/>
  <c r="S174" i="29"/>
  <c r="S175" i="29"/>
  <c r="U165" i="29"/>
  <c r="U166" i="29"/>
  <c r="U167" i="29"/>
  <c r="U170" i="29"/>
  <c r="U171" i="29"/>
  <c r="U172" i="29"/>
  <c r="U173" i="29"/>
  <c r="U176" i="29"/>
  <c r="U177" i="29"/>
  <c r="U168" i="29"/>
  <c r="U169" i="29"/>
  <c r="U174" i="29"/>
  <c r="U175" i="29"/>
  <c r="W165" i="29"/>
  <c r="W170" i="29"/>
  <c r="W171" i="29"/>
  <c r="W168" i="29"/>
  <c r="W169" i="29"/>
  <c r="W167" i="29"/>
  <c r="W172" i="29"/>
  <c r="W173" i="29"/>
  <c r="W176" i="29"/>
  <c r="W177" i="29"/>
  <c r="W166" i="29"/>
  <c r="W174" i="29"/>
  <c r="W175" i="29"/>
  <c r="Y165" i="29"/>
  <c r="Y166" i="29"/>
  <c r="Y167" i="29"/>
  <c r="Y170" i="29"/>
  <c r="Y171" i="29"/>
  <c r="Y172" i="29"/>
  <c r="Y168" i="29"/>
  <c r="Y169" i="29"/>
  <c r="Y173" i="29"/>
  <c r="Y176" i="29"/>
  <c r="Y177" i="29"/>
  <c r="Y174" i="29"/>
  <c r="Y175" i="29"/>
  <c r="AA165" i="29"/>
  <c r="AA170" i="29"/>
  <c r="AA171" i="29"/>
  <c r="AA166" i="29"/>
  <c r="AA167" i="29"/>
  <c r="AA168" i="29"/>
  <c r="AA169" i="29"/>
  <c r="AA173" i="29"/>
  <c r="AA176" i="29"/>
  <c r="AA177" i="29"/>
  <c r="AA172" i="29"/>
  <c r="AA174" i="29"/>
  <c r="AA175" i="29"/>
  <c r="AC165" i="29"/>
  <c r="AC166" i="29"/>
  <c r="AC167" i="29"/>
  <c r="AC170" i="29"/>
  <c r="AC171" i="29"/>
  <c r="AC172" i="29"/>
  <c r="AC173" i="29"/>
  <c r="AC176" i="29"/>
  <c r="AC177" i="29"/>
  <c r="AC168" i="29"/>
  <c r="AC169" i="29"/>
  <c r="AC174" i="29"/>
  <c r="AC175" i="29"/>
  <c r="AE165" i="29"/>
  <c r="AE170" i="29"/>
  <c r="AE171" i="29"/>
  <c r="AE168" i="29"/>
  <c r="AE169" i="29"/>
  <c r="AE166" i="29"/>
  <c r="AE172" i="29"/>
  <c r="AE173" i="29"/>
  <c r="AE176" i="29"/>
  <c r="AE177" i="29"/>
  <c r="AE167" i="29"/>
  <c r="AE174" i="29"/>
  <c r="AE175" i="29"/>
  <c r="AG165" i="29"/>
  <c r="AG166" i="29"/>
  <c r="AG167" i="29"/>
  <c r="AG170" i="29"/>
  <c r="AG171" i="29"/>
  <c r="AG172" i="29"/>
  <c r="AG168" i="29"/>
  <c r="AG169" i="29"/>
  <c r="AG173" i="29"/>
  <c r="AG176" i="29"/>
  <c r="AG177" i="29"/>
  <c r="AG174" i="29"/>
  <c r="AG175" i="29"/>
  <c r="AI165" i="29"/>
  <c r="AI170" i="29"/>
  <c r="AI171" i="29"/>
  <c r="AI166" i="29"/>
  <c r="AI167" i="29"/>
  <c r="AI168" i="29"/>
  <c r="AI169" i="29"/>
  <c r="AI172" i="29"/>
  <c r="AI173" i="29"/>
  <c r="AI176" i="29"/>
  <c r="AI177" i="29"/>
  <c r="AI174" i="29"/>
  <c r="AI175" i="29"/>
  <c r="AK165" i="29"/>
  <c r="AK166" i="29"/>
  <c r="AK167" i="29"/>
  <c r="AK170" i="29"/>
  <c r="AK171" i="29"/>
  <c r="AK172" i="29"/>
  <c r="AK173" i="29"/>
  <c r="AK176" i="29"/>
  <c r="AK177" i="29"/>
  <c r="AK168" i="29"/>
  <c r="AK169" i="29"/>
  <c r="AK174" i="29"/>
  <c r="AK175" i="29"/>
  <c r="AM165" i="29"/>
  <c r="AM170" i="29"/>
  <c r="AM171" i="29"/>
  <c r="AM168" i="29"/>
  <c r="AM169" i="29"/>
  <c r="AM167" i="29"/>
  <c r="AM172" i="29"/>
  <c r="AM173" i="29"/>
  <c r="AM176" i="29"/>
  <c r="AM177" i="29"/>
  <c r="AM166" i="29"/>
  <c r="AM174" i="29"/>
  <c r="AM175" i="29"/>
  <c r="AO165" i="29"/>
  <c r="AO166" i="29"/>
  <c r="AO167" i="29"/>
  <c r="AO170" i="29"/>
  <c r="AO171" i="29"/>
  <c r="AO168" i="29"/>
  <c r="AO169" i="29"/>
  <c r="AO172" i="29"/>
  <c r="AO173" i="29"/>
  <c r="AO176" i="29"/>
  <c r="AO177" i="29"/>
  <c r="AO174" i="29"/>
  <c r="AO175" i="29"/>
  <c r="AQ165" i="29"/>
  <c r="AQ170" i="29"/>
  <c r="AQ171" i="29"/>
  <c r="AQ166" i="29"/>
  <c r="AQ167" i="29"/>
  <c r="AQ168" i="29"/>
  <c r="AQ169" i="29"/>
  <c r="AQ172" i="29"/>
  <c r="AQ173" i="29"/>
  <c r="AQ176" i="29"/>
  <c r="AQ177" i="29"/>
  <c r="AQ174" i="29"/>
  <c r="AQ175" i="29"/>
  <c r="AS165" i="29"/>
  <c r="AS166" i="29"/>
  <c r="AS167" i="29"/>
  <c r="AS170" i="29"/>
  <c r="AS171" i="29"/>
  <c r="AS172" i="29"/>
  <c r="AS173" i="29"/>
  <c r="AS176" i="29"/>
  <c r="AS177" i="29"/>
  <c r="AS168" i="29"/>
  <c r="AS169" i="29"/>
  <c r="AS174" i="29"/>
  <c r="AS175" i="29"/>
  <c r="AU165" i="29"/>
  <c r="AU170" i="29"/>
  <c r="AU171" i="29"/>
  <c r="AU168" i="29"/>
  <c r="AU169" i="29"/>
  <c r="AU166" i="29"/>
  <c r="AU172" i="29"/>
  <c r="AU173" i="29"/>
  <c r="AU176" i="29"/>
  <c r="AU177" i="29"/>
  <c r="AU167" i="29"/>
  <c r="AU174" i="29"/>
  <c r="AU175" i="29"/>
  <c r="AW165" i="29"/>
  <c r="AW166" i="29"/>
  <c r="AW167" i="29"/>
  <c r="AW170" i="29"/>
  <c r="AW171" i="29"/>
  <c r="AW168" i="29"/>
  <c r="AW169" i="29"/>
  <c r="AW172" i="29"/>
  <c r="AW173" i="29"/>
  <c r="AW176" i="29"/>
  <c r="AW177" i="29"/>
  <c r="AW174" i="29"/>
  <c r="AW175" i="29"/>
  <c r="AY165" i="29"/>
  <c r="AY170" i="29"/>
  <c r="AY171" i="29"/>
  <c r="AY166" i="29"/>
  <c r="AY167" i="29"/>
  <c r="AY168" i="29"/>
  <c r="AY169" i="29"/>
  <c r="AY172" i="29"/>
  <c r="AY173" i="29"/>
  <c r="AY176" i="29"/>
  <c r="AY177" i="29"/>
  <c r="AY174" i="29"/>
  <c r="AY175" i="29"/>
  <c r="BA165" i="29"/>
  <c r="BA166" i="29"/>
  <c r="BA167" i="29"/>
  <c r="BA170" i="29"/>
  <c r="BA171" i="29"/>
  <c r="BA172" i="29"/>
  <c r="BA173" i="29"/>
  <c r="BA176" i="29"/>
  <c r="BA177" i="29"/>
  <c r="BA168" i="29"/>
  <c r="BA169" i="29"/>
  <c r="BA174" i="29"/>
  <c r="BA175" i="29"/>
  <c r="BC165" i="29"/>
  <c r="BC170" i="29"/>
  <c r="BC171" i="29"/>
  <c r="BC168" i="29"/>
  <c r="BC169" i="29"/>
  <c r="BC167" i="29"/>
  <c r="BC172" i="29"/>
  <c r="BC173" i="29"/>
  <c r="BC176" i="29"/>
  <c r="BC177" i="29"/>
  <c r="BC166" i="29"/>
  <c r="BC174" i="29"/>
  <c r="BC175" i="29"/>
  <c r="BE165" i="29"/>
  <c r="BE166" i="29"/>
  <c r="BE167" i="29"/>
  <c r="BE170" i="29"/>
  <c r="BE171" i="29"/>
  <c r="BE168" i="29"/>
  <c r="BE169" i="29"/>
  <c r="BE172" i="29"/>
  <c r="BE173" i="29"/>
  <c r="BE176" i="29"/>
  <c r="BE177" i="29"/>
  <c r="BE174" i="29"/>
  <c r="BE175" i="29"/>
  <c r="E9" i="40"/>
  <c r="E4" i="39"/>
  <c r="E4" i="38"/>
  <c r="E11" i="38" s="1"/>
  <c r="E4" i="37"/>
  <c r="E4" i="36"/>
  <c r="E4" i="35"/>
  <c r="G9" i="40"/>
  <c r="G4" i="39"/>
  <c r="G4" i="38"/>
  <c r="G11" i="38" s="1"/>
  <c r="G13" i="38" s="1"/>
  <c r="G35" i="40" s="1"/>
  <c r="G4" i="37"/>
  <c r="G4" i="36"/>
  <c r="G4" i="35"/>
  <c r="I9" i="40"/>
  <c r="I4" i="39"/>
  <c r="I4" i="38"/>
  <c r="I11" i="38" s="1"/>
  <c r="I13" i="38" s="1"/>
  <c r="I35" i="40" s="1"/>
  <c r="I4" i="37"/>
  <c r="I4" i="36"/>
  <c r="I4" i="35"/>
  <c r="K9" i="40"/>
  <c r="K4" i="39"/>
  <c r="K4" i="38"/>
  <c r="K11" i="38" s="1"/>
  <c r="K13" i="38" s="1"/>
  <c r="K35" i="40" s="1"/>
  <c r="K4" i="37"/>
  <c r="K4" i="36"/>
  <c r="K4" i="35"/>
  <c r="M9" i="40"/>
  <c r="M4" i="39"/>
  <c r="M4" i="38"/>
  <c r="M11" i="38" s="1"/>
  <c r="M13" i="38" s="1"/>
  <c r="M35" i="40" s="1"/>
  <c r="M4" i="37"/>
  <c r="M4" i="36"/>
  <c r="M4" i="35"/>
  <c r="O9" i="40"/>
  <c r="O4" i="39"/>
  <c r="O4" i="38"/>
  <c r="O11" i="38" s="1"/>
  <c r="O13" i="38" s="1"/>
  <c r="O35" i="40" s="1"/>
  <c r="O4" i="37"/>
  <c r="O4" i="36"/>
  <c r="O4" i="35"/>
  <c r="Q9" i="40"/>
  <c r="Q4" i="39"/>
  <c r="Q4" i="38"/>
  <c r="Q11" i="38" s="1"/>
  <c r="Q13" i="38" s="1"/>
  <c r="Q35" i="40" s="1"/>
  <c r="Q4" i="37"/>
  <c r="Q4" i="36"/>
  <c r="Q4" i="35"/>
  <c r="S9" i="40"/>
  <c r="S4" i="39"/>
  <c r="S4" i="38"/>
  <c r="S11" i="38" s="1"/>
  <c r="S13" i="38" s="1"/>
  <c r="S35" i="40" s="1"/>
  <c r="S4" i="37"/>
  <c r="S4" i="36"/>
  <c r="S4" i="35"/>
  <c r="U9" i="40"/>
  <c r="U4" i="39"/>
  <c r="U4" i="38"/>
  <c r="U11" i="38" s="1"/>
  <c r="U13" i="38" s="1"/>
  <c r="U35" i="40" s="1"/>
  <c r="U4" i="37"/>
  <c r="U4" i="36"/>
  <c r="U4" i="35"/>
  <c r="W9" i="40"/>
  <c r="W4" i="39"/>
  <c r="W4" i="38"/>
  <c r="W11" i="38" s="1"/>
  <c r="W13" i="38" s="1"/>
  <c r="W35" i="40" s="1"/>
  <c r="W4" i="37"/>
  <c r="W4" i="36"/>
  <c r="W4" i="35"/>
  <c r="Y9" i="40"/>
  <c r="Y4" i="39"/>
  <c r="Y4" i="38"/>
  <c r="Y11" i="38" s="1"/>
  <c r="Y13" i="38" s="1"/>
  <c r="Y35" i="40" s="1"/>
  <c r="Y4" i="37"/>
  <c r="Y4" i="36"/>
  <c r="Y4" i="35"/>
  <c r="AA9" i="40"/>
  <c r="AA4" i="39"/>
  <c r="AA4" i="38"/>
  <c r="AA11" i="38" s="1"/>
  <c r="AA13" i="38" s="1"/>
  <c r="AA35" i="40" s="1"/>
  <c r="AA4" i="37"/>
  <c r="AA4" i="36"/>
  <c r="AA4" i="35"/>
  <c r="AC9" i="40"/>
  <c r="AC4" i="39"/>
  <c r="AC4" i="38"/>
  <c r="AC11" i="38" s="1"/>
  <c r="AC13" i="38" s="1"/>
  <c r="AC35" i="40" s="1"/>
  <c r="AC4" i="37"/>
  <c r="AC4" i="36"/>
  <c r="AC4" i="35"/>
  <c r="AE9" i="40"/>
  <c r="AE4" i="39"/>
  <c r="AE4" i="38"/>
  <c r="AE11" i="38" s="1"/>
  <c r="AE13" i="38" s="1"/>
  <c r="AE35" i="40" s="1"/>
  <c r="AE4" i="37"/>
  <c r="AE4" i="36"/>
  <c r="AE4" i="35"/>
  <c r="AG9" i="40"/>
  <c r="AG4" i="39"/>
  <c r="AG4" i="38"/>
  <c r="AG11" i="38" s="1"/>
  <c r="AG13" i="38" s="1"/>
  <c r="AG35" i="40" s="1"/>
  <c r="AG4" i="37"/>
  <c r="AG4" i="36"/>
  <c r="AG4" i="35"/>
  <c r="AI9" i="40"/>
  <c r="AI4" i="39"/>
  <c r="AI4" i="38"/>
  <c r="AI11" i="38" s="1"/>
  <c r="AI13" i="38" s="1"/>
  <c r="AI35" i="40" s="1"/>
  <c r="AI4" i="37"/>
  <c r="AI4" i="36"/>
  <c r="AI4" i="35"/>
  <c r="AK9" i="40"/>
  <c r="AK4" i="39"/>
  <c r="AK4" i="38"/>
  <c r="AK11" i="38" s="1"/>
  <c r="AK4" i="37"/>
  <c r="AK4" i="36"/>
  <c r="AK4" i="35"/>
  <c r="AM9" i="40"/>
  <c r="AM4" i="39"/>
  <c r="AM4" i="38"/>
  <c r="AM11" i="38" s="1"/>
  <c r="AM13" i="38" s="1"/>
  <c r="AM35" i="40" s="1"/>
  <c r="AM4" i="37"/>
  <c r="AM4" i="36"/>
  <c r="AM4" i="35"/>
  <c r="AO9" i="40"/>
  <c r="AO4" i="39"/>
  <c r="AO4" i="38"/>
  <c r="AO11" i="38" s="1"/>
  <c r="AO13" i="38" s="1"/>
  <c r="AO35" i="40" s="1"/>
  <c r="AO4" i="37"/>
  <c r="AO4" i="36"/>
  <c r="AO4" i="35"/>
  <c r="AQ9" i="40"/>
  <c r="AQ4" i="39"/>
  <c r="AQ4" i="38"/>
  <c r="AQ11" i="38" s="1"/>
  <c r="AQ13" i="38" s="1"/>
  <c r="AQ35" i="40" s="1"/>
  <c r="AQ4" i="37"/>
  <c r="AQ4" i="36"/>
  <c r="AQ4" i="35"/>
  <c r="AS9" i="40"/>
  <c r="AS4" i="39"/>
  <c r="AS4" i="38"/>
  <c r="AS11" i="38" s="1"/>
  <c r="AS13" i="38" s="1"/>
  <c r="AS35" i="40" s="1"/>
  <c r="AS4" i="37"/>
  <c r="AS4" i="36"/>
  <c r="AS4" i="35"/>
  <c r="AU9" i="40"/>
  <c r="AU4" i="39"/>
  <c r="AU4" i="38"/>
  <c r="AU11" i="38" s="1"/>
  <c r="AU13" i="38" s="1"/>
  <c r="AU35" i="40" s="1"/>
  <c r="AU4" i="37"/>
  <c r="AU4" i="36"/>
  <c r="AU4" i="35"/>
  <c r="AW9" i="40"/>
  <c r="AW4" i="39"/>
  <c r="AW4" i="38"/>
  <c r="AW11" i="38" s="1"/>
  <c r="AW13" i="38" s="1"/>
  <c r="AW35" i="40" s="1"/>
  <c r="AW4" i="37"/>
  <c r="AW4" i="36"/>
  <c r="AW4" i="35"/>
  <c r="AY9" i="40"/>
  <c r="AY4" i="39"/>
  <c r="AY4" i="38"/>
  <c r="AY11" i="38" s="1"/>
  <c r="AY13" i="38" s="1"/>
  <c r="AY35" i="40" s="1"/>
  <c r="AY4" i="37"/>
  <c r="AY4" i="36"/>
  <c r="AY4" i="35"/>
  <c r="BA9" i="40"/>
  <c r="BA4" i="39"/>
  <c r="BA4" i="38"/>
  <c r="BA11" i="38" s="1"/>
  <c r="BA13" i="38" s="1"/>
  <c r="BA35" i="40" s="1"/>
  <c r="BA4" i="37"/>
  <c r="BA4" i="36"/>
  <c r="BA4" i="35"/>
  <c r="BC9" i="40"/>
  <c r="BC4" i="39"/>
  <c r="BC4" i="38"/>
  <c r="BC11" i="38" s="1"/>
  <c r="BC13" i="38" s="1"/>
  <c r="BC35" i="40" s="1"/>
  <c r="BC4" i="37"/>
  <c r="BC4" i="36"/>
  <c r="BC4" i="35"/>
  <c r="BE9" i="40"/>
  <c r="BE4" i="39"/>
  <c r="BE4" i="38"/>
  <c r="BE11" i="38" s="1"/>
  <c r="BE13" i="38" s="1"/>
  <c r="BE35" i="40" s="1"/>
  <c r="BE4" i="37"/>
  <c r="BE4" i="36"/>
  <c r="BE4" i="35"/>
  <c r="F9" i="40"/>
  <c r="F4" i="39"/>
  <c r="F4" i="38"/>
  <c r="F11" i="38" s="1"/>
  <c r="F13" i="38" s="1"/>
  <c r="F35" i="40" s="1"/>
  <c r="F4" i="37"/>
  <c r="F4" i="36"/>
  <c r="F4" i="35"/>
  <c r="H9" i="40"/>
  <c r="H4" i="39"/>
  <c r="H4" i="38"/>
  <c r="H11" i="38" s="1"/>
  <c r="H13" i="38" s="1"/>
  <c r="H35" i="40" s="1"/>
  <c r="H4" i="37"/>
  <c r="H4" i="36"/>
  <c r="H4" i="35"/>
  <c r="J4" i="37"/>
  <c r="J4" i="36"/>
  <c r="J9" i="40"/>
  <c r="J4" i="39"/>
  <c r="J4" i="38"/>
  <c r="J11" i="38" s="1"/>
  <c r="J13" i="38" s="1"/>
  <c r="J35" i="40" s="1"/>
  <c r="J4" i="35"/>
  <c r="L9" i="40"/>
  <c r="L4" i="39"/>
  <c r="L4" i="38"/>
  <c r="L11" i="38" s="1"/>
  <c r="L13" i="38" s="1"/>
  <c r="L35" i="40" s="1"/>
  <c r="L4" i="37"/>
  <c r="L4" i="36"/>
  <c r="L4" i="35"/>
  <c r="N9" i="40"/>
  <c r="N4" i="39"/>
  <c r="N4" i="38"/>
  <c r="N11" i="38" s="1"/>
  <c r="N13" i="38" s="1"/>
  <c r="N35" i="40" s="1"/>
  <c r="N4" i="37"/>
  <c r="N4" i="36"/>
  <c r="N4" i="35"/>
  <c r="P9" i="40"/>
  <c r="P4" i="39"/>
  <c r="P4" i="38"/>
  <c r="P11" i="38" s="1"/>
  <c r="P13" i="38" s="1"/>
  <c r="P35" i="40" s="1"/>
  <c r="P4" i="37"/>
  <c r="P4" i="36"/>
  <c r="P4" i="35"/>
  <c r="R4" i="37"/>
  <c r="R4" i="36"/>
  <c r="R9" i="40"/>
  <c r="R4" i="39"/>
  <c r="R4" i="38"/>
  <c r="R11" i="38" s="1"/>
  <c r="R13" i="38" s="1"/>
  <c r="R35" i="40" s="1"/>
  <c r="R4" i="35"/>
  <c r="T9" i="40"/>
  <c r="T4" i="39"/>
  <c r="T4" i="38"/>
  <c r="T11" i="38" s="1"/>
  <c r="T13" i="38" s="1"/>
  <c r="T35" i="40" s="1"/>
  <c r="T4" i="37"/>
  <c r="T4" i="36"/>
  <c r="T4" i="35"/>
  <c r="V9" i="40"/>
  <c r="V4" i="39"/>
  <c r="V4" i="38"/>
  <c r="V11" i="38" s="1"/>
  <c r="V13" i="38" s="1"/>
  <c r="V35" i="40" s="1"/>
  <c r="V4" i="37"/>
  <c r="V4" i="36"/>
  <c r="V4" i="35"/>
  <c r="X9" i="40"/>
  <c r="X4" i="39"/>
  <c r="X4" i="38"/>
  <c r="X11" i="38" s="1"/>
  <c r="X4" i="37"/>
  <c r="X4" i="36"/>
  <c r="X4" i="35"/>
  <c r="Z4" i="37"/>
  <c r="Z4" i="36"/>
  <c r="Z9" i="40"/>
  <c r="Z4" i="39"/>
  <c r="Z4" i="38"/>
  <c r="Z11" i="38" s="1"/>
  <c r="Z13" i="38" s="1"/>
  <c r="Z35" i="40" s="1"/>
  <c r="Z4" i="35"/>
  <c r="AB9" i="40"/>
  <c r="AB4" i="39"/>
  <c r="AB4" i="38"/>
  <c r="AB11" i="38" s="1"/>
  <c r="AB13" i="38" s="1"/>
  <c r="AB35" i="40" s="1"/>
  <c r="AB4" i="37"/>
  <c r="AB4" i="36"/>
  <c r="AB4" i="35"/>
  <c r="AD9" i="40"/>
  <c r="AD4" i="39"/>
  <c r="AD4" i="38"/>
  <c r="AD11" i="38" s="1"/>
  <c r="AD13" i="38" s="1"/>
  <c r="AD35" i="40" s="1"/>
  <c r="AD4" i="37"/>
  <c r="AD4" i="36"/>
  <c r="AD4" i="35"/>
  <c r="AF9" i="40"/>
  <c r="AF4" i="39"/>
  <c r="AF4" i="38"/>
  <c r="AF11" i="38" s="1"/>
  <c r="AF13" i="38" s="1"/>
  <c r="AF35" i="40" s="1"/>
  <c r="AF4" i="37"/>
  <c r="AF4" i="36"/>
  <c r="AF4" i="35"/>
  <c r="AH4" i="37"/>
  <c r="AH4" i="36"/>
  <c r="AH9" i="40"/>
  <c r="AH4" i="39"/>
  <c r="AH4" i="38"/>
  <c r="AH11" i="38" s="1"/>
  <c r="AH13" i="38" s="1"/>
  <c r="AH35" i="40" s="1"/>
  <c r="AH4" i="35"/>
  <c r="AJ9" i="40"/>
  <c r="AJ4" i="39"/>
  <c r="AJ4" i="38"/>
  <c r="AJ11" i="38" s="1"/>
  <c r="AJ13" i="38" s="1"/>
  <c r="AJ35" i="40" s="1"/>
  <c r="AJ4" i="37"/>
  <c r="AJ4" i="36"/>
  <c r="AJ4" i="35"/>
  <c r="AL9" i="40"/>
  <c r="AL4" i="39"/>
  <c r="AL4" i="38"/>
  <c r="AL11" i="38" s="1"/>
  <c r="AL13" i="38" s="1"/>
  <c r="AL35" i="40" s="1"/>
  <c r="AL4" i="37"/>
  <c r="AL4" i="36"/>
  <c r="AL4" i="35"/>
  <c r="AN9" i="40"/>
  <c r="AN4" i="39"/>
  <c r="AN4" i="38"/>
  <c r="AN11" i="38" s="1"/>
  <c r="AN13" i="38" s="1"/>
  <c r="AN35" i="40" s="1"/>
  <c r="AN4" i="37"/>
  <c r="AN4" i="36"/>
  <c r="AN4" i="35"/>
  <c r="AP4" i="37"/>
  <c r="AP9" i="40"/>
  <c r="AP4" i="39"/>
  <c r="AP4" i="38"/>
  <c r="AP11" i="38" s="1"/>
  <c r="AP13" i="38" s="1"/>
  <c r="AP35" i="40" s="1"/>
  <c r="AP4" i="36"/>
  <c r="AP4" i="35"/>
  <c r="AR9" i="40"/>
  <c r="AR4" i="39"/>
  <c r="AR4" i="38"/>
  <c r="AR11" i="38" s="1"/>
  <c r="AR13" i="38" s="1"/>
  <c r="AR35" i="40" s="1"/>
  <c r="AR4" i="37"/>
  <c r="AR4" i="36"/>
  <c r="AR4" i="35"/>
  <c r="AT9" i="40"/>
  <c r="AT4" i="39"/>
  <c r="AT4" i="38"/>
  <c r="AT11" i="38" s="1"/>
  <c r="AT13" i="38" s="1"/>
  <c r="AT35" i="40" s="1"/>
  <c r="AT4" i="37"/>
  <c r="AT4" i="36"/>
  <c r="AT4" i="35"/>
  <c r="AV9" i="40"/>
  <c r="AV4" i="39"/>
  <c r="AV4" i="38"/>
  <c r="AV11" i="38" s="1"/>
  <c r="AV13" i="38" s="1"/>
  <c r="AV35" i="40" s="1"/>
  <c r="AV4" i="37"/>
  <c r="AV4" i="36"/>
  <c r="AV4" i="35"/>
  <c r="AX4" i="37"/>
  <c r="AX9" i="40"/>
  <c r="AX4" i="39"/>
  <c r="AX4" i="38"/>
  <c r="AX11" i="38" s="1"/>
  <c r="AX13" i="38" s="1"/>
  <c r="AX35" i="40" s="1"/>
  <c r="AX4" i="36"/>
  <c r="AX4" i="35"/>
  <c r="AZ9" i="40"/>
  <c r="AZ4" i="39"/>
  <c r="AZ4" i="38"/>
  <c r="AZ11" i="38" s="1"/>
  <c r="AZ13" i="38" s="1"/>
  <c r="AZ35" i="40" s="1"/>
  <c r="AZ4" i="37"/>
  <c r="AZ4" i="36"/>
  <c r="AZ4" i="35"/>
  <c r="BB9" i="40"/>
  <c r="BB4" i="39"/>
  <c r="BB4" i="38"/>
  <c r="BB11" i="38" s="1"/>
  <c r="BB13" i="38" s="1"/>
  <c r="BB35" i="40" s="1"/>
  <c r="BB4" i="37"/>
  <c r="BB4" i="36"/>
  <c r="BB4" i="35"/>
  <c r="BD9" i="40"/>
  <c r="BD4" i="39"/>
  <c r="BD4" i="38"/>
  <c r="BD11" i="38" s="1"/>
  <c r="BD13" i="38" s="1"/>
  <c r="BD35" i="40" s="1"/>
  <c r="BD4" i="37"/>
  <c r="BD4" i="36"/>
  <c r="BD4" i="35"/>
  <c r="E156" i="29"/>
  <c r="E148" i="29"/>
  <c r="E146" i="29"/>
  <c r="E144" i="29"/>
  <c r="E142" i="29"/>
  <c r="E138" i="29"/>
  <c r="E135" i="29"/>
  <c r="E133" i="29"/>
  <c r="E127" i="29"/>
  <c r="E125" i="29"/>
  <c r="E155" i="29"/>
  <c r="E149" i="29"/>
  <c r="E145" i="29"/>
  <c r="E139" i="29"/>
  <c r="E136" i="29"/>
  <c r="E130" i="29"/>
  <c r="E123" i="29"/>
  <c r="E119" i="29"/>
  <c r="E115" i="29"/>
  <c r="E113" i="29"/>
  <c r="E111" i="29"/>
  <c r="E109" i="29"/>
  <c r="E107" i="29"/>
  <c r="E103" i="29"/>
  <c r="E101" i="29"/>
  <c r="E97" i="29"/>
  <c r="E95" i="29"/>
  <c r="E93" i="29"/>
  <c r="E91" i="29"/>
  <c r="E87" i="29"/>
  <c r="E85" i="29"/>
  <c r="E81" i="29"/>
  <c r="E79" i="29"/>
  <c r="E73" i="29"/>
  <c r="E71" i="29"/>
  <c r="E143" i="29"/>
  <c r="E126" i="29"/>
  <c r="E120" i="29"/>
  <c r="E114" i="29"/>
  <c r="E110" i="29"/>
  <c r="E104" i="29"/>
  <c r="E98" i="29"/>
  <c r="E94" i="29"/>
  <c r="E90" i="29"/>
  <c r="E84" i="29"/>
  <c r="E78" i="29"/>
  <c r="E70" i="29"/>
  <c r="E68" i="29"/>
  <c r="E66" i="29"/>
  <c r="E62" i="29"/>
  <c r="E60" i="29"/>
  <c r="E58" i="29"/>
  <c r="E52" i="29"/>
  <c r="E50" i="29"/>
  <c r="E48" i="29"/>
  <c r="E46" i="29"/>
  <c r="E42" i="29"/>
  <c r="E38" i="29"/>
  <c r="E36" i="29"/>
  <c r="E34" i="29"/>
  <c r="E30" i="29"/>
  <c r="E26" i="29"/>
  <c r="E24" i="29"/>
  <c r="E22" i="29"/>
  <c r="E20" i="29"/>
  <c r="E18" i="29"/>
  <c r="E14" i="29"/>
  <c r="E12" i="29"/>
  <c r="E10" i="29"/>
  <c r="E8" i="29"/>
  <c r="E147" i="29"/>
  <c r="E137" i="29"/>
  <c r="E134" i="29"/>
  <c r="E124" i="29"/>
  <c r="E116" i="29"/>
  <c r="E112" i="29"/>
  <c r="E108" i="29"/>
  <c r="E96" i="29"/>
  <c r="E86" i="29"/>
  <c r="E72" i="29"/>
  <c r="E67" i="29"/>
  <c r="E61" i="29"/>
  <c r="E55" i="29"/>
  <c r="E49" i="29"/>
  <c r="E45" i="29"/>
  <c r="E37" i="29"/>
  <c r="E33" i="29"/>
  <c r="E25" i="29"/>
  <c r="E21" i="29"/>
  <c r="E17" i="29"/>
  <c r="E11" i="29"/>
  <c r="E7" i="29"/>
  <c r="E102" i="29"/>
  <c r="E92" i="29"/>
  <c r="E80" i="29"/>
  <c r="E69" i="29"/>
  <c r="E63" i="29"/>
  <c r="E59" i="29"/>
  <c r="E51" i="29"/>
  <c r="E47" i="29"/>
  <c r="E41" i="29"/>
  <c r="E35" i="29"/>
  <c r="E29" i="29"/>
  <c r="E23" i="29"/>
  <c r="E19" i="29"/>
  <c r="E13" i="29"/>
  <c r="E9" i="29"/>
  <c r="G155" i="29"/>
  <c r="G147" i="29"/>
  <c r="G145" i="29"/>
  <c r="G143" i="29"/>
  <c r="G139" i="29"/>
  <c r="G137" i="29"/>
  <c r="G134" i="29"/>
  <c r="G130" i="29"/>
  <c r="G126" i="29"/>
  <c r="G124" i="29"/>
  <c r="G156" i="29"/>
  <c r="G146" i="29"/>
  <c r="G142" i="29"/>
  <c r="G136" i="29"/>
  <c r="G133" i="29"/>
  <c r="G125" i="29"/>
  <c r="G120" i="29"/>
  <c r="G116" i="29"/>
  <c r="G114" i="29"/>
  <c r="G112" i="29"/>
  <c r="G110" i="29"/>
  <c r="G108" i="29"/>
  <c r="G104" i="29"/>
  <c r="G102" i="29"/>
  <c r="G98" i="29"/>
  <c r="G96" i="29"/>
  <c r="G94" i="29"/>
  <c r="G92" i="29"/>
  <c r="G90" i="29"/>
  <c r="G86" i="29"/>
  <c r="G84" i="29"/>
  <c r="G80" i="29"/>
  <c r="G78" i="29"/>
  <c r="G72" i="29"/>
  <c r="G70" i="29"/>
  <c r="G149" i="29"/>
  <c r="G144" i="29"/>
  <c r="G127" i="29"/>
  <c r="G123" i="29"/>
  <c r="G115" i="29"/>
  <c r="G111" i="29"/>
  <c r="G107" i="29"/>
  <c r="G101" i="29"/>
  <c r="G95" i="29"/>
  <c r="G91" i="29"/>
  <c r="G85" i="29"/>
  <c r="G79" i="29"/>
  <c r="G71" i="29"/>
  <c r="G67" i="29"/>
  <c r="G63" i="29"/>
  <c r="G61" i="29"/>
  <c r="G59" i="29"/>
  <c r="G55" i="29"/>
  <c r="G51" i="29"/>
  <c r="G49" i="29"/>
  <c r="G47" i="29"/>
  <c r="G45" i="29"/>
  <c r="G41" i="29"/>
  <c r="G37" i="29"/>
  <c r="G35" i="29"/>
  <c r="G33" i="29"/>
  <c r="G29" i="29"/>
  <c r="G25" i="29"/>
  <c r="G23" i="29"/>
  <c r="G21" i="29"/>
  <c r="G19" i="29"/>
  <c r="G17" i="29"/>
  <c r="G13" i="29"/>
  <c r="G11" i="29"/>
  <c r="G9" i="29"/>
  <c r="G7" i="29"/>
  <c r="G148" i="29"/>
  <c r="G138" i="29"/>
  <c r="G135" i="29"/>
  <c r="G119" i="29"/>
  <c r="G113" i="29"/>
  <c r="G109" i="29"/>
  <c r="G97" i="29"/>
  <c r="G87" i="29"/>
  <c r="G73" i="29"/>
  <c r="G68" i="29"/>
  <c r="G62" i="29"/>
  <c r="G58" i="29"/>
  <c r="G50" i="29"/>
  <c r="G46" i="29"/>
  <c r="G38" i="29"/>
  <c r="G34" i="29"/>
  <c r="G26" i="29"/>
  <c r="G22" i="29"/>
  <c r="G18" i="29"/>
  <c r="G12" i="29"/>
  <c r="G8" i="29"/>
  <c r="G103" i="29"/>
  <c r="G93" i="29"/>
  <c r="G81" i="29"/>
  <c r="G69" i="29"/>
  <c r="G66" i="29"/>
  <c r="G60" i="29"/>
  <c r="G52" i="29"/>
  <c r="G48" i="29"/>
  <c r="G42" i="29"/>
  <c r="G36" i="29"/>
  <c r="G30" i="29"/>
  <c r="G24" i="29"/>
  <c r="G20" i="29"/>
  <c r="G14" i="29"/>
  <c r="G10" i="29"/>
  <c r="I155" i="29"/>
  <c r="I156" i="29"/>
  <c r="I149" i="29"/>
  <c r="I147" i="29"/>
  <c r="I145" i="29"/>
  <c r="I143" i="29"/>
  <c r="I139" i="29"/>
  <c r="I137" i="29"/>
  <c r="I134" i="29"/>
  <c r="I130" i="29"/>
  <c r="I129" i="29" s="1"/>
  <c r="I126" i="29"/>
  <c r="I124" i="29"/>
  <c r="I148" i="29"/>
  <c r="I144" i="29"/>
  <c r="I138" i="29"/>
  <c r="I135" i="29"/>
  <c r="I127" i="29"/>
  <c r="I120" i="29"/>
  <c r="I116" i="29"/>
  <c r="I114" i="29"/>
  <c r="I112" i="29"/>
  <c r="I110" i="29"/>
  <c r="I108" i="29"/>
  <c r="I104" i="29"/>
  <c r="I102" i="29"/>
  <c r="I98" i="29"/>
  <c r="I96" i="29"/>
  <c r="I94" i="29"/>
  <c r="I92" i="29"/>
  <c r="I90" i="29"/>
  <c r="I86" i="29"/>
  <c r="I84" i="29"/>
  <c r="I80" i="29"/>
  <c r="I78" i="29"/>
  <c r="I72" i="29"/>
  <c r="I70" i="29"/>
  <c r="I146" i="29"/>
  <c r="I136" i="29"/>
  <c r="I133" i="29"/>
  <c r="I119" i="29"/>
  <c r="I113" i="29"/>
  <c r="I109" i="29"/>
  <c r="I103" i="29"/>
  <c r="I97" i="29"/>
  <c r="I93" i="29"/>
  <c r="I87" i="29"/>
  <c r="I81" i="29"/>
  <c r="I73" i="29"/>
  <c r="I69" i="29"/>
  <c r="I67" i="29"/>
  <c r="I63" i="29"/>
  <c r="I61" i="29"/>
  <c r="I59" i="29"/>
  <c r="I55" i="29"/>
  <c r="I54" i="29" s="1"/>
  <c r="I51" i="29"/>
  <c r="I49" i="29"/>
  <c r="I47" i="29"/>
  <c r="I45" i="29"/>
  <c r="I41" i="29"/>
  <c r="I37" i="29"/>
  <c r="I35" i="29"/>
  <c r="I33" i="29"/>
  <c r="I29" i="29"/>
  <c r="I25" i="29"/>
  <c r="I23" i="29"/>
  <c r="I21" i="29"/>
  <c r="I19" i="29"/>
  <c r="I17" i="29"/>
  <c r="I13" i="29"/>
  <c r="I11" i="29"/>
  <c r="I9" i="29"/>
  <c r="I7" i="29"/>
  <c r="I142" i="29"/>
  <c r="I125" i="29"/>
  <c r="I123" i="29"/>
  <c r="I115" i="29"/>
  <c r="I111" i="29"/>
  <c r="I107" i="29"/>
  <c r="I101" i="29"/>
  <c r="I91" i="29"/>
  <c r="I79" i="29"/>
  <c r="I66" i="29"/>
  <c r="I60" i="29"/>
  <c r="I52" i="29"/>
  <c r="I48" i="29"/>
  <c r="I42" i="29"/>
  <c r="I36" i="29"/>
  <c r="I30" i="29"/>
  <c r="I24" i="29"/>
  <c r="I20" i="29"/>
  <c r="I14" i="29"/>
  <c r="I10" i="29"/>
  <c r="I95" i="29"/>
  <c r="I85" i="29"/>
  <c r="I71" i="29"/>
  <c r="I68" i="29"/>
  <c r="I62" i="29"/>
  <c r="I58" i="29"/>
  <c r="I50" i="29"/>
  <c r="I46" i="29"/>
  <c r="I38" i="29"/>
  <c r="I34" i="29"/>
  <c r="I26" i="29"/>
  <c r="I22" i="29"/>
  <c r="I18" i="29"/>
  <c r="I12" i="29"/>
  <c r="I8" i="29"/>
  <c r="K155" i="29"/>
  <c r="K147" i="29"/>
  <c r="K145" i="29"/>
  <c r="K143" i="29"/>
  <c r="K139" i="29"/>
  <c r="K137" i="29"/>
  <c r="K134" i="29"/>
  <c r="K130" i="29"/>
  <c r="K129" i="29" s="1"/>
  <c r="K126" i="29"/>
  <c r="K124" i="29"/>
  <c r="K149" i="29"/>
  <c r="K146" i="29"/>
  <c r="K142" i="29"/>
  <c r="K136" i="29"/>
  <c r="K133" i="29"/>
  <c r="K125" i="29"/>
  <c r="K120" i="29"/>
  <c r="K116" i="29"/>
  <c r="K114" i="29"/>
  <c r="K112" i="29"/>
  <c r="K110" i="29"/>
  <c r="K108" i="29"/>
  <c r="K104" i="29"/>
  <c r="K102" i="29"/>
  <c r="K98" i="29"/>
  <c r="K96" i="29"/>
  <c r="K94" i="29"/>
  <c r="K92" i="29"/>
  <c r="K90" i="29"/>
  <c r="K86" i="29"/>
  <c r="K84" i="29"/>
  <c r="K80" i="29"/>
  <c r="K78" i="29"/>
  <c r="K72" i="29"/>
  <c r="K70" i="29"/>
  <c r="K156" i="29"/>
  <c r="K148" i="29"/>
  <c r="K138" i="29"/>
  <c r="K135" i="29"/>
  <c r="K123" i="29"/>
  <c r="K115" i="29"/>
  <c r="K111" i="29"/>
  <c r="K107" i="29"/>
  <c r="K101" i="29"/>
  <c r="K95" i="29"/>
  <c r="K91" i="29"/>
  <c r="K85" i="29"/>
  <c r="K79" i="29"/>
  <c r="K71" i="29"/>
  <c r="K67" i="29"/>
  <c r="K63" i="29"/>
  <c r="K61" i="29"/>
  <c r="K59" i="29"/>
  <c r="K55" i="29"/>
  <c r="K54" i="29" s="1"/>
  <c r="K51" i="29"/>
  <c r="K49" i="29"/>
  <c r="K47" i="29"/>
  <c r="K45" i="29"/>
  <c r="K41" i="29"/>
  <c r="K37" i="29"/>
  <c r="K35" i="29"/>
  <c r="K33" i="29"/>
  <c r="K29" i="29"/>
  <c r="K25" i="29"/>
  <c r="K23" i="29"/>
  <c r="K21" i="29"/>
  <c r="K19" i="29"/>
  <c r="K17" i="29"/>
  <c r="K13" i="29"/>
  <c r="K11" i="29"/>
  <c r="K9" i="29"/>
  <c r="K7" i="29"/>
  <c r="K144" i="29"/>
  <c r="K127" i="29"/>
  <c r="K119" i="29"/>
  <c r="K113" i="29"/>
  <c r="K109" i="29"/>
  <c r="K103" i="29"/>
  <c r="K93" i="29"/>
  <c r="K81" i="29"/>
  <c r="K69" i="29"/>
  <c r="K68" i="29"/>
  <c r="K62" i="29"/>
  <c r="K58" i="29"/>
  <c r="K50" i="29"/>
  <c r="K46" i="29"/>
  <c r="K38" i="29"/>
  <c r="K34" i="29"/>
  <c r="K26" i="29"/>
  <c r="K22" i="29"/>
  <c r="K18" i="29"/>
  <c r="K12" i="29"/>
  <c r="K8" i="29"/>
  <c r="K97" i="29"/>
  <c r="K87" i="29"/>
  <c r="K73" i="29"/>
  <c r="K66" i="29"/>
  <c r="K60" i="29"/>
  <c r="K52" i="29"/>
  <c r="K48" i="29"/>
  <c r="K42" i="29"/>
  <c r="K36" i="29"/>
  <c r="K30" i="29"/>
  <c r="K24" i="29"/>
  <c r="K20" i="29"/>
  <c r="K14" i="29"/>
  <c r="K10" i="29"/>
  <c r="M155" i="29"/>
  <c r="M156" i="29"/>
  <c r="M149" i="29"/>
  <c r="M147" i="29"/>
  <c r="M145" i="29"/>
  <c r="M143" i="29"/>
  <c r="M139" i="29"/>
  <c r="M137" i="29"/>
  <c r="M134" i="29"/>
  <c r="M130" i="29"/>
  <c r="M129" i="29" s="1"/>
  <c r="M126" i="29"/>
  <c r="M124" i="29"/>
  <c r="M148" i="29"/>
  <c r="M144" i="29"/>
  <c r="M138" i="29"/>
  <c r="M135" i="29"/>
  <c r="M127" i="29"/>
  <c r="M120" i="29"/>
  <c r="M116" i="29"/>
  <c r="M114" i="29"/>
  <c r="M112" i="29"/>
  <c r="M110" i="29"/>
  <c r="M108" i="29"/>
  <c r="M104" i="29"/>
  <c r="M102" i="29"/>
  <c r="M98" i="29"/>
  <c r="M96" i="29"/>
  <c r="M94" i="29"/>
  <c r="M92" i="29"/>
  <c r="M90" i="29"/>
  <c r="M86" i="29"/>
  <c r="M84" i="29"/>
  <c r="M80" i="29"/>
  <c r="M78" i="29"/>
  <c r="M72" i="29"/>
  <c r="M70" i="29"/>
  <c r="M142" i="29"/>
  <c r="M125" i="29"/>
  <c r="M119" i="29"/>
  <c r="M113" i="29"/>
  <c r="M109" i="29"/>
  <c r="M103" i="29"/>
  <c r="M97" i="29"/>
  <c r="M93" i="29"/>
  <c r="M87" i="29"/>
  <c r="M81" i="29"/>
  <c r="M73" i="29"/>
  <c r="M69" i="29"/>
  <c r="M67" i="29"/>
  <c r="M63" i="29"/>
  <c r="M61" i="29"/>
  <c r="M59" i="29"/>
  <c r="M55" i="29"/>
  <c r="M54" i="29" s="1"/>
  <c r="M51" i="29"/>
  <c r="M49" i="29"/>
  <c r="M47" i="29"/>
  <c r="M45" i="29"/>
  <c r="M41" i="29"/>
  <c r="M37" i="29"/>
  <c r="M35" i="29"/>
  <c r="M33" i="29"/>
  <c r="M29" i="29"/>
  <c r="M25" i="29"/>
  <c r="M23" i="29"/>
  <c r="M21" i="29"/>
  <c r="M19" i="29"/>
  <c r="M17" i="29"/>
  <c r="M13" i="29"/>
  <c r="M11" i="29"/>
  <c r="M9" i="29"/>
  <c r="M7" i="29"/>
  <c r="M146" i="29"/>
  <c r="M136" i="29"/>
  <c r="M133" i="29"/>
  <c r="M123" i="29"/>
  <c r="M115" i="29"/>
  <c r="M111" i="29"/>
  <c r="M107" i="29"/>
  <c r="M95" i="29"/>
  <c r="M85" i="29"/>
  <c r="M71" i="29"/>
  <c r="M66" i="29"/>
  <c r="M60" i="29"/>
  <c r="M52" i="29"/>
  <c r="M48" i="29"/>
  <c r="M42" i="29"/>
  <c r="M36" i="29"/>
  <c r="M30" i="29"/>
  <c r="M24" i="29"/>
  <c r="M20" i="29"/>
  <c r="M14" i="29"/>
  <c r="M10" i="29"/>
  <c r="M101" i="29"/>
  <c r="M91" i="29"/>
  <c r="M79" i="29"/>
  <c r="M68" i="29"/>
  <c r="M62" i="29"/>
  <c r="M58" i="29"/>
  <c r="M50" i="29"/>
  <c r="M46" i="29"/>
  <c r="M38" i="29"/>
  <c r="M34" i="29"/>
  <c r="M26" i="29"/>
  <c r="M22" i="29"/>
  <c r="M18" i="29"/>
  <c r="M12" i="29"/>
  <c r="M8" i="29"/>
  <c r="O155" i="29"/>
  <c r="O147" i="29"/>
  <c r="O145" i="29"/>
  <c r="O143" i="29"/>
  <c r="O139" i="29"/>
  <c r="O137" i="29"/>
  <c r="O134" i="29"/>
  <c r="O130" i="29"/>
  <c r="O129" i="29" s="1"/>
  <c r="O126" i="29"/>
  <c r="O124" i="29"/>
  <c r="O156" i="29"/>
  <c r="O154" i="29" s="1"/>
  <c r="E15" i="79" s="1"/>
  <c r="O146" i="29"/>
  <c r="O142" i="29"/>
  <c r="O136" i="29"/>
  <c r="O133" i="29"/>
  <c r="O125" i="29"/>
  <c r="O120" i="29"/>
  <c r="O116" i="29"/>
  <c r="O114" i="29"/>
  <c r="O112" i="29"/>
  <c r="O110" i="29"/>
  <c r="O108" i="29"/>
  <c r="O104" i="29"/>
  <c r="O102" i="29"/>
  <c r="O98" i="29"/>
  <c r="O96" i="29"/>
  <c r="O94" i="29"/>
  <c r="O92" i="29"/>
  <c r="O90" i="29"/>
  <c r="O86" i="29"/>
  <c r="O84" i="29"/>
  <c r="O80" i="29"/>
  <c r="O78" i="29"/>
  <c r="O72" i="29"/>
  <c r="O70" i="29"/>
  <c r="O144" i="29"/>
  <c r="O127" i="29"/>
  <c r="O123" i="29"/>
  <c r="O115" i="29"/>
  <c r="O111" i="29"/>
  <c r="O107" i="29"/>
  <c r="O101" i="29"/>
  <c r="O95" i="29"/>
  <c r="O91" i="29"/>
  <c r="O85" i="29"/>
  <c r="O79" i="29"/>
  <c r="O71" i="29"/>
  <c r="O67" i="29"/>
  <c r="O63" i="29"/>
  <c r="O61" i="29"/>
  <c r="O59" i="29"/>
  <c r="O55" i="29"/>
  <c r="O54" i="29" s="1"/>
  <c r="O51" i="29"/>
  <c r="O49" i="29"/>
  <c r="O47" i="29"/>
  <c r="O45" i="29"/>
  <c r="O41" i="29"/>
  <c r="O37" i="29"/>
  <c r="O35" i="29"/>
  <c r="O33" i="29"/>
  <c r="O29" i="29"/>
  <c r="O25" i="29"/>
  <c r="O23" i="29"/>
  <c r="O21" i="29"/>
  <c r="O19" i="29"/>
  <c r="O17" i="29"/>
  <c r="O13" i="29"/>
  <c r="O11" i="29"/>
  <c r="O9" i="29"/>
  <c r="O149" i="29"/>
  <c r="O148" i="29"/>
  <c r="O138" i="29"/>
  <c r="O135" i="29"/>
  <c r="O119" i="29"/>
  <c r="O113" i="29"/>
  <c r="O109" i="29"/>
  <c r="O97" i="29"/>
  <c r="O87" i="29"/>
  <c r="O73" i="29"/>
  <c r="O68" i="29"/>
  <c r="O62" i="29"/>
  <c r="O58" i="29"/>
  <c r="O50" i="29"/>
  <c r="O46" i="29"/>
  <c r="O38" i="29"/>
  <c r="O34" i="29"/>
  <c r="O26" i="29"/>
  <c r="O22" i="29"/>
  <c r="O18" i="29"/>
  <c r="O12" i="29"/>
  <c r="O8" i="29"/>
  <c r="O103" i="29"/>
  <c r="O93" i="29"/>
  <c r="O81" i="29"/>
  <c r="O69" i="29"/>
  <c r="O66" i="29"/>
  <c r="O60" i="29"/>
  <c r="O52" i="29"/>
  <c r="O48" i="29"/>
  <c r="O42" i="29"/>
  <c r="O36" i="29"/>
  <c r="O30" i="29"/>
  <c r="O24" i="29"/>
  <c r="O20" i="29"/>
  <c r="O14" i="29"/>
  <c r="O10" i="29"/>
  <c r="Q155" i="29"/>
  <c r="Q156" i="29"/>
  <c r="Q149" i="29"/>
  <c r="Q147" i="29"/>
  <c r="Q145" i="29"/>
  <c r="Q143" i="29"/>
  <c r="Q139" i="29"/>
  <c r="Q137" i="29"/>
  <c r="Q134" i="29"/>
  <c r="Q130" i="29"/>
  <c r="Q129" i="29" s="1"/>
  <c r="Q126" i="29"/>
  <c r="Q124" i="29"/>
  <c r="Q148" i="29"/>
  <c r="Q144" i="29"/>
  <c r="Q138" i="29"/>
  <c r="Q135" i="29"/>
  <c r="Q127" i="29"/>
  <c r="Q120" i="29"/>
  <c r="Q116" i="29"/>
  <c r="Q114" i="29"/>
  <c r="Q112" i="29"/>
  <c r="Q110" i="29"/>
  <c r="Q108" i="29"/>
  <c r="Q104" i="29"/>
  <c r="Q102" i="29"/>
  <c r="Q98" i="29"/>
  <c r="Q96" i="29"/>
  <c r="Q94" i="29"/>
  <c r="Q92" i="29"/>
  <c r="Q90" i="29"/>
  <c r="Q86" i="29"/>
  <c r="Q84" i="29"/>
  <c r="Q80" i="29"/>
  <c r="Q78" i="29"/>
  <c r="Q72" i="29"/>
  <c r="Q70" i="29"/>
  <c r="Q146" i="29"/>
  <c r="Q136" i="29"/>
  <c r="Q133" i="29"/>
  <c r="Q119" i="29"/>
  <c r="Q113" i="29"/>
  <c r="Q109" i="29"/>
  <c r="Q103" i="29"/>
  <c r="Q97" i="29"/>
  <c r="Q93" i="29"/>
  <c r="Q87" i="29"/>
  <c r="Q81" i="29"/>
  <c r="Q73" i="29"/>
  <c r="Q69" i="29"/>
  <c r="Q67" i="29"/>
  <c r="Q63" i="29"/>
  <c r="Q61" i="29"/>
  <c r="Q59" i="29"/>
  <c r="Q55" i="29"/>
  <c r="Q54" i="29" s="1"/>
  <c r="Q51" i="29"/>
  <c r="Q49" i="29"/>
  <c r="Q47" i="29"/>
  <c r="Q45" i="29"/>
  <c r="Q41" i="29"/>
  <c r="Q37" i="29"/>
  <c r="Q35" i="29"/>
  <c r="Q33" i="29"/>
  <c r="Q29" i="29"/>
  <c r="Q25" i="29"/>
  <c r="Q23" i="29"/>
  <c r="Q21" i="29"/>
  <c r="Q19" i="29"/>
  <c r="Q17" i="29"/>
  <c r="Q13" i="29"/>
  <c r="Q11" i="29"/>
  <c r="Q9" i="29"/>
  <c r="Q7" i="29"/>
  <c r="Q142" i="29"/>
  <c r="Q125" i="29"/>
  <c r="Q123" i="29"/>
  <c r="Q115" i="29"/>
  <c r="Q111" i="29"/>
  <c r="Q107" i="29"/>
  <c r="Q101" i="29"/>
  <c r="Q91" i="29"/>
  <c r="Q79" i="29"/>
  <c r="Q66" i="29"/>
  <c r="Q60" i="29"/>
  <c r="Q52" i="29"/>
  <c r="Q48" i="29"/>
  <c r="Q42" i="29"/>
  <c r="Q36" i="29"/>
  <c r="Q30" i="29"/>
  <c r="Q24" i="29"/>
  <c r="Q20" i="29"/>
  <c r="Q14" i="29"/>
  <c r="Q10" i="29"/>
  <c r="Q95" i="29"/>
  <c r="Q85" i="29"/>
  <c r="Q71" i="29"/>
  <c r="Q68" i="29"/>
  <c r="Q62" i="29"/>
  <c r="Q58" i="29"/>
  <c r="Q50" i="29"/>
  <c r="Q46" i="29"/>
  <c r="Q38" i="29"/>
  <c r="Q34" i="29"/>
  <c r="Q26" i="29"/>
  <c r="Q22" i="29"/>
  <c r="Q18" i="29"/>
  <c r="Q12" i="29"/>
  <c r="Q8" i="29"/>
  <c r="S155" i="29"/>
  <c r="S147" i="29"/>
  <c r="S145" i="29"/>
  <c r="S143" i="29"/>
  <c r="S139" i="29"/>
  <c r="S137" i="29"/>
  <c r="S134" i="29"/>
  <c r="S130" i="29"/>
  <c r="S129" i="29" s="1"/>
  <c r="S126" i="29"/>
  <c r="S124" i="29"/>
  <c r="S149" i="29"/>
  <c r="S146" i="29"/>
  <c r="S142" i="29"/>
  <c r="S136" i="29"/>
  <c r="S133" i="29"/>
  <c r="S125" i="29"/>
  <c r="S120" i="29"/>
  <c r="S116" i="29"/>
  <c r="S114" i="29"/>
  <c r="S112" i="29"/>
  <c r="S110" i="29"/>
  <c r="S108" i="29"/>
  <c r="S104" i="29"/>
  <c r="S102" i="29"/>
  <c r="S98" i="29"/>
  <c r="S96" i="29"/>
  <c r="S94" i="29"/>
  <c r="S92" i="29"/>
  <c r="S90" i="29"/>
  <c r="S86" i="29"/>
  <c r="S84" i="29"/>
  <c r="S80" i="29"/>
  <c r="S78" i="29"/>
  <c r="S72" i="29"/>
  <c r="S70" i="29"/>
  <c r="S148" i="29"/>
  <c r="S138" i="29"/>
  <c r="S135" i="29"/>
  <c r="S123" i="29"/>
  <c r="S115" i="29"/>
  <c r="S111" i="29"/>
  <c r="S107" i="29"/>
  <c r="S101" i="29"/>
  <c r="S95" i="29"/>
  <c r="S91" i="29"/>
  <c r="S85" i="29"/>
  <c r="S79" i="29"/>
  <c r="S71" i="29"/>
  <c r="S67" i="29"/>
  <c r="S63" i="29"/>
  <c r="S61" i="29"/>
  <c r="S59" i="29"/>
  <c r="S55" i="29"/>
  <c r="S54" i="29" s="1"/>
  <c r="S51" i="29"/>
  <c r="S49" i="29"/>
  <c r="S47" i="29"/>
  <c r="S45" i="29"/>
  <c r="S41" i="29"/>
  <c r="S37" i="29"/>
  <c r="S35" i="29"/>
  <c r="S33" i="29"/>
  <c r="S29" i="29"/>
  <c r="S25" i="29"/>
  <c r="S23" i="29"/>
  <c r="S21" i="29"/>
  <c r="S19" i="29"/>
  <c r="S17" i="29"/>
  <c r="S13" i="29"/>
  <c r="S11" i="29"/>
  <c r="S9" i="29"/>
  <c r="S7" i="29"/>
  <c r="S156" i="29"/>
  <c r="S144" i="29"/>
  <c r="S127" i="29"/>
  <c r="S119" i="29"/>
  <c r="S113" i="29"/>
  <c r="S109" i="29"/>
  <c r="S103" i="29"/>
  <c r="S93" i="29"/>
  <c r="S81" i="29"/>
  <c r="S69" i="29"/>
  <c r="S68" i="29"/>
  <c r="S62" i="29"/>
  <c r="S58" i="29"/>
  <c r="S50" i="29"/>
  <c r="S46" i="29"/>
  <c r="S38" i="29"/>
  <c r="S34" i="29"/>
  <c r="S26" i="29"/>
  <c r="S22" i="29"/>
  <c r="S18" i="29"/>
  <c r="S12" i="29"/>
  <c r="S8" i="29"/>
  <c r="S97" i="29"/>
  <c r="S87" i="29"/>
  <c r="S73" i="29"/>
  <c r="S66" i="29"/>
  <c r="S60" i="29"/>
  <c r="S52" i="29"/>
  <c r="S48" i="29"/>
  <c r="S42" i="29"/>
  <c r="S36" i="29"/>
  <c r="S30" i="29"/>
  <c r="S24" i="29"/>
  <c r="S20" i="29"/>
  <c r="S14" i="29"/>
  <c r="S10" i="29"/>
  <c r="U155" i="29"/>
  <c r="U156" i="29"/>
  <c r="U149" i="29"/>
  <c r="U147" i="29"/>
  <c r="U145" i="29"/>
  <c r="U143" i="29"/>
  <c r="U139" i="29"/>
  <c r="U137" i="29"/>
  <c r="U134" i="29"/>
  <c r="U130" i="29"/>
  <c r="U129" i="29" s="1"/>
  <c r="U126" i="29"/>
  <c r="U124" i="29"/>
  <c r="U148" i="29"/>
  <c r="U144" i="29"/>
  <c r="U138" i="29"/>
  <c r="U135" i="29"/>
  <c r="U127" i="29"/>
  <c r="U120" i="29"/>
  <c r="U116" i="29"/>
  <c r="U114" i="29"/>
  <c r="U112" i="29"/>
  <c r="U110" i="29"/>
  <c r="U108" i="29"/>
  <c r="U104" i="29"/>
  <c r="U102" i="29"/>
  <c r="U98" i="29"/>
  <c r="U96" i="29"/>
  <c r="U94" i="29"/>
  <c r="U92" i="29"/>
  <c r="U90" i="29"/>
  <c r="U86" i="29"/>
  <c r="U84" i="29"/>
  <c r="U80" i="29"/>
  <c r="U78" i="29"/>
  <c r="U72" i="29"/>
  <c r="U70" i="29"/>
  <c r="U142" i="29"/>
  <c r="U125" i="29"/>
  <c r="U119" i="29"/>
  <c r="U113" i="29"/>
  <c r="U109" i="29"/>
  <c r="U103" i="29"/>
  <c r="U97" i="29"/>
  <c r="U93" i="29"/>
  <c r="U87" i="29"/>
  <c r="U81" i="29"/>
  <c r="U73" i="29"/>
  <c r="U69" i="29"/>
  <c r="U67" i="29"/>
  <c r="U63" i="29"/>
  <c r="U61" i="29"/>
  <c r="U59" i="29"/>
  <c r="U55" i="29"/>
  <c r="U54" i="29" s="1"/>
  <c r="U51" i="29"/>
  <c r="U49" i="29"/>
  <c r="U47" i="29"/>
  <c r="U45" i="29"/>
  <c r="U41" i="29"/>
  <c r="U37" i="29"/>
  <c r="U35" i="29"/>
  <c r="U33" i="29"/>
  <c r="U29" i="29"/>
  <c r="U25" i="29"/>
  <c r="U23" i="29"/>
  <c r="U21" i="29"/>
  <c r="U19" i="29"/>
  <c r="U17" i="29"/>
  <c r="U13" i="29"/>
  <c r="U11" i="29"/>
  <c r="U9" i="29"/>
  <c r="U7" i="29"/>
  <c r="U146" i="29"/>
  <c r="U136" i="29"/>
  <c r="U133" i="29"/>
  <c r="U123" i="29"/>
  <c r="U115" i="29"/>
  <c r="U111" i="29"/>
  <c r="U107" i="29"/>
  <c r="U95" i="29"/>
  <c r="U85" i="29"/>
  <c r="U71" i="29"/>
  <c r="U66" i="29"/>
  <c r="U60" i="29"/>
  <c r="U52" i="29"/>
  <c r="U48" i="29"/>
  <c r="U42" i="29"/>
  <c r="U36" i="29"/>
  <c r="U30" i="29"/>
  <c r="U24" i="29"/>
  <c r="U20" i="29"/>
  <c r="U14" i="29"/>
  <c r="U10" i="29"/>
  <c r="U101" i="29"/>
  <c r="U91" i="29"/>
  <c r="U79" i="29"/>
  <c r="U68" i="29"/>
  <c r="U62" i="29"/>
  <c r="U58" i="29"/>
  <c r="U50" i="29"/>
  <c r="U46" i="29"/>
  <c r="U38" i="29"/>
  <c r="U34" i="29"/>
  <c r="U26" i="29"/>
  <c r="U22" i="29"/>
  <c r="U18" i="29"/>
  <c r="U12" i="29"/>
  <c r="U8" i="29"/>
  <c r="W155" i="29"/>
  <c r="W147" i="29"/>
  <c r="W145" i="29"/>
  <c r="W143" i="29"/>
  <c r="W139" i="29"/>
  <c r="W137" i="29"/>
  <c r="W134" i="29"/>
  <c r="W130" i="29"/>
  <c r="W129" i="29" s="1"/>
  <c r="W126" i="29"/>
  <c r="W124" i="29"/>
  <c r="W156" i="29"/>
  <c r="W154" i="29" s="1"/>
  <c r="E23" i="79" s="1"/>
  <c r="W146" i="29"/>
  <c r="W142" i="29"/>
  <c r="W136" i="29"/>
  <c r="W133" i="29"/>
  <c r="W125" i="29"/>
  <c r="W120" i="29"/>
  <c r="W116" i="29"/>
  <c r="W114" i="29"/>
  <c r="W112" i="29"/>
  <c r="W110" i="29"/>
  <c r="W108" i="29"/>
  <c r="W104" i="29"/>
  <c r="W102" i="29"/>
  <c r="W98" i="29"/>
  <c r="W96" i="29"/>
  <c r="W94" i="29"/>
  <c r="W92" i="29"/>
  <c r="W90" i="29"/>
  <c r="W86" i="29"/>
  <c r="W84" i="29"/>
  <c r="W80" i="29"/>
  <c r="W78" i="29"/>
  <c r="W72" i="29"/>
  <c r="W70" i="29"/>
  <c r="W149" i="29"/>
  <c r="W144" i="29"/>
  <c r="W127" i="29"/>
  <c r="W123" i="29"/>
  <c r="W115" i="29"/>
  <c r="W111" i="29"/>
  <c r="W107" i="29"/>
  <c r="W101" i="29"/>
  <c r="W95" i="29"/>
  <c r="W91" i="29"/>
  <c r="W85" i="29"/>
  <c r="W79" i="29"/>
  <c r="W71" i="29"/>
  <c r="W67" i="29"/>
  <c r="W63" i="29"/>
  <c r="W61" i="29"/>
  <c r="W59" i="29"/>
  <c r="W55" i="29"/>
  <c r="W54" i="29" s="1"/>
  <c r="W51" i="29"/>
  <c r="W49" i="29"/>
  <c r="W47" i="29"/>
  <c r="W45" i="29"/>
  <c r="W41" i="29"/>
  <c r="W37" i="29"/>
  <c r="W35" i="29"/>
  <c r="W33" i="29"/>
  <c r="W29" i="29"/>
  <c r="W25" i="29"/>
  <c r="W23" i="29"/>
  <c r="W21" i="29"/>
  <c r="W19" i="29"/>
  <c r="W17" i="29"/>
  <c r="W13" i="29"/>
  <c r="W11" i="29"/>
  <c r="W9" i="29"/>
  <c r="W7" i="29"/>
  <c r="W148" i="29"/>
  <c r="W138" i="29"/>
  <c r="W135" i="29"/>
  <c r="W119" i="29"/>
  <c r="W118" i="29" s="1"/>
  <c r="W113" i="29"/>
  <c r="W109" i="29"/>
  <c r="W97" i="29"/>
  <c r="W87" i="29"/>
  <c r="W73" i="29"/>
  <c r="W68" i="29"/>
  <c r="W62" i="29"/>
  <c r="W58" i="29"/>
  <c r="W50" i="29"/>
  <c r="W46" i="29"/>
  <c r="W38" i="29"/>
  <c r="W34" i="29"/>
  <c r="W26" i="29"/>
  <c r="W22" i="29"/>
  <c r="W18" i="29"/>
  <c r="W12" i="29"/>
  <c r="W8" i="29"/>
  <c r="W103" i="29"/>
  <c r="W93" i="29"/>
  <c r="W81" i="29"/>
  <c r="W69" i="29"/>
  <c r="W66" i="29"/>
  <c r="W60" i="29"/>
  <c r="W52" i="29"/>
  <c r="W48" i="29"/>
  <c r="W42" i="29"/>
  <c r="W36" i="29"/>
  <c r="W30" i="29"/>
  <c r="W24" i="29"/>
  <c r="W20" i="29"/>
  <c r="W14" i="29"/>
  <c r="W10" i="29"/>
  <c r="Y155" i="29"/>
  <c r="Y156" i="29"/>
  <c r="Y149" i="29"/>
  <c r="Y147" i="29"/>
  <c r="Y145" i="29"/>
  <c r="Y143" i="29"/>
  <c r="Y139" i="29"/>
  <c r="Y137" i="29"/>
  <c r="Y134" i="29"/>
  <c r="Y130" i="29"/>
  <c r="Y126" i="29"/>
  <c r="Y124" i="29"/>
  <c r="Y148" i="29"/>
  <c r="Y144" i="29"/>
  <c r="Y138" i="29"/>
  <c r="Y135" i="29"/>
  <c r="Y127" i="29"/>
  <c r="Y120" i="29"/>
  <c r="Y116" i="29"/>
  <c r="Y114" i="29"/>
  <c r="Y112" i="29"/>
  <c r="Y110" i="29"/>
  <c r="Y108" i="29"/>
  <c r="Y104" i="29"/>
  <c r="Y102" i="29"/>
  <c r="Y98" i="29"/>
  <c r="Y96" i="29"/>
  <c r="Y94" i="29"/>
  <c r="Y92" i="29"/>
  <c r="Y90" i="29"/>
  <c r="Y86" i="29"/>
  <c r="Y84" i="29"/>
  <c r="Y80" i="29"/>
  <c r="Y78" i="29"/>
  <c r="Y72" i="29"/>
  <c r="Y70" i="29"/>
  <c r="Y146" i="29"/>
  <c r="Y136" i="29"/>
  <c r="Y133" i="29"/>
  <c r="Y119" i="29"/>
  <c r="Y118" i="29" s="1"/>
  <c r="Y113" i="29"/>
  <c r="Y109" i="29"/>
  <c r="Y103" i="29"/>
  <c r="Y97" i="29"/>
  <c r="Y93" i="29"/>
  <c r="Y87" i="29"/>
  <c r="Y81" i="29"/>
  <c r="Y73" i="29"/>
  <c r="Y69" i="29"/>
  <c r="Y67" i="29"/>
  <c r="Y63" i="29"/>
  <c r="Y61" i="29"/>
  <c r="Y59" i="29"/>
  <c r="Y55" i="29"/>
  <c r="Y54" i="29" s="1"/>
  <c r="Y51" i="29"/>
  <c r="Y49" i="29"/>
  <c r="Y47" i="29"/>
  <c r="Y45" i="29"/>
  <c r="Y41" i="29"/>
  <c r="Y37" i="29"/>
  <c r="Y35" i="29"/>
  <c r="Y33" i="29"/>
  <c r="Y29" i="29"/>
  <c r="Y25" i="29"/>
  <c r="Y23" i="29"/>
  <c r="Y21" i="29"/>
  <c r="Y19" i="29"/>
  <c r="Y17" i="29"/>
  <c r="Y13" i="29"/>
  <c r="Y11" i="29"/>
  <c r="Y9" i="29"/>
  <c r="Y7" i="29"/>
  <c r="Y142" i="29"/>
  <c r="Y125" i="29"/>
  <c r="Y123" i="29"/>
  <c r="Y115" i="29"/>
  <c r="Y111" i="29"/>
  <c r="Y107" i="29"/>
  <c r="Y101" i="29"/>
  <c r="Y91" i="29"/>
  <c r="Y79" i="29"/>
  <c r="Y66" i="29"/>
  <c r="Y60" i="29"/>
  <c r="Y52" i="29"/>
  <c r="Y48" i="29"/>
  <c r="Y42" i="29"/>
  <c r="Y36" i="29"/>
  <c r="Y30" i="29"/>
  <c r="Y24" i="29"/>
  <c r="Y20" i="29"/>
  <c r="Y14" i="29"/>
  <c r="Y10" i="29"/>
  <c r="Y95" i="29"/>
  <c r="Y85" i="29"/>
  <c r="Y71" i="29"/>
  <c r="Y68" i="29"/>
  <c r="Y62" i="29"/>
  <c r="Y58" i="29"/>
  <c r="Y50" i="29"/>
  <c r="Y46" i="29"/>
  <c r="Y38" i="29"/>
  <c r="Y34" i="29"/>
  <c r="Y26" i="29"/>
  <c r="Y22" i="29"/>
  <c r="Y18" i="29"/>
  <c r="Y12" i="29"/>
  <c r="Y8" i="29"/>
  <c r="AA155" i="29"/>
  <c r="AA147" i="29"/>
  <c r="AA145" i="29"/>
  <c r="AA143" i="29"/>
  <c r="AA139" i="29"/>
  <c r="AA137" i="29"/>
  <c r="AA134" i="29"/>
  <c r="AA130" i="29"/>
  <c r="AA129" i="29" s="1"/>
  <c r="AA126" i="29"/>
  <c r="AA124" i="29"/>
  <c r="AA149" i="29"/>
  <c r="AA146" i="29"/>
  <c r="AA142" i="29"/>
  <c r="AA136" i="29"/>
  <c r="AA133" i="29"/>
  <c r="AA125" i="29"/>
  <c r="AA120" i="29"/>
  <c r="AA116" i="29"/>
  <c r="AA114" i="29"/>
  <c r="AA112" i="29"/>
  <c r="AA110" i="29"/>
  <c r="AA108" i="29"/>
  <c r="AA104" i="29"/>
  <c r="AA102" i="29"/>
  <c r="AA98" i="29"/>
  <c r="AA96" i="29"/>
  <c r="AA94" i="29"/>
  <c r="AA92" i="29"/>
  <c r="AA90" i="29"/>
  <c r="AA86" i="29"/>
  <c r="AA84" i="29"/>
  <c r="AA80" i="29"/>
  <c r="AA78" i="29"/>
  <c r="AA72" i="29"/>
  <c r="AA70" i="29"/>
  <c r="AA156" i="29"/>
  <c r="AA148" i="29"/>
  <c r="AA138" i="29"/>
  <c r="AA135" i="29"/>
  <c r="AA123" i="29"/>
  <c r="AA115" i="29"/>
  <c r="AA111" i="29"/>
  <c r="AA107" i="29"/>
  <c r="AA101" i="29"/>
  <c r="AA95" i="29"/>
  <c r="AA91" i="29"/>
  <c r="AA85" i="29"/>
  <c r="AA79" i="29"/>
  <c r="AA71" i="29"/>
  <c r="AA67" i="29"/>
  <c r="AA63" i="29"/>
  <c r="AA61" i="29"/>
  <c r="AA59" i="29"/>
  <c r="AA55" i="29"/>
  <c r="AA54" i="29" s="1"/>
  <c r="AA51" i="29"/>
  <c r="AA49" i="29"/>
  <c r="AA47" i="29"/>
  <c r="AA45" i="29"/>
  <c r="AA41" i="29"/>
  <c r="AA37" i="29"/>
  <c r="AA35" i="29"/>
  <c r="AA33" i="29"/>
  <c r="AA29" i="29"/>
  <c r="AA25" i="29"/>
  <c r="AA23" i="29"/>
  <c r="AA21" i="29"/>
  <c r="AA19" i="29"/>
  <c r="AA17" i="29"/>
  <c r="AA13" i="29"/>
  <c r="AA11" i="29"/>
  <c r="AA9" i="29"/>
  <c r="AA7" i="29"/>
  <c r="AA144" i="29"/>
  <c r="AA127" i="29"/>
  <c r="AA119" i="29"/>
  <c r="AA113" i="29"/>
  <c r="AA109" i="29"/>
  <c r="AA103" i="29"/>
  <c r="AA93" i="29"/>
  <c r="AA81" i="29"/>
  <c r="AA69" i="29"/>
  <c r="AA68" i="29"/>
  <c r="AA62" i="29"/>
  <c r="AA58" i="29"/>
  <c r="AA50" i="29"/>
  <c r="AA46" i="29"/>
  <c r="AA38" i="29"/>
  <c r="AA34" i="29"/>
  <c r="AA26" i="29"/>
  <c r="AA22" i="29"/>
  <c r="AA18" i="29"/>
  <c r="AA12" i="29"/>
  <c r="AA8" i="29"/>
  <c r="AA97" i="29"/>
  <c r="AA87" i="29"/>
  <c r="AA73" i="29"/>
  <c r="AA66" i="29"/>
  <c r="AA60" i="29"/>
  <c r="AA52" i="29"/>
  <c r="AA48" i="29"/>
  <c r="AA42" i="29"/>
  <c r="AA36" i="29"/>
  <c r="AA30" i="29"/>
  <c r="AA24" i="29"/>
  <c r="AA20" i="29"/>
  <c r="AA14" i="29"/>
  <c r="AA10" i="29"/>
  <c r="AC155" i="29"/>
  <c r="AC156" i="29"/>
  <c r="AC149" i="29"/>
  <c r="AC147" i="29"/>
  <c r="AC145" i="29"/>
  <c r="AC143" i="29"/>
  <c r="AC139" i="29"/>
  <c r="AC137" i="29"/>
  <c r="AC134" i="29"/>
  <c r="AC130" i="29"/>
  <c r="AC129" i="29" s="1"/>
  <c r="AC126" i="29"/>
  <c r="AC124" i="29"/>
  <c r="AC148" i="29"/>
  <c r="AC144" i="29"/>
  <c r="AC138" i="29"/>
  <c r="AC135" i="29"/>
  <c r="AC127" i="29"/>
  <c r="AC120" i="29"/>
  <c r="AC116" i="29"/>
  <c r="AC114" i="29"/>
  <c r="AC112" i="29"/>
  <c r="AC110" i="29"/>
  <c r="AC108" i="29"/>
  <c r="AC104" i="29"/>
  <c r="AC102" i="29"/>
  <c r="AC98" i="29"/>
  <c r="AC96" i="29"/>
  <c r="AC94" i="29"/>
  <c r="AC92" i="29"/>
  <c r="AC90" i="29"/>
  <c r="AC86" i="29"/>
  <c r="AC84" i="29"/>
  <c r="AC80" i="29"/>
  <c r="AC78" i="29"/>
  <c r="AC72" i="29"/>
  <c r="AC70" i="29"/>
  <c r="AC142" i="29"/>
  <c r="AC125" i="29"/>
  <c r="AC119" i="29"/>
  <c r="AC113" i="29"/>
  <c r="AC109" i="29"/>
  <c r="AC103" i="29"/>
  <c r="AC97" i="29"/>
  <c r="AC93" i="29"/>
  <c r="AC87" i="29"/>
  <c r="AC81" i="29"/>
  <c r="AC73" i="29"/>
  <c r="AC69" i="29"/>
  <c r="AC67" i="29"/>
  <c r="AC63" i="29"/>
  <c r="AC61" i="29"/>
  <c r="AC59" i="29"/>
  <c r="AC55" i="29"/>
  <c r="AC54" i="29" s="1"/>
  <c r="AC51" i="29"/>
  <c r="AC49" i="29"/>
  <c r="AC47" i="29"/>
  <c r="AC45" i="29"/>
  <c r="AC41" i="29"/>
  <c r="AC37" i="29"/>
  <c r="AC35" i="29"/>
  <c r="AC33" i="29"/>
  <c r="AC29" i="29"/>
  <c r="AC25" i="29"/>
  <c r="AC23" i="29"/>
  <c r="AC21" i="29"/>
  <c r="AC19" i="29"/>
  <c r="AC17" i="29"/>
  <c r="AC13" i="29"/>
  <c r="AC11" i="29"/>
  <c r="AC9" i="29"/>
  <c r="AC7" i="29"/>
  <c r="AC146" i="29"/>
  <c r="AC136" i="29"/>
  <c r="AC133" i="29"/>
  <c r="AC123" i="29"/>
  <c r="AC115" i="29"/>
  <c r="AC111" i="29"/>
  <c r="AC107" i="29"/>
  <c r="AC95" i="29"/>
  <c r="AC85" i="29"/>
  <c r="AC71" i="29"/>
  <c r="AC66" i="29"/>
  <c r="AC60" i="29"/>
  <c r="AC52" i="29"/>
  <c r="AC48" i="29"/>
  <c r="AC42" i="29"/>
  <c r="AC36" i="29"/>
  <c r="AC30" i="29"/>
  <c r="AC24" i="29"/>
  <c r="AC20" i="29"/>
  <c r="AC14" i="29"/>
  <c r="AC10" i="29"/>
  <c r="AC101" i="29"/>
  <c r="AC91" i="29"/>
  <c r="AC79" i="29"/>
  <c r="AC68" i="29"/>
  <c r="AC62" i="29"/>
  <c r="AC58" i="29"/>
  <c r="AC50" i="29"/>
  <c r="AC46" i="29"/>
  <c r="AC38" i="29"/>
  <c r="AC34" i="29"/>
  <c r="AC26" i="29"/>
  <c r="AC22" i="29"/>
  <c r="AC18" i="29"/>
  <c r="AC12" i="29"/>
  <c r="AC8" i="29"/>
  <c r="AE155" i="29"/>
  <c r="AE147" i="29"/>
  <c r="AE145" i="29"/>
  <c r="AE143" i="29"/>
  <c r="AE139" i="29"/>
  <c r="AE137" i="29"/>
  <c r="AE134" i="29"/>
  <c r="AE130" i="29"/>
  <c r="AE129" i="29" s="1"/>
  <c r="AE126" i="29"/>
  <c r="AE124" i="29"/>
  <c r="AE156" i="29"/>
  <c r="AE154" i="29" s="1"/>
  <c r="E31" i="79" s="1"/>
  <c r="AE146" i="29"/>
  <c r="AE142" i="29"/>
  <c r="AE136" i="29"/>
  <c r="AE133" i="29"/>
  <c r="AE125" i="29"/>
  <c r="AE120" i="29"/>
  <c r="AE116" i="29"/>
  <c r="AE114" i="29"/>
  <c r="AE112" i="29"/>
  <c r="AE110" i="29"/>
  <c r="AE108" i="29"/>
  <c r="AE104" i="29"/>
  <c r="AE102" i="29"/>
  <c r="AE98" i="29"/>
  <c r="AE96" i="29"/>
  <c r="AE94" i="29"/>
  <c r="AE92" i="29"/>
  <c r="AE90" i="29"/>
  <c r="AE86" i="29"/>
  <c r="AE84" i="29"/>
  <c r="AE80" i="29"/>
  <c r="AE78" i="29"/>
  <c r="AE72" i="29"/>
  <c r="AE70" i="29"/>
  <c r="AE144" i="29"/>
  <c r="AE127" i="29"/>
  <c r="AE123" i="29"/>
  <c r="AE115" i="29"/>
  <c r="AE111" i="29"/>
  <c r="AE107" i="29"/>
  <c r="AE101" i="29"/>
  <c r="AE95" i="29"/>
  <c r="AE91" i="29"/>
  <c r="AE85" i="29"/>
  <c r="AE79" i="29"/>
  <c r="AE71" i="29"/>
  <c r="AE67" i="29"/>
  <c r="AE63" i="29"/>
  <c r="AE61" i="29"/>
  <c r="AE59" i="29"/>
  <c r="AE55" i="29"/>
  <c r="AE54" i="29" s="1"/>
  <c r="AE51" i="29"/>
  <c r="AE49" i="29"/>
  <c r="AE47" i="29"/>
  <c r="AE45" i="29"/>
  <c r="AE41" i="29"/>
  <c r="AE37" i="29"/>
  <c r="AE35" i="29"/>
  <c r="AE33" i="29"/>
  <c r="AE29" i="29"/>
  <c r="AE25" i="29"/>
  <c r="AE23" i="29"/>
  <c r="AE21" i="29"/>
  <c r="AE19" i="29"/>
  <c r="AE17" i="29"/>
  <c r="AE13" i="29"/>
  <c r="AE11" i="29"/>
  <c r="AE9" i="29"/>
  <c r="AE7" i="29"/>
  <c r="AE149" i="29"/>
  <c r="AE148" i="29"/>
  <c r="AE138" i="29"/>
  <c r="AE135" i="29"/>
  <c r="AE119" i="29"/>
  <c r="AE118" i="29" s="1"/>
  <c r="AE113" i="29"/>
  <c r="AE109" i="29"/>
  <c r="AE97" i="29"/>
  <c r="AE87" i="29"/>
  <c r="AE73" i="29"/>
  <c r="AE68" i="29"/>
  <c r="AE62" i="29"/>
  <c r="AE58" i="29"/>
  <c r="AE50" i="29"/>
  <c r="AE46" i="29"/>
  <c r="AE38" i="29"/>
  <c r="AE34" i="29"/>
  <c r="AE26" i="29"/>
  <c r="AE22" i="29"/>
  <c r="AE18" i="29"/>
  <c r="AE12" i="29"/>
  <c r="AE8" i="29"/>
  <c r="AE103" i="29"/>
  <c r="AE93" i="29"/>
  <c r="AE81" i="29"/>
  <c r="AE69" i="29"/>
  <c r="AE66" i="29"/>
  <c r="AE60" i="29"/>
  <c r="AE52" i="29"/>
  <c r="AE48" i="29"/>
  <c r="AE42" i="29"/>
  <c r="AE36" i="29"/>
  <c r="AE30" i="29"/>
  <c r="AE24" i="29"/>
  <c r="AE20" i="29"/>
  <c r="AE14" i="29"/>
  <c r="AE10" i="29"/>
  <c r="AG155" i="29"/>
  <c r="AG156" i="29"/>
  <c r="AG149" i="29"/>
  <c r="AG147" i="29"/>
  <c r="AG145" i="29"/>
  <c r="AG143" i="29"/>
  <c r="AG139" i="29"/>
  <c r="AG137" i="29"/>
  <c r="AG134" i="29"/>
  <c r="AG130" i="29"/>
  <c r="AG129" i="29" s="1"/>
  <c r="AG126" i="29"/>
  <c r="AG124" i="29"/>
  <c r="AG148" i="29"/>
  <c r="AG144" i="29"/>
  <c r="AG138" i="29"/>
  <c r="AG135" i="29"/>
  <c r="AG127" i="29"/>
  <c r="AG120" i="29"/>
  <c r="AG116" i="29"/>
  <c r="AG114" i="29"/>
  <c r="AG112" i="29"/>
  <c r="AG110" i="29"/>
  <c r="AG108" i="29"/>
  <c r="AG104" i="29"/>
  <c r="AG102" i="29"/>
  <c r="AG98" i="29"/>
  <c r="AG96" i="29"/>
  <c r="AG94" i="29"/>
  <c r="AG92" i="29"/>
  <c r="AG90" i="29"/>
  <c r="AG86" i="29"/>
  <c r="AG84" i="29"/>
  <c r="AG80" i="29"/>
  <c r="AG78" i="29"/>
  <c r="AG72" i="29"/>
  <c r="AG70" i="29"/>
  <c r="AG146" i="29"/>
  <c r="AG136" i="29"/>
  <c r="AG133" i="29"/>
  <c r="AG119" i="29"/>
  <c r="AG118" i="29" s="1"/>
  <c r="AG113" i="29"/>
  <c r="AG109" i="29"/>
  <c r="AG103" i="29"/>
  <c r="AG97" i="29"/>
  <c r="AG93" i="29"/>
  <c r="AG87" i="29"/>
  <c r="AG81" i="29"/>
  <c r="AG73" i="29"/>
  <c r="AG69" i="29"/>
  <c r="AG67" i="29"/>
  <c r="AG63" i="29"/>
  <c r="AG61" i="29"/>
  <c r="AG59" i="29"/>
  <c r="AG55" i="29"/>
  <c r="AG54" i="29" s="1"/>
  <c r="AG51" i="29"/>
  <c r="AG49" i="29"/>
  <c r="AG47" i="29"/>
  <c r="AG45" i="29"/>
  <c r="AG41" i="29"/>
  <c r="AG37" i="29"/>
  <c r="AG35" i="29"/>
  <c r="AG33" i="29"/>
  <c r="AG29" i="29"/>
  <c r="AG25" i="29"/>
  <c r="AG23" i="29"/>
  <c r="AG21" i="29"/>
  <c r="AG19" i="29"/>
  <c r="AG17" i="29"/>
  <c r="AG13" i="29"/>
  <c r="AG11" i="29"/>
  <c r="AG9" i="29"/>
  <c r="AG7" i="29"/>
  <c r="AG142" i="29"/>
  <c r="AG125" i="29"/>
  <c r="AG123" i="29"/>
  <c r="AG115" i="29"/>
  <c r="AG111" i="29"/>
  <c r="AG107" i="29"/>
  <c r="AG101" i="29"/>
  <c r="AG91" i="29"/>
  <c r="AG79" i="29"/>
  <c r="AG66" i="29"/>
  <c r="AG60" i="29"/>
  <c r="AG52" i="29"/>
  <c r="AG48" i="29"/>
  <c r="AG42" i="29"/>
  <c r="AG36" i="29"/>
  <c r="AG30" i="29"/>
  <c r="AG24" i="29"/>
  <c r="AG20" i="29"/>
  <c r="AG14" i="29"/>
  <c r="AG10" i="29"/>
  <c r="AG95" i="29"/>
  <c r="AG85" i="29"/>
  <c r="AG71" i="29"/>
  <c r="AG68" i="29"/>
  <c r="AG62" i="29"/>
  <c r="AG58" i="29"/>
  <c r="AG50" i="29"/>
  <c r="AG46" i="29"/>
  <c r="AG38" i="29"/>
  <c r="AG34" i="29"/>
  <c r="AG26" i="29"/>
  <c r="AG22" i="29"/>
  <c r="AG18" i="29"/>
  <c r="AG12" i="29"/>
  <c r="AG8" i="29"/>
  <c r="AI155" i="29"/>
  <c r="AI147" i="29"/>
  <c r="AI145" i="29"/>
  <c r="AI143" i="29"/>
  <c r="AI139" i="29"/>
  <c r="AI137" i="29"/>
  <c r="AI134" i="29"/>
  <c r="AI130" i="29"/>
  <c r="AI129" i="29" s="1"/>
  <c r="AI126" i="29"/>
  <c r="AI124" i="29"/>
  <c r="AI149" i="29"/>
  <c r="AI146" i="29"/>
  <c r="AI142" i="29"/>
  <c r="AI136" i="29"/>
  <c r="AI133" i="29"/>
  <c r="AI125" i="29"/>
  <c r="AI120" i="29"/>
  <c r="AI116" i="29"/>
  <c r="AI114" i="29"/>
  <c r="AI112" i="29"/>
  <c r="AI110" i="29"/>
  <c r="AI108" i="29"/>
  <c r="AI104" i="29"/>
  <c r="AI102" i="29"/>
  <c r="AI98" i="29"/>
  <c r="AI96" i="29"/>
  <c r="AI94" i="29"/>
  <c r="AI92" i="29"/>
  <c r="AI90" i="29"/>
  <c r="AI86" i="29"/>
  <c r="AI84" i="29"/>
  <c r="AI80" i="29"/>
  <c r="AI78" i="29"/>
  <c r="AI72" i="29"/>
  <c r="AI70" i="29"/>
  <c r="AI148" i="29"/>
  <c r="AI138" i="29"/>
  <c r="AI135" i="29"/>
  <c r="AI123" i="29"/>
  <c r="AI115" i="29"/>
  <c r="AI111" i="29"/>
  <c r="AI107" i="29"/>
  <c r="AI101" i="29"/>
  <c r="AI95" i="29"/>
  <c r="AI91" i="29"/>
  <c r="AI85" i="29"/>
  <c r="AI79" i="29"/>
  <c r="AI71" i="29"/>
  <c r="AI67" i="29"/>
  <c r="AI63" i="29"/>
  <c r="AI61" i="29"/>
  <c r="AI59" i="29"/>
  <c r="AI55" i="29"/>
  <c r="AI54" i="29" s="1"/>
  <c r="AI51" i="29"/>
  <c r="AI49" i="29"/>
  <c r="AI47" i="29"/>
  <c r="AI45" i="29"/>
  <c r="AI41" i="29"/>
  <c r="AI37" i="29"/>
  <c r="AI35" i="29"/>
  <c r="AI33" i="29"/>
  <c r="AI29" i="29"/>
  <c r="AI25" i="29"/>
  <c r="AI23" i="29"/>
  <c r="AI21" i="29"/>
  <c r="AI19" i="29"/>
  <c r="AI17" i="29"/>
  <c r="AI13" i="29"/>
  <c r="AI11" i="29"/>
  <c r="AI9" i="29"/>
  <c r="AI7" i="29"/>
  <c r="AI156" i="29"/>
  <c r="AI144" i="29"/>
  <c r="AI127" i="29"/>
  <c r="AI119" i="29"/>
  <c r="AI113" i="29"/>
  <c r="AI109" i="29"/>
  <c r="AI103" i="29"/>
  <c r="AI93" i="29"/>
  <c r="AI81" i="29"/>
  <c r="AI69" i="29"/>
  <c r="AI68" i="29"/>
  <c r="AI62" i="29"/>
  <c r="AI58" i="29"/>
  <c r="AI50" i="29"/>
  <c r="AI46" i="29"/>
  <c r="AI38" i="29"/>
  <c r="AI34" i="29"/>
  <c r="AI26" i="29"/>
  <c r="AI22" i="29"/>
  <c r="AI18" i="29"/>
  <c r="AI12" i="29"/>
  <c r="AI8" i="29"/>
  <c r="AI97" i="29"/>
  <c r="AI87" i="29"/>
  <c r="AI73" i="29"/>
  <c r="AI66" i="29"/>
  <c r="AI60" i="29"/>
  <c r="AI52" i="29"/>
  <c r="AI48" i="29"/>
  <c r="AI42" i="29"/>
  <c r="AI36" i="29"/>
  <c r="AI30" i="29"/>
  <c r="AI24" i="29"/>
  <c r="AI20" i="29"/>
  <c r="AI14" i="29"/>
  <c r="AI10" i="29"/>
  <c r="AK155" i="29"/>
  <c r="AK156" i="29"/>
  <c r="AK149" i="29"/>
  <c r="AK147" i="29"/>
  <c r="AK145" i="29"/>
  <c r="AK143" i="29"/>
  <c r="AK139" i="29"/>
  <c r="AK137" i="29"/>
  <c r="AK134" i="29"/>
  <c r="AK130" i="29"/>
  <c r="AK126" i="29"/>
  <c r="AK124" i="29"/>
  <c r="AK148" i="29"/>
  <c r="AK144" i="29"/>
  <c r="AK138" i="29"/>
  <c r="AK135" i="29"/>
  <c r="AK127" i="29"/>
  <c r="AK120" i="29"/>
  <c r="AK116" i="29"/>
  <c r="AK114" i="29"/>
  <c r="AK112" i="29"/>
  <c r="AK110" i="29"/>
  <c r="AK108" i="29"/>
  <c r="AK104" i="29"/>
  <c r="AK102" i="29"/>
  <c r="AK98" i="29"/>
  <c r="AK96" i="29"/>
  <c r="AK94" i="29"/>
  <c r="AK92" i="29"/>
  <c r="AK90" i="29"/>
  <c r="AK86" i="29"/>
  <c r="AK84" i="29"/>
  <c r="AK80" i="29"/>
  <c r="AK78" i="29"/>
  <c r="AK72" i="29"/>
  <c r="AK70" i="29"/>
  <c r="AK142" i="29"/>
  <c r="AK125" i="29"/>
  <c r="AK119" i="29"/>
  <c r="AK113" i="29"/>
  <c r="AK109" i="29"/>
  <c r="AK103" i="29"/>
  <c r="AK97" i="29"/>
  <c r="AK93" i="29"/>
  <c r="AK87" i="29"/>
  <c r="AK81" i="29"/>
  <c r="AK73" i="29"/>
  <c r="AK69" i="29"/>
  <c r="AK67" i="29"/>
  <c r="AK63" i="29"/>
  <c r="AK61" i="29"/>
  <c r="AK59" i="29"/>
  <c r="AK55" i="29"/>
  <c r="AK51" i="29"/>
  <c r="AK49" i="29"/>
  <c r="AK47" i="29"/>
  <c r="AK45" i="29"/>
  <c r="AK41" i="29"/>
  <c r="AK37" i="29"/>
  <c r="AK35" i="29"/>
  <c r="AK33" i="29"/>
  <c r="AK29" i="29"/>
  <c r="AK25" i="29"/>
  <c r="AK23" i="29"/>
  <c r="AK21" i="29"/>
  <c r="AK19" i="29"/>
  <c r="AK17" i="29"/>
  <c r="AK13" i="29"/>
  <c r="AK11" i="29"/>
  <c r="AK9" i="29"/>
  <c r="AK7" i="29"/>
  <c r="AK146" i="29"/>
  <c r="AK136" i="29"/>
  <c r="AK133" i="29"/>
  <c r="AK123" i="29"/>
  <c r="AK115" i="29"/>
  <c r="AK111" i="29"/>
  <c r="AK107" i="29"/>
  <c r="AK95" i="29"/>
  <c r="AK85" i="29"/>
  <c r="AK71" i="29"/>
  <c r="AK66" i="29"/>
  <c r="AK60" i="29"/>
  <c r="AK52" i="29"/>
  <c r="AK48" i="29"/>
  <c r="AK42" i="29"/>
  <c r="AK36" i="29"/>
  <c r="AK30" i="29"/>
  <c r="AK24" i="29"/>
  <c r="AK20" i="29"/>
  <c r="AK14" i="29"/>
  <c r="AK10" i="29"/>
  <c r="AK101" i="29"/>
  <c r="AK91" i="29"/>
  <c r="AK79" i="29"/>
  <c r="AK68" i="29"/>
  <c r="AK62" i="29"/>
  <c r="AK58" i="29"/>
  <c r="AK50" i="29"/>
  <c r="AK46" i="29"/>
  <c r="AK38" i="29"/>
  <c r="AK34" i="29"/>
  <c r="AK26" i="29"/>
  <c r="AK22" i="29"/>
  <c r="AK18" i="29"/>
  <c r="AK12" i="29"/>
  <c r="AK8" i="29"/>
  <c r="AM155" i="29"/>
  <c r="AM147" i="29"/>
  <c r="AM145" i="29"/>
  <c r="AM143" i="29"/>
  <c r="AM139" i="29"/>
  <c r="AM137" i="29"/>
  <c r="AM134" i="29"/>
  <c r="AM130" i="29"/>
  <c r="AM129" i="29" s="1"/>
  <c r="AM126" i="29"/>
  <c r="AM124" i="29"/>
  <c r="AM156" i="29"/>
  <c r="AM154" i="29" s="1"/>
  <c r="E39" i="79" s="1"/>
  <c r="AM146" i="29"/>
  <c r="AM142" i="29"/>
  <c r="AM136" i="29"/>
  <c r="AM133" i="29"/>
  <c r="AM125" i="29"/>
  <c r="AM120" i="29"/>
  <c r="AM116" i="29"/>
  <c r="AM114" i="29"/>
  <c r="AM112" i="29"/>
  <c r="AM110" i="29"/>
  <c r="AM108" i="29"/>
  <c r="AM104" i="29"/>
  <c r="AM102" i="29"/>
  <c r="AM98" i="29"/>
  <c r="AM96" i="29"/>
  <c r="AM94" i="29"/>
  <c r="AM92" i="29"/>
  <c r="AM90" i="29"/>
  <c r="AM86" i="29"/>
  <c r="AM84" i="29"/>
  <c r="AM80" i="29"/>
  <c r="AM78" i="29"/>
  <c r="AM72" i="29"/>
  <c r="AM70" i="29"/>
  <c r="AM149" i="29"/>
  <c r="AM144" i="29"/>
  <c r="AM127" i="29"/>
  <c r="AM123" i="29"/>
  <c r="AM115" i="29"/>
  <c r="AM111" i="29"/>
  <c r="AM107" i="29"/>
  <c r="AM101" i="29"/>
  <c r="AM95" i="29"/>
  <c r="AM91" i="29"/>
  <c r="AM85" i="29"/>
  <c r="AM79" i="29"/>
  <c r="AM71" i="29"/>
  <c r="AM69" i="29"/>
  <c r="AM67" i="29"/>
  <c r="AM63" i="29"/>
  <c r="AM61" i="29"/>
  <c r="AM59" i="29"/>
  <c r="AM55" i="29"/>
  <c r="AM54" i="29" s="1"/>
  <c r="AM51" i="29"/>
  <c r="AM49" i="29"/>
  <c r="AM47" i="29"/>
  <c r="AM45" i="29"/>
  <c r="AM41" i="29"/>
  <c r="AM37" i="29"/>
  <c r="AM35" i="29"/>
  <c r="AM33" i="29"/>
  <c r="AM29" i="29"/>
  <c r="AM25" i="29"/>
  <c r="AM23" i="29"/>
  <c r="AM21" i="29"/>
  <c r="AM19" i="29"/>
  <c r="AM17" i="29"/>
  <c r="AM13" i="29"/>
  <c r="AM11" i="29"/>
  <c r="AM9" i="29"/>
  <c r="AM7" i="29"/>
  <c r="AM148" i="29"/>
  <c r="AM138" i="29"/>
  <c r="AM135" i="29"/>
  <c r="AM119" i="29"/>
  <c r="AM113" i="29"/>
  <c r="AM109" i="29"/>
  <c r="AM97" i="29"/>
  <c r="AM87" i="29"/>
  <c r="AM73" i="29"/>
  <c r="AM68" i="29"/>
  <c r="AM62" i="29"/>
  <c r="AM58" i="29"/>
  <c r="AM50" i="29"/>
  <c r="AM46" i="29"/>
  <c r="AM38" i="29"/>
  <c r="AM34" i="29"/>
  <c r="AM26" i="29"/>
  <c r="AM22" i="29"/>
  <c r="AM18" i="29"/>
  <c r="AM12" i="29"/>
  <c r="AM8" i="29"/>
  <c r="AM103" i="29"/>
  <c r="AM93" i="29"/>
  <c r="AM81" i="29"/>
  <c r="AM66" i="29"/>
  <c r="AM60" i="29"/>
  <c r="AM52" i="29"/>
  <c r="AM48" i="29"/>
  <c r="AM42" i="29"/>
  <c r="AM36" i="29"/>
  <c r="AM30" i="29"/>
  <c r="AM24" i="29"/>
  <c r="AM20" i="29"/>
  <c r="AM14" i="29"/>
  <c r="AM10" i="29"/>
  <c r="AO155" i="29"/>
  <c r="AO156" i="29"/>
  <c r="AO149" i="29"/>
  <c r="AO147" i="29"/>
  <c r="AO145" i="29"/>
  <c r="AO143" i="29"/>
  <c r="AO139" i="29"/>
  <c r="AO137" i="29"/>
  <c r="AO134" i="29"/>
  <c r="AO130" i="29"/>
  <c r="AO129" i="29" s="1"/>
  <c r="AO126" i="29"/>
  <c r="AO124" i="29"/>
  <c r="AO148" i="29"/>
  <c r="AO144" i="29"/>
  <c r="AO138" i="29"/>
  <c r="AO135" i="29"/>
  <c r="AO127" i="29"/>
  <c r="AO120" i="29"/>
  <c r="AO116" i="29"/>
  <c r="AO114" i="29"/>
  <c r="AO112" i="29"/>
  <c r="AO110" i="29"/>
  <c r="AO108" i="29"/>
  <c r="AO104" i="29"/>
  <c r="AO102" i="29"/>
  <c r="AO98" i="29"/>
  <c r="AO96" i="29"/>
  <c r="AO94" i="29"/>
  <c r="AO92" i="29"/>
  <c r="AO90" i="29"/>
  <c r="AO86" i="29"/>
  <c r="AO84" i="29"/>
  <c r="AO80" i="29"/>
  <c r="AO78" i="29"/>
  <c r="AO72" i="29"/>
  <c r="AO70" i="29"/>
  <c r="AO146" i="29"/>
  <c r="AO136" i="29"/>
  <c r="AO133" i="29"/>
  <c r="AO119" i="29"/>
  <c r="AO118" i="29" s="1"/>
  <c r="AO113" i="29"/>
  <c r="AO109" i="29"/>
  <c r="AO103" i="29"/>
  <c r="AO97" i="29"/>
  <c r="AO93" i="29"/>
  <c r="AO87" i="29"/>
  <c r="AO81" i="29"/>
  <c r="AO73" i="29"/>
  <c r="AO69" i="29"/>
  <c r="AO67" i="29"/>
  <c r="AO63" i="29"/>
  <c r="AO61" i="29"/>
  <c r="AO59" i="29"/>
  <c r="AO55" i="29"/>
  <c r="AO54" i="29" s="1"/>
  <c r="AO51" i="29"/>
  <c r="AO49" i="29"/>
  <c r="AO47" i="29"/>
  <c r="AO45" i="29"/>
  <c r="AO41" i="29"/>
  <c r="AO37" i="29"/>
  <c r="AO35" i="29"/>
  <c r="AO33" i="29"/>
  <c r="AO29" i="29"/>
  <c r="AO25" i="29"/>
  <c r="AO23" i="29"/>
  <c r="AO21" i="29"/>
  <c r="AO19" i="29"/>
  <c r="AO17" i="29"/>
  <c r="AO13" i="29"/>
  <c r="AO11" i="29"/>
  <c r="AO9" i="29"/>
  <c r="AO7" i="29"/>
  <c r="AO142" i="29"/>
  <c r="AO125" i="29"/>
  <c r="AO123" i="29"/>
  <c r="AO115" i="29"/>
  <c r="AO111" i="29"/>
  <c r="AO107" i="29"/>
  <c r="AO101" i="29"/>
  <c r="AO91" i="29"/>
  <c r="AO79" i="29"/>
  <c r="AO66" i="29"/>
  <c r="AO60" i="29"/>
  <c r="AO52" i="29"/>
  <c r="AO48" i="29"/>
  <c r="AO42" i="29"/>
  <c r="AO36" i="29"/>
  <c r="AO30" i="29"/>
  <c r="AO24" i="29"/>
  <c r="AO20" i="29"/>
  <c r="AO14" i="29"/>
  <c r="AO10" i="29"/>
  <c r="AO95" i="29"/>
  <c r="AO85" i="29"/>
  <c r="AO71" i="29"/>
  <c r="AO68" i="29"/>
  <c r="AO62" i="29"/>
  <c r="AO58" i="29"/>
  <c r="AO50" i="29"/>
  <c r="AO46" i="29"/>
  <c r="AO38" i="29"/>
  <c r="AO34" i="29"/>
  <c r="AO26" i="29"/>
  <c r="AO22" i="29"/>
  <c r="AO18" i="29"/>
  <c r="AO12" i="29"/>
  <c r="AO8" i="29"/>
  <c r="AQ155" i="29"/>
  <c r="AQ149" i="29"/>
  <c r="AQ147" i="29"/>
  <c r="AQ145" i="29"/>
  <c r="AQ143" i="29"/>
  <c r="AQ139" i="29"/>
  <c r="AQ137" i="29"/>
  <c r="AQ134" i="29"/>
  <c r="AQ130" i="29"/>
  <c r="AQ129" i="29" s="1"/>
  <c r="AQ126" i="29"/>
  <c r="AQ124" i="29"/>
  <c r="AQ146" i="29"/>
  <c r="AQ142" i="29"/>
  <c r="AQ136" i="29"/>
  <c r="AQ133" i="29"/>
  <c r="AQ125" i="29"/>
  <c r="AQ120" i="29"/>
  <c r="AQ116" i="29"/>
  <c r="AQ114" i="29"/>
  <c r="AQ112" i="29"/>
  <c r="AQ110" i="29"/>
  <c r="AQ108" i="29"/>
  <c r="AQ104" i="29"/>
  <c r="AQ102" i="29"/>
  <c r="AQ98" i="29"/>
  <c r="AQ96" i="29"/>
  <c r="AQ94" i="29"/>
  <c r="AQ92" i="29"/>
  <c r="AQ90" i="29"/>
  <c r="AQ86" i="29"/>
  <c r="AQ84" i="29"/>
  <c r="AQ80" i="29"/>
  <c r="AQ78" i="29"/>
  <c r="AQ72" i="29"/>
  <c r="AQ70" i="29"/>
  <c r="AQ156" i="29"/>
  <c r="AQ148" i="29"/>
  <c r="AQ138" i="29"/>
  <c r="AQ135" i="29"/>
  <c r="AQ123" i="29"/>
  <c r="AQ115" i="29"/>
  <c r="AQ111" i="29"/>
  <c r="AQ107" i="29"/>
  <c r="AQ101" i="29"/>
  <c r="AQ95" i="29"/>
  <c r="AQ91" i="29"/>
  <c r="AQ85" i="29"/>
  <c r="AQ79" i="29"/>
  <c r="AQ71" i="29"/>
  <c r="AQ69" i="29"/>
  <c r="AQ67" i="29"/>
  <c r="AQ63" i="29"/>
  <c r="AQ61" i="29"/>
  <c r="AQ59" i="29"/>
  <c r="AQ55" i="29"/>
  <c r="AQ54" i="29" s="1"/>
  <c r="AQ51" i="29"/>
  <c r="AQ49" i="29"/>
  <c r="AQ47" i="29"/>
  <c r="AQ45" i="29"/>
  <c r="AQ41" i="29"/>
  <c r="AQ37" i="29"/>
  <c r="AQ35" i="29"/>
  <c r="AQ33" i="29"/>
  <c r="AQ29" i="29"/>
  <c r="AQ25" i="29"/>
  <c r="AQ23" i="29"/>
  <c r="AQ21" i="29"/>
  <c r="AQ19" i="29"/>
  <c r="AQ17" i="29"/>
  <c r="AQ13" i="29"/>
  <c r="AQ11" i="29"/>
  <c r="AQ9" i="29"/>
  <c r="AQ7" i="29"/>
  <c r="AQ144" i="29"/>
  <c r="AQ127" i="29"/>
  <c r="AQ119" i="29"/>
  <c r="AQ113" i="29"/>
  <c r="AQ109" i="29"/>
  <c r="AQ103" i="29"/>
  <c r="AQ93" i="29"/>
  <c r="AQ81" i="29"/>
  <c r="AQ68" i="29"/>
  <c r="AQ62" i="29"/>
  <c r="AQ58" i="29"/>
  <c r="AQ50" i="29"/>
  <c r="AQ46" i="29"/>
  <c r="AQ38" i="29"/>
  <c r="AQ34" i="29"/>
  <c r="AQ26" i="29"/>
  <c r="AQ22" i="29"/>
  <c r="AQ18" i="29"/>
  <c r="AQ12" i="29"/>
  <c r="AQ8" i="29"/>
  <c r="AQ97" i="29"/>
  <c r="AQ87" i="29"/>
  <c r="AQ73" i="29"/>
  <c r="AQ66" i="29"/>
  <c r="AQ60" i="29"/>
  <c r="AQ52" i="29"/>
  <c r="AQ48" i="29"/>
  <c r="AQ42" i="29"/>
  <c r="AQ36" i="29"/>
  <c r="AQ30" i="29"/>
  <c r="AQ24" i="29"/>
  <c r="AQ20" i="29"/>
  <c r="AQ14" i="29"/>
  <c r="AQ10" i="29"/>
  <c r="AS155" i="29"/>
  <c r="AS156" i="29"/>
  <c r="AS149" i="29"/>
  <c r="AS147" i="29"/>
  <c r="AS145" i="29"/>
  <c r="AS143" i="29"/>
  <c r="AS139" i="29"/>
  <c r="AS137" i="29"/>
  <c r="AS134" i="29"/>
  <c r="AS130" i="29"/>
  <c r="AS129" i="29" s="1"/>
  <c r="AS126" i="29"/>
  <c r="AS124" i="29"/>
  <c r="AS148" i="29"/>
  <c r="AS144" i="29"/>
  <c r="AS138" i="29"/>
  <c r="AS135" i="29"/>
  <c r="AS127" i="29"/>
  <c r="AS120" i="29"/>
  <c r="AS116" i="29"/>
  <c r="AS114" i="29"/>
  <c r="AS112" i="29"/>
  <c r="AS110" i="29"/>
  <c r="AS108" i="29"/>
  <c r="AS104" i="29"/>
  <c r="AS102" i="29"/>
  <c r="AS98" i="29"/>
  <c r="AS96" i="29"/>
  <c r="AS94" i="29"/>
  <c r="AS92" i="29"/>
  <c r="AS90" i="29"/>
  <c r="AS86" i="29"/>
  <c r="AS84" i="29"/>
  <c r="AS80" i="29"/>
  <c r="AS78" i="29"/>
  <c r="AS72" i="29"/>
  <c r="AS70" i="29"/>
  <c r="AS142" i="29"/>
  <c r="AS125" i="29"/>
  <c r="AS119" i="29"/>
  <c r="AS113" i="29"/>
  <c r="AS109" i="29"/>
  <c r="AS103" i="29"/>
  <c r="AS97" i="29"/>
  <c r="AS93" i="29"/>
  <c r="AS87" i="29"/>
  <c r="AS81" i="29"/>
  <c r="AS73" i="29"/>
  <c r="AS69" i="29"/>
  <c r="AS67" i="29"/>
  <c r="AS63" i="29"/>
  <c r="AS61" i="29"/>
  <c r="AS59" i="29"/>
  <c r="AS55" i="29"/>
  <c r="AS54" i="29" s="1"/>
  <c r="AS51" i="29"/>
  <c r="AS49" i="29"/>
  <c r="AS47" i="29"/>
  <c r="AS45" i="29"/>
  <c r="AS41" i="29"/>
  <c r="AS37" i="29"/>
  <c r="AS35" i="29"/>
  <c r="AS33" i="29"/>
  <c r="AS29" i="29"/>
  <c r="AS25" i="29"/>
  <c r="AS23" i="29"/>
  <c r="AS21" i="29"/>
  <c r="AS19" i="29"/>
  <c r="AS17" i="29"/>
  <c r="AS13" i="29"/>
  <c r="AS11" i="29"/>
  <c r="AS9" i="29"/>
  <c r="AS7" i="29"/>
  <c r="AS146" i="29"/>
  <c r="AS136" i="29"/>
  <c r="AS133" i="29"/>
  <c r="AS123" i="29"/>
  <c r="AS115" i="29"/>
  <c r="AS111" i="29"/>
  <c r="AS107" i="29"/>
  <c r="AS95" i="29"/>
  <c r="AS85" i="29"/>
  <c r="AS71" i="29"/>
  <c r="AS66" i="29"/>
  <c r="AS60" i="29"/>
  <c r="AS52" i="29"/>
  <c r="AS48" i="29"/>
  <c r="AS42" i="29"/>
  <c r="AS36" i="29"/>
  <c r="AS30" i="29"/>
  <c r="AS24" i="29"/>
  <c r="AS20" i="29"/>
  <c r="AS14" i="29"/>
  <c r="AS10" i="29"/>
  <c r="AS101" i="29"/>
  <c r="AS91" i="29"/>
  <c r="AS79" i="29"/>
  <c r="AS68" i="29"/>
  <c r="AS62" i="29"/>
  <c r="AS58" i="29"/>
  <c r="AS50" i="29"/>
  <c r="AS46" i="29"/>
  <c r="AS38" i="29"/>
  <c r="AS34" i="29"/>
  <c r="AS26" i="29"/>
  <c r="AS22" i="29"/>
  <c r="AS18" i="29"/>
  <c r="AS12" i="29"/>
  <c r="AS8" i="29"/>
  <c r="AU155" i="29"/>
  <c r="AU149" i="29"/>
  <c r="AU147" i="29"/>
  <c r="AU145" i="29"/>
  <c r="AU143" i="29"/>
  <c r="AU139" i="29"/>
  <c r="AU137" i="29"/>
  <c r="AU134" i="29"/>
  <c r="AU130" i="29"/>
  <c r="AU129" i="29" s="1"/>
  <c r="AU126" i="29"/>
  <c r="AU124" i="29"/>
  <c r="AU156" i="29"/>
  <c r="AU146" i="29"/>
  <c r="AU142" i="29"/>
  <c r="AU136" i="29"/>
  <c r="AU133" i="29"/>
  <c r="AU125" i="29"/>
  <c r="AU120" i="29"/>
  <c r="AU116" i="29"/>
  <c r="AU114" i="29"/>
  <c r="AU112" i="29"/>
  <c r="AU110" i="29"/>
  <c r="AU108" i="29"/>
  <c r="AU104" i="29"/>
  <c r="AU102" i="29"/>
  <c r="AU98" i="29"/>
  <c r="AU96" i="29"/>
  <c r="AU94" i="29"/>
  <c r="AU92" i="29"/>
  <c r="AU90" i="29"/>
  <c r="AU86" i="29"/>
  <c r="AU84" i="29"/>
  <c r="AU80" i="29"/>
  <c r="AU78" i="29"/>
  <c r="AU72" i="29"/>
  <c r="AU70" i="29"/>
  <c r="AU144" i="29"/>
  <c r="AU127" i="29"/>
  <c r="AU123" i="29"/>
  <c r="AU115" i="29"/>
  <c r="AU111" i="29"/>
  <c r="AU107" i="29"/>
  <c r="AU101" i="29"/>
  <c r="AU95" i="29"/>
  <c r="AU91" i="29"/>
  <c r="AU85" i="29"/>
  <c r="AU79" i="29"/>
  <c r="AU71" i="29"/>
  <c r="AU69" i="29"/>
  <c r="AU67" i="29"/>
  <c r="AU63" i="29"/>
  <c r="AU61" i="29"/>
  <c r="AU59" i="29"/>
  <c r="AU55" i="29"/>
  <c r="AU54" i="29" s="1"/>
  <c r="AU51" i="29"/>
  <c r="AU49" i="29"/>
  <c r="AU47" i="29"/>
  <c r="AU45" i="29"/>
  <c r="AU41" i="29"/>
  <c r="AU37" i="29"/>
  <c r="AU35" i="29"/>
  <c r="AU33" i="29"/>
  <c r="AU29" i="29"/>
  <c r="AU25" i="29"/>
  <c r="AU23" i="29"/>
  <c r="AU21" i="29"/>
  <c r="AU19" i="29"/>
  <c r="AU17" i="29"/>
  <c r="AU13" i="29"/>
  <c r="AU11" i="29"/>
  <c r="AU9" i="29"/>
  <c r="AU7" i="29"/>
  <c r="AU148" i="29"/>
  <c r="AU138" i="29"/>
  <c r="AU135" i="29"/>
  <c r="AU119" i="29"/>
  <c r="AU118" i="29" s="1"/>
  <c r="AU113" i="29"/>
  <c r="AU109" i="29"/>
  <c r="AU97" i="29"/>
  <c r="AU87" i="29"/>
  <c r="AU73" i="29"/>
  <c r="AU68" i="29"/>
  <c r="AU62" i="29"/>
  <c r="AU58" i="29"/>
  <c r="AU50" i="29"/>
  <c r="AU46" i="29"/>
  <c r="AU38" i="29"/>
  <c r="AU34" i="29"/>
  <c r="AU26" i="29"/>
  <c r="AU22" i="29"/>
  <c r="AU18" i="29"/>
  <c r="AU12" i="29"/>
  <c r="AU8" i="29"/>
  <c r="AU103" i="29"/>
  <c r="AU93" i="29"/>
  <c r="AU81" i="29"/>
  <c r="AU66" i="29"/>
  <c r="AU60" i="29"/>
  <c r="AU52" i="29"/>
  <c r="AU48" i="29"/>
  <c r="AU42" i="29"/>
  <c r="AU36" i="29"/>
  <c r="AU30" i="29"/>
  <c r="AU24" i="29"/>
  <c r="AU20" i="29"/>
  <c r="AU14" i="29"/>
  <c r="AU10" i="29"/>
  <c r="AW155" i="29"/>
  <c r="AW156" i="29"/>
  <c r="AW149" i="29"/>
  <c r="AW147" i="29"/>
  <c r="AW145" i="29"/>
  <c r="AW143" i="29"/>
  <c r="AW139" i="29"/>
  <c r="AW137" i="29"/>
  <c r="AW134" i="29"/>
  <c r="AW130" i="29"/>
  <c r="AW129" i="29" s="1"/>
  <c r="AW126" i="29"/>
  <c r="AW124" i="29"/>
  <c r="AW148" i="29"/>
  <c r="AW144" i="29"/>
  <c r="AW138" i="29"/>
  <c r="AW135" i="29"/>
  <c r="AW127" i="29"/>
  <c r="AW120" i="29"/>
  <c r="AW116" i="29"/>
  <c r="AW114" i="29"/>
  <c r="AW112" i="29"/>
  <c r="AW110" i="29"/>
  <c r="AW108" i="29"/>
  <c r="AW104" i="29"/>
  <c r="AW102" i="29"/>
  <c r="AW98" i="29"/>
  <c r="AW96" i="29"/>
  <c r="AW94" i="29"/>
  <c r="AW92" i="29"/>
  <c r="AW90" i="29"/>
  <c r="AW86" i="29"/>
  <c r="AW84" i="29"/>
  <c r="AW80" i="29"/>
  <c r="AW78" i="29"/>
  <c r="AW72" i="29"/>
  <c r="AW70" i="29"/>
  <c r="AW146" i="29"/>
  <c r="AW136" i="29"/>
  <c r="AW133" i="29"/>
  <c r="AW119" i="29"/>
  <c r="AW113" i="29"/>
  <c r="AW109" i="29"/>
  <c r="AW103" i="29"/>
  <c r="AW97" i="29"/>
  <c r="AW93" i="29"/>
  <c r="AW87" i="29"/>
  <c r="AW81" i="29"/>
  <c r="AW73" i="29"/>
  <c r="AW69" i="29"/>
  <c r="AW67" i="29"/>
  <c r="AW63" i="29"/>
  <c r="AW61" i="29"/>
  <c r="AW59" i="29"/>
  <c r="AW55" i="29"/>
  <c r="AW54" i="29" s="1"/>
  <c r="AW51" i="29"/>
  <c r="AW49" i="29"/>
  <c r="AW47" i="29"/>
  <c r="AW45" i="29"/>
  <c r="AW41" i="29"/>
  <c r="AW37" i="29"/>
  <c r="AW35" i="29"/>
  <c r="AW33" i="29"/>
  <c r="AW29" i="29"/>
  <c r="AW25" i="29"/>
  <c r="AW23" i="29"/>
  <c r="AW21" i="29"/>
  <c r="AW19" i="29"/>
  <c r="AW17" i="29"/>
  <c r="AW13" i="29"/>
  <c r="AW11" i="29"/>
  <c r="AW9" i="29"/>
  <c r="AW7" i="29"/>
  <c r="AW142" i="29"/>
  <c r="AW125" i="29"/>
  <c r="AW123" i="29"/>
  <c r="AW115" i="29"/>
  <c r="AW111" i="29"/>
  <c r="AW107" i="29"/>
  <c r="AW101" i="29"/>
  <c r="AW91" i="29"/>
  <c r="AW79" i="29"/>
  <c r="AW66" i="29"/>
  <c r="AW60" i="29"/>
  <c r="AW52" i="29"/>
  <c r="AW48" i="29"/>
  <c r="AW42" i="29"/>
  <c r="AW36" i="29"/>
  <c r="AW30" i="29"/>
  <c r="AW24" i="29"/>
  <c r="AW20" i="29"/>
  <c r="AW14" i="29"/>
  <c r="AW10" i="29"/>
  <c r="AW95" i="29"/>
  <c r="AW85" i="29"/>
  <c r="AW71" i="29"/>
  <c r="AW68" i="29"/>
  <c r="AW62" i="29"/>
  <c r="AW58" i="29"/>
  <c r="AW50" i="29"/>
  <c r="AW46" i="29"/>
  <c r="AW38" i="29"/>
  <c r="AW34" i="29"/>
  <c r="AW26" i="29"/>
  <c r="AW22" i="29"/>
  <c r="AW18" i="29"/>
  <c r="AW12" i="29"/>
  <c r="AW8" i="29"/>
  <c r="AY155" i="29"/>
  <c r="AY149" i="29"/>
  <c r="AY147" i="29"/>
  <c r="AY145" i="29"/>
  <c r="AY143" i="29"/>
  <c r="AY139" i="29"/>
  <c r="AY137" i="29"/>
  <c r="AY134" i="29"/>
  <c r="AY130" i="29"/>
  <c r="AY129" i="29" s="1"/>
  <c r="AY126" i="29"/>
  <c r="AY124" i="29"/>
  <c r="AY146" i="29"/>
  <c r="AY142" i="29"/>
  <c r="AY136" i="29"/>
  <c r="AY133" i="29"/>
  <c r="AY125" i="29"/>
  <c r="AY120" i="29"/>
  <c r="AY116" i="29"/>
  <c r="AY114" i="29"/>
  <c r="AY112" i="29"/>
  <c r="AY110" i="29"/>
  <c r="AY108" i="29"/>
  <c r="AY104" i="29"/>
  <c r="AY102" i="29"/>
  <c r="AY98" i="29"/>
  <c r="AY96" i="29"/>
  <c r="AY94" i="29"/>
  <c r="AY92" i="29"/>
  <c r="AY90" i="29"/>
  <c r="AY86" i="29"/>
  <c r="AY84" i="29"/>
  <c r="AY80" i="29"/>
  <c r="AY78" i="29"/>
  <c r="AY72" i="29"/>
  <c r="AY70" i="29"/>
  <c r="AY148" i="29"/>
  <c r="AY138" i="29"/>
  <c r="AY135" i="29"/>
  <c r="AY123" i="29"/>
  <c r="AY115" i="29"/>
  <c r="AY111" i="29"/>
  <c r="AY107" i="29"/>
  <c r="AY101" i="29"/>
  <c r="AY95" i="29"/>
  <c r="AY91" i="29"/>
  <c r="AY85" i="29"/>
  <c r="AY79" i="29"/>
  <c r="AY71" i="29"/>
  <c r="AY69" i="29"/>
  <c r="AY67" i="29"/>
  <c r="AY63" i="29"/>
  <c r="AY61" i="29"/>
  <c r="AY59" i="29"/>
  <c r="AY55" i="29"/>
  <c r="AY54" i="29" s="1"/>
  <c r="AY51" i="29"/>
  <c r="AY49" i="29"/>
  <c r="AY47" i="29"/>
  <c r="AY45" i="29"/>
  <c r="AY41" i="29"/>
  <c r="AY37" i="29"/>
  <c r="AY35" i="29"/>
  <c r="AY33" i="29"/>
  <c r="AY29" i="29"/>
  <c r="AY25" i="29"/>
  <c r="AY23" i="29"/>
  <c r="AY21" i="29"/>
  <c r="AY19" i="29"/>
  <c r="AY17" i="29"/>
  <c r="AY13" i="29"/>
  <c r="AY11" i="29"/>
  <c r="AY9" i="29"/>
  <c r="AY7" i="29"/>
  <c r="AY156" i="29"/>
  <c r="AY154" i="29" s="1"/>
  <c r="E51" i="79" s="1"/>
  <c r="AY144" i="29"/>
  <c r="AY127" i="29"/>
  <c r="AY119" i="29"/>
  <c r="AY113" i="29"/>
  <c r="AY109" i="29"/>
  <c r="AY103" i="29"/>
  <c r="AY93" i="29"/>
  <c r="AY81" i="29"/>
  <c r="AY68" i="29"/>
  <c r="AY62" i="29"/>
  <c r="AY58" i="29"/>
  <c r="AY50" i="29"/>
  <c r="AY46" i="29"/>
  <c r="AY38" i="29"/>
  <c r="AY34" i="29"/>
  <c r="AY26" i="29"/>
  <c r="AY22" i="29"/>
  <c r="AY18" i="29"/>
  <c r="AY12" i="29"/>
  <c r="AY8" i="29"/>
  <c r="AY97" i="29"/>
  <c r="AY87" i="29"/>
  <c r="AY73" i="29"/>
  <c r="AY66" i="29"/>
  <c r="AY60" i="29"/>
  <c r="AY52" i="29"/>
  <c r="AY48" i="29"/>
  <c r="AY42" i="29"/>
  <c r="AY36" i="29"/>
  <c r="AY30" i="29"/>
  <c r="AY24" i="29"/>
  <c r="AY20" i="29"/>
  <c r="AY14" i="29"/>
  <c r="AY10" i="29"/>
  <c r="BA155" i="29"/>
  <c r="BA156" i="29"/>
  <c r="BA149" i="29"/>
  <c r="BA147" i="29"/>
  <c r="BA145" i="29"/>
  <c r="BA143" i="29"/>
  <c r="BA139" i="29"/>
  <c r="BA137" i="29"/>
  <c r="BA134" i="29"/>
  <c r="BA130" i="29"/>
  <c r="BA129" i="29" s="1"/>
  <c r="BA126" i="29"/>
  <c r="BA124" i="29"/>
  <c r="BA148" i="29"/>
  <c r="BA144" i="29"/>
  <c r="BA138" i="29"/>
  <c r="BA135" i="29"/>
  <c r="BA127" i="29"/>
  <c r="BA120" i="29"/>
  <c r="BA116" i="29"/>
  <c r="BA114" i="29"/>
  <c r="BA112" i="29"/>
  <c r="BA110" i="29"/>
  <c r="BA108" i="29"/>
  <c r="BA104" i="29"/>
  <c r="BA102" i="29"/>
  <c r="BA98" i="29"/>
  <c r="BA96" i="29"/>
  <c r="BA94" i="29"/>
  <c r="BA92" i="29"/>
  <c r="BA90" i="29"/>
  <c r="BA86" i="29"/>
  <c r="BA84" i="29"/>
  <c r="BA80" i="29"/>
  <c r="BA78" i="29"/>
  <c r="BA72" i="29"/>
  <c r="BA70" i="29"/>
  <c r="BA142" i="29"/>
  <c r="BA125" i="29"/>
  <c r="BA119" i="29"/>
  <c r="BA113" i="29"/>
  <c r="BA109" i="29"/>
  <c r="BA103" i="29"/>
  <c r="BA97" i="29"/>
  <c r="BA93" i="29"/>
  <c r="BA87" i="29"/>
  <c r="BA81" i="29"/>
  <c r="BA73" i="29"/>
  <c r="BA69" i="29"/>
  <c r="BA67" i="29"/>
  <c r="BA63" i="29"/>
  <c r="BA61" i="29"/>
  <c r="BA59" i="29"/>
  <c r="BA55" i="29"/>
  <c r="BA54" i="29" s="1"/>
  <c r="BA51" i="29"/>
  <c r="BA49" i="29"/>
  <c r="BA47" i="29"/>
  <c r="BA45" i="29"/>
  <c r="BA41" i="29"/>
  <c r="BA37" i="29"/>
  <c r="BA35" i="29"/>
  <c r="BA33" i="29"/>
  <c r="BA29" i="29"/>
  <c r="BA25" i="29"/>
  <c r="BA23" i="29"/>
  <c r="BA21" i="29"/>
  <c r="BA19" i="29"/>
  <c r="BA17" i="29"/>
  <c r="BA13" i="29"/>
  <c r="BA11" i="29"/>
  <c r="BA9" i="29"/>
  <c r="BA7" i="29"/>
  <c r="BA146" i="29"/>
  <c r="BA136" i="29"/>
  <c r="BA133" i="29"/>
  <c r="BA123" i="29"/>
  <c r="BA115" i="29"/>
  <c r="BA111" i="29"/>
  <c r="BA107" i="29"/>
  <c r="BA95" i="29"/>
  <c r="BA85" i="29"/>
  <c r="BA71" i="29"/>
  <c r="BA66" i="29"/>
  <c r="BA60" i="29"/>
  <c r="BA52" i="29"/>
  <c r="BA48" i="29"/>
  <c r="BA42" i="29"/>
  <c r="BA36" i="29"/>
  <c r="BA30" i="29"/>
  <c r="BA24" i="29"/>
  <c r="BA20" i="29"/>
  <c r="BA14" i="29"/>
  <c r="BA10" i="29"/>
  <c r="BA101" i="29"/>
  <c r="BA91" i="29"/>
  <c r="BA79" i="29"/>
  <c r="BA68" i="29"/>
  <c r="BA62" i="29"/>
  <c r="BA58" i="29"/>
  <c r="BA50" i="29"/>
  <c r="BA46" i="29"/>
  <c r="BA38" i="29"/>
  <c r="BA34" i="29"/>
  <c r="BA26" i="29"/>
  <c r="BA22" i="29"/>
  <c r="BA18" i="29"/>
  <c r="BA12" i="29"/>
  <c r="BA8" i="29"/>
  <c r="BC155" i="29"/>
  <c r="BC149" i="29"/>
  <c r="BC147" i="29"/>
  <c r="BC145" i="29"/>
  <c r="BC143" i="29"/>
  <c r="BC139" i="29"/>
  <c r="BC137" i="29"/>
  <c r="BC134" i="29"/>
  <c r="BC130" i="29"/>
  <c r="BC129" i="29" s="1"/>
  <c r="BC126" i="29"/>
  <c r="BC124" i="29"/>
  <c r="BC156" i="29"/>
  <c r="BC146" i="29"/>
  <c r="BC142" i="29"/>
  <c r="BC136" i="29"/>
  <c r="BC133" i="29"/>
  <c r="BC125" i="29"/>
  <c r="BC120" i="29"/>
  <c r="BC116" i="29"/>
  <c r="BC114" i="29"/>
  <c r="BC112" i="29"/>
  <c r="BC110" i="29"/>
  <c r="BC108" i="29"/>
  <c r="BC104" i="29"/>
  <c r="BC102" i="29"/>
  <c r="BC98" i="29"/>
  <c r="BC96" i="29"/>
  <c r="BC94" i="29"/>
  <c r="BC92" i="29"/>
  <c r="BC90" i="29"/>
  <c r="BC86" i="29"/>
  <c r="BC84" i="29"/>
  <c r="BC80" i="29"/>
  <c r="BC78" i="29"/>
  <c r="BC72" i="29"/>
  <c r="BC70" i="29"/>
  <c r="BC144" i="29"/>
  <c r="BC127" i="29"/>
  <c r="BC123" i="29"/>
  <c r="BC115" i="29"/>
  <c r="BC111" i="29"/>
  <c r="BC107" i="29"/>
  <c r="BC101" i="29"/>
  <c r="BC95" i="29"/>
  <c r="BC91" i="29"/>
  <c r="BC85" i="29"/>
  <c r="BC79" i="29"/>
  <c r="BC71" i="29"/>
  <c r="BC69" i="29"/>
  <c r="BC67" i="29"/>
  <c r="BC63" i="29"/>
  <c r="BC61" i="29"/>
  <c r="BC59" i="29"/>
  <c r="BC55" i="29"/>
  <c r="BC54" i="29" s="1"/>
  <c r="BC51" i="29"/>
  <c r="BC49" i="29"/>
  <c r="BC47" i="29"/>
  <c r="BC45" i="29"/>
  <c r="BC41" i="29"/>
  <c r="BC37" i="29"/>
  <c r="BC35" i="29"/>
  <c r="BC33" i="29"/>
  <c r="BC29" i="29"/>
  <c r="BC25" i="29"/>
  <c r="BC23" i="29"/>
  <c r="BC21" i="29"/>
  <c r="BC19" i="29"/>
  <c r="BC17" i="29"/>
  <c r="BC13" i="29"/>
  <c r="BC11" i="29"/>
  <c r="BC9" i="29"/>
  <c r="BC7" i="29"/>
  <c r="BC148" i="29"/>
  <c r="BC138" i="29"/>
  <c r="BC135" i="29"/>
  <c r="BC119" i="29"/>
  <c r="BC113" i="29"/>
  <c r="BC109" i="29"/>
  <c r="BC97" i="29"/>
  <c r="BC87" i="29"/>
  <c r="BC73" i="29"/>
  <c r="BC68" i="29"/>
  <c r="BC62" i="29"/>
  <c r="BC58" i="29"/>
  <c r="BC50" i="29"/>
  <c r="BC46" i="29"/>
  <c r="BC38" i="29"/>
  <c r="BC34" i="29"/>
  <c r="BC26" i="29"/>
  <c r="BC22" i="29"/>
  <c r="BC18" i="29"/>
  <c r="BC12" i="29"/>
  <c r="BC8" i="29"/>
  <c r="BC103" i="29"/>
  <c r="BC93" i="29"/>
  <c r="BC81" i="29"/>
  <c r="BC66" i="29"/>
  <c r="BC60" i="29"/>
  <c r="BC52" i="29"/>
  <c r="BC48" i="29"/>
  <c r="BC42" i="29"/>
  <c r="BC36" i="29"/>
  <c r="BC30" i="29"/>
  <c r="BC24" i="29"/>
  <c r="BC20" i="29"/>
  <c r="BC14" i="29"/>
  <c r="BC10" i="29"/>
  <c r="BE155" i="29"/>
  <c r="BE156" i="29"/>
  <c r="BE149" i="29"/>
  <c r="BE147" i="29"/>
  <c r="BE145" i="29"/>
  <c r="BE143" i="29"/>
  <c r="BE139" i="29"/>
  <c r="BE137" i="29"/>
  <c r="BE134" i="29"/>
  <c r="BE130" i="29"/>
  <c r="BE129" i="29" s="1"/>
  <c r="BE126" i="29"/>
  <c r="BE148" i="29"/>
  <c r="BE144" i="29"/>
  <c r="BE138" i="29"/>
  <c r="BE135" i="29"/>
  <c r="BE127" i="29"/>
  <c r="BE124" i="29"/>
  <c r="BE120" i="29"/>
  <c r="BE116" i="29"/>
  <c r="BE114" i="29"/>
  <c r="BE112" i="29"/>
  <c r="BE110" i="29"/>
  <c r="BE108" i="29"/>
  <c r="BE104" i="29"/>
  <c r="BE102" i="29"/>
  <c r="BE98" i="29"/>
  <c r="BE96" i="29"/>
  <c r="BE94" i="29"/>
  <c r="BE92" i="29"/>
  <c r="BE90" i="29"/>
  <c r="BE86" i="29"/>
  <c r="BE84" i="29"/>
  <c r="BE80" i="29"/>
  <c r="BE78" i="29"/>
  <c r="BE72" i="29"/>
  <c r="BE70" i="29"/>
  <c r="BE146" i="29"/>
  <c r="BE136" i="29"/>
  <c r="BE133" i="29"/>
  <c r="BE119" i="29"/>
  <c r="BE118" i="29" s="1"/>
  <c r="BE113" i="29"/>
  <c r="BE109" i="29"/>
  <c r="BE103" i="29"/>
  <c r="BE97" i="29"/>
  <c r="BE93" i="29"/>
  <c r="BE87" i="29"/>
  <c r="BE81" i="29"/>
  <c r="BE73" i="29"/>
  <c r="BE69" i="29"/>
  <c r="BE67" i="29"/>
  <c r="BE63" i="29"/>
  <c r="BE61" i="29"/>
  <c r="BE59" i="29"/>
  <c r="BE55" i="29"/>
  <c r="BE54" i="29" s="1"/>
  <c r="BE51" i="29"/>
  <c r="BE49" i="29"/>
  <c r="BE47" i="29"/>
  <c r="BE45" i="29"/>
  <c r="BE41" i="29"/>
  <c r="BE37" i="29"/>
  <c r="BE35" i="29"/>
  <c r="BE33" i="29"/>
  <c r="BE29" i="29"/>
  <c r="BE25" i="29"/>
  <c r="BE23" i="29"/>
  <c r="BE21" i="29"/>
  <c r="BE19" i="29"/>
  <c r="BE17" i="29"/>
  <c r="BE13" i="29"/>
  <c r="BE11" i="29"/>
  <c r="BE9" i="29"/>
  <c r="BE7" i="29"/>
  <c r="BE142" i="29"/>
  <c r="BE125" i="29"/>
  <c r="BE123" i="29"/>
  <c r="BE115" i="29"/>
  <c r="BE111" i="29"/>
  <c r="BE107" i="29"/>
  <c r="BE101" i="29"/>
  <c r="BE91" i="29"/>
  <c r="BE79" i="29"/>
  <c r="BE66" i="29"/>
  <c r="BE60" i="29"/>
  <c r="BE52" i="29"/>
  <c r="BE48" i="29"/>
  <c r="BE42" i="29"/>
  <c r="BE36" i="29"/>
  <c r="BE30" i="29"/>
  <c r="BE24" i="29"/>
  <c r="BE20" i="29"/>
  <c r="BE14" i="29"/>
  <c r="BE10" i="29"/>
  <c r="BE95" i="29"/>
  <c r="BE85" i="29"/>
  <c r="BE71" i="29"/>
  <c r="BE68" i="29"/>
  <c r="BE62" i="29"/>
  <c r="BE58" i="29"/>
  <c r="BE50" i="29"/>
  <c r="BE46" i="29"/>
  <c r="BE38" i="29"/>
  <c r="BE34" i="29"/>
  <c r="BE26" i="29"/>
  <c r="BE22" i="29"/>
  <c r="BE18" i="29"/>
  <c r="BE12" i="29"/>
  <c r="BE8" i="29"/>
  <c r="F156" i="29"/>
  <c r="F149" i="29"/>
  <c r="F148" i="29"/>
  <c r="F146" i="29"/>
  <c r="F144" i="29"/>
  <c r="F142" i="29"/>
  <c r="F138" i="29"/>
  <c r="F136" i="29"/>
  <c r="F135" i="29"/>
  <c r="F133" i="29"/>
  <c r="F127" i="29"/>
  <c r="F125" i="29"/>
  <c r="F145" i="29"/>
  <c r="F139" i="29"/>
  <c r="F130" i="29"/>
  <c r="F129" i="29" s="1"/>
  <c r="F124" i="29"/>
  <c r="F123" i="29"/>
  <c r="F119" i="29"/>
  <c r="F115" i="29"/>
  <c r="F113" i="29"/>
  <c r="F111" i="29"/>
  <c r="F109" i="29"/>
  <c r="F107" i="29"/>
  <c r="F103" i="29"/>
  <c r="F101" i="29"/>
  <c r="F97" i="29"/>
  <c r="F95" i="29"/>
  <c r="F93" i="29"/>
  <c r="F91" i="29"/>
  <c r="F87" i="29"/>
  <c r="F85" i="29"/>
  <c r="F81" i="29"/>
  <c r="F79" i="29"/>
  <c r="F73" i="29"/>
  <c r="F71" i="29"/>
  <c r="F69" i="29"/>
  <c r="F155" i="29"/>
  <c r="F147" i="29"/>
  <c r="F137" i="29"/>
  <c r="F134" i="29"/>
  <c r="F120" i="29"/>
  <c r="F114" i="29"/>
  <c r="F110" i="29"/>
  <c r="F104" i="29"/>
  <c r="F98" i="29"/>
  <c r="F94" i="29"/>
  <c r="F90" i="29"/>
  <c r="F84" i="29"/>
  <c r="F78" i="29"/>
  <c r="F70" i="29"/>
  <c r="F68" i="29"/>
  <c r="F66" i="29"/>
  <c r="F62" i="29"/>
  <c r="F60" i="29"/>
  <c r="F58" i="29"/>
  <c r="F52" i="29"/>
  <c r="F50" i="29"/>
  <c r="F48" i="29"/>
  <c r="F46" i="29"/>
  <c r="F42" i="29"/>
  <c r="F38" i="29"/>
  <c r="F36" i="29"/>
  <c r="F34" i="29"/>
  <c r="F30" i="29"/>
  <c r="F26" i="29"/>
  <c r="F24" i="29"/>
  <c r="F22" i="29"/>
  <c r="F20" i="29"/>
  <c r="F18" i="29"/>
  <c r="F14" i="29"/>
  <c r="F12" i="29"/>
  <c r="F10" i="29"/>
  <c r="F8" i="29"/>
  <c r="F143" i="29"/>
  <c r="F126" i="29"/>
  <c r="F116" i="29"/>
  <c r="F112" i="29"/>
  <c r="F108" i="29"/>
  <c r="F102" i="29"/>
  <c r="F92" i="29"/>
  <c r="F80" i="29"/>
  <c r="F67" i="29"/>
  <c r="F61" i="29"/>
  <c r="F55" i="29"/>
  <c r="F54" i="29" s="1"/>
  <c r="F49" i="29"/>
  <c r="F45" i="29"/>
  <c r="F37" i="29"/>
  <c r="F33" i="29"/>
  <c r="F25" i="29"/>
  <c r="F21" i="29"/>
  <c r="F17" i="29"/>
  <c r="F11" i="29"/>
  <c r="F7" i="29"/>
  <c r="F96" i="29"/>
  <c r="F86" i="29"/>
  <c r="F72" i="29"/>
  <c r="F63" i="29"/>
  <c r="F59" i="29"/>
  <c r="F51" i="29"/>
  <c r="F47" i="29"/>
  <c r="F41" i="29"/>
  <c r="F35" i="29"/>
  <c r="F29" i="29"/>
  <c r="F23" i="29"/>
  <c r="F19" i="29"/>
  <c r="F13" i="29"/>
  <c r="F9" i="29"/>
  <c r="H156" i="29"/>
  <c r="H149" i="29"/>
  <c r="H155" i="29"/>
  <c r="H148" i="29"/>
  <c r="H146" i="29"/>
  <c r="H144" i="29"/>
  <c r="H142" i="29"/>
  <c r="H138" i="29"/>
  <c r="H136" i="29"/>
  <c r="H135" i="29"/>
  <c r="H133" i="29"/>
  <c r="H127" i="29"/>
  <c r="H125" i="29"/>
  <c r="H147" i="29"/>
  <c r="H143" i="29"/>
  <c r="H137" i="29"/>
  <c r="H134" i="29"/>
  <c r="H126" i="29"/>
  <c r="H123" i="29"/>
  <c r="H119" i="29"/>
  <c r="H115" i="29"/>
  <c r="H113" i="29"/>
  <c r="H111" i="29"/>
  <c r="H109" i="29"/>
  <c r="H107" i="29"/>
  <c r="H103" i="29"/>
  <c r="H101" i="29"/>
  <c r="H97" i="29"/>
  <c r="H95" i="29"/>
  <c r="H93" i="29"/>
  <c r="H91" i="29"/>
  <c r="H87" i="29"/>
  <c r="H85" i="29"/>
  <c r="H81" i="29"/>
  <c r="H79" i="29"/>
  <c r="H73" i="29"/>
  <c r="H71" i="29"/>
  <c r="H69" i="29"/>
  <c r="H139" i="29"/>
  <c r="H124" i="29"/>
  <c r="H116" i="29"/>
  <c r="H112" i="29"/>
  <c r="H108" i="29"/>
  <c r="H102" i="29"/>
  <c r="H96" i="29"/>
  <c r="H92" i="29"/>
  <c r="H86" i="29"/>
  <c r="H80" i="29"/>
  <c r="H72" i="29"/>
  <c r="H68" i="29"/>
  <c r="H66" i="29"/>
  <c r="H62" i="29"/>
  <c r="H60" i="29"/>
  <c r="H58" i="29"/>
  <c r="H52" i="29"/>
  <c r="H50" i="29"/>
  <c r="H48" i="29"/>
  <c r="H46" i="29"/>
  <c r="H42" i="29"/>
  <c r="H38" i="29"/>
  <c r="H36" i="29"/>
  <c r="H34" i="29"/>
  <c r="H30" i="29"/>
  <c r="H26" i="29"/>
  <c r="H24" i="29"/>
  <c r="H22" i="29"/>
  <c r="H20" i="29"/>
  <c r="H18" i="29"/>
  <c r="H14" i="29"/>
  <c r="H12" i="29"/>
  <c r="H10" i="29"/>
  <c r="H8" i="29"/>
  <c r="H145" i="29"/>
  <c r="H130" i="29"/>
  <c r="H129" i="29" s="1"/>
  <c r="H120" i="29"/>
  <c r="H114" i="29"/>
  <c r="H110" i="29"/>
  <c r="H104" i="29"/>
  <c r="H94" i="29"/>
  <c r="H84" i="29"/>
  <c r="H70" i="29"/>
  <c r="H63" i="29"/>
  <c r="H59" i="29"/>
  <c r="H51" i="29"/>
  <c r="H47" i="29"/>
  <c r="H41" i="29"/>
  <c r="H35" i="29"/>
  <c r="H29" i="29"/>
  <c r="H23" i="29"/>
  <c r="H19" i="29"/>
  <c r="H13" i="29"/>
  <c r="H9" i="29"/>
  <c r="H98" i="29"/>
  <c r="H90" i="29"/>
  <c r="H78" i="29"/>
  <c r="H67" i="29"/>
  <c r="H61" i="29"/>
  <c r="H55" i="29"/>
  <c r="H54" i="29" s="1"/>
  <c r="H49" i="29"/>
  <c r="H45" i="29"/>
  <c r="H37" i="29"/>
  <c r="H33" i="29"/>
  <c r="H25" i="29"/>
  <c r="H21" i="29"/>
  <c r="H17" i="29"/>
  <c r="H11" i="29"/>
  <c r="H7" i="29"/>
  <c r="J156" i="29"/>
  <c r="J149" i="29"/>
  <c r="J148" i="29"/>
  <c r="J146" i="29"/>
  <c r="J144" i="29"/>
  <c r="J142" i="29"/>
  <c r="J138" i="29"/>
  <c r="J136" i="29"/>
  <c r="J135" i="29"/>
  <c r="J133" i="29"/>
  <c r="J127" i="29"/>
  <c r="J125" i="29"/>
  <c r="J155" i="29"/>
  <c r="J145" i="29"/>
  <c r="J139" i="29"/>
  <c r="J130" i="29"/>
  <c r="J129" i="29" s="1"/>
  <c r="J124" i="29"/>
  <c r="J123" i="29"/>
  <c r="J119" i="29"/>
  <c r="J115" i="29"/>
  <c r="J113" i="29"/>
  <c r="J111" i="29"/>
  <c r="J109" i="29"/>
  <c r="J107" i="29"/>
  <c r="J103" i="29"/>
  <c r="J101" i="29"/>
  <c r="J97" i="29"/>
  <c r="J95" i="29"/>
  <c r="J93" i="29"/>
  <c r="J91" i="29"/>
  <c r="J87" i="29"/>
  <c r="J85" i="29"/>
  <c r="J81" i="29"/>
  <c r="J79" i="29"/>
  <c r="J73" i="29"/>
  <c r="J71" i="29"/>
  <c r="J69" i="29"/>
  <c r="J143" i="29"/>
  <c r="J126" i="29"/>
  <c r="J120" i="29"/>
  <c r="J114" i="29"/>
  <c r="J110" i="29"/>
  <c r="J104" i="29"/>
  <c r="J98" i="29"/>
  <c r="J94" i="29"/>
  <c r="J90" i="29"/>
  <c r="J84" i="29"/>
  <c r="J78" i="29"/>
  <c r="J70" i="29"/>
  <c r="J68" i="29"/>
  <c r="J66" i="29"/>
  <c r="J62" i="29"/>
  <c r="J60" i="29"/>
  <c r="J58" i="29"/>
  <c r="J52" i="29"/>
  <c r="J50" i="29"/>
  <c r="J48" i="29"/>
  <c r="J46" i="29"/>
  <c r="J42" i="29"/>
  <c r="J38" i="29"/>
  <c r="J36" i="29"/>
  <c r="J34" i="29"/>
  <c r="J30" i="29"/>
  <c r="J26" i="29"/>
  <c r="J24" i="29"/>
  <c r="J22" i="29"/>
  <c r="J20" i="29"/>
  <c r="J18" i="29"/>
  <c r="J14" i="29"/>
  <c r="J12" i="29"/>
  <c r="J10" i="29"/>
  <c r="J8" i="29"/>
  <c r="J147" i="29"/>
  <c r="J137" i="29"/>
  <c r="J134" i="29"/>
  <c r="J116" i="29"/>
  <c r="J112" i="29"/>
  <c r="J108" i="29"/>
  <c r="J96" i="29"/>
  <c r="J86" i="29"/>
  <c r="J72" i="29"/>
  <c r="J67" i="29"/>
  <c r="J61" i="29"/>
  <c r="J55" i="29"/>
  <c r="J54" i="29" s="1"/>
  <c r="J49" i="29"/>
  <c r="J45" i="29"/>
  <c r="J37" i="29"/>
  <c r="J33" i="29"/>
  <c r="J25" i="29"/>
  <c r="J21" i="29"/>
  <c r="J17" i="29"/>
  <c r="J11" i="29"/>
  <c r="J7" i="29"/>
  <c r="J102" i="29"/>
  <c r="J92" i="29"/>
  <c r="J80" i="29"/>
  <c r="J63" i="29"/>
  <c r="J59" i="29"/>
  <c r="J51" i="29"/>
  <c r="J47" i="29"/>
  <c r="J41" i="29"/>
  <c r="J35" i="29"/>
  <c r="J29" i="29"/>
  <c r="J23" i="29"/>
  <c r="J19" i="29"/>
  <c r="J13" i="29"/>
  <c r="J9" i="29"/>
  <c r="L156" i="29"/>
  <c r="L149" i="29"/>
  <c r="L155" i="29"/>
  <c r="L148" i="29"/>
  <c r="L146" i="29"/>
  <c r="L144" i="29"/>
  <c r="L142" i="29"/>
  <c r="L138" i="29"/>
  <c r="L136" i="29"/>
  <c r="L135" i="29"/>
  <c r="L133" i="29"/>
  <c r="L127" i="29"/>
  <c r="L125" i="29"/>
  <c r="L147" i="29"/>
  <c r="L143" i="29"/>
  <c r="L137" i="29"/>
  <c r="L134" i="29"/>
  <c r="L126" i="29"/>
  <c r="L123" i="29"/>
  <c r="L119" i="29"/>
  <c r="L115" i="29"/>
  <c r="L113" i="29"/>
  <c r="L111" i="29"/>
  <c r="L109" i="29"/>
  <c r="L107" i="29"/>
  <c r="L103" i="29"/>
  <c r="L101" i="29"/>
  <c r="L97" i="29"/>
  <c r="L95" i="29"/>
  <c r="L93" i="29"/>
  <c r="L91" i="29"/>
  <c r="L87" i="29"/>
  <c r="L85" i="29"/>
  <c r="L81" i="29"/>
  <c r="L79" i="29"/>
  <c r="L73" i="29"/>
  <c r="L71" i="29"/>
  <c r="L69" i="29"/>
  <c r="L145" i="29"/>
  <c r="L130" i="29"/>
  <c r="L129" i="29" s="1"/>
  <c r="L116" i="29"/>
  <c r="L112" i="29"/>
  <c r="L108" i="29"/>
  <c r="L102" i="29"/>
  <c r="L96" i="29"/>
  <c r="L92" i="29"/>
  <c r="L86" i="29"/>
  <c r="L80" i="29"/>
  <c r="L72" i="29"/>
  <c r="L68" i="29"/>
  <c r="L66" i="29"/>
  <c r="L62" i="29"/>
  <c r="L60" i="29"/>
  <c r="L58" i="29"/>
  <c r="L52" i="29"/>
  <c r="L50" i="29"/>
  <c r="L48" i="29"/>
  <c r="L46" i="29"/>
  <c r="L42" i="29"/>
  <c r="L38" i="29"/>
  <c r="L36" i="29"/>
  <c r="L34" i="29"/>
  <c r="L30" i="29"/>
  <c r="L26" i="29"/>
  <c r="L24" i="29"/>
  <c r="L22" i="29"/>
  <c r="L20" i="29"/>
  <c r="L18" i="29"/>
  <c r="L14" i="29"/>
  <c r="L12" i="29"/>
  <c r="L10" i="29"/>
  <c r="L8" i="29"/>
  <c r="L139" i="29"/>
  <c r="L124" i="29"/>
  <c r="L120" i="29"/>
  <c r="L114" i="29"/>
  <c r="L110" i="29"/>
  <c r="L104" i="29"/>
  <c r="L98" i="29"/>
  <c r="L90" i="29"/>
  <c r="L78" i="29"/>
  <c r="L63" i="29"/>
  <c r="L59" i="29"/>
  <c r="L51" i="29"/>
  <c r="L47" i="29"/>
  <c r="L41" i="29"/>
  <c r="L35" i="29"/>
  <c r="L29" i="29"/>
  <c r="L23" i="29"/>
  <c r="L19" i="29"/>
  <c r="L13" i="29"/>
  <c r="L9" i="29"/>
  <c r="L94" i="29"/>
  <c r="L84" i="29"/>
  <c r="L70" i="29"/>
  <c r="L67" i="29"/>
  <c r="L61" i="29"/>
  <c r="L55" i="29"/>
  <c r="L54" i="29" s="1"/>
  <c r="L49" i="29"/>
  <c r="L45" i="29"/>
  <c r="L37" i="29"/>
  <c r="L33" i="29"/>
  <c r="L25" i="29"/>
  <c r="L21" i="29"/>
  <c r="L17" i="29"/>
  <c r="L11" i="29"/>
  <c r="L7" i="29"/>
  <c r="N156" i="29"/>
  <c r="N149" i="29"/>
  <c r="N148" i="29"/>
  <c r="N146" i="29"/>
  <c r="N144" i="29"/>
  <c r="N142" i="29"/>
  <c r="N138" i="29"/>
  <c r="N136" i="29"/>
  <c r="N135" i="29"/>
  <c r="N133" i="29"/>
  <c r="N127" i="29"/>
  <c r="N125" i="29"/>
  <c r="N145" i="29"/>
  <c r="N139" i="29"/>
  <c r="N130" i="29"/>
  <c r="N129" i="29" s="1"/>
  <c r="N124" i="29"/>
  <c r="N123" i="29"/>
  <c r="N119" i="29"/>
  <c r="N115" i="29"/>
  <c r="N113" i="29"/>
  <c r="N111" i="29"/>
  <c r="N109" i="29"/>
  <c r="N107" i="29"/>
  <c r="N103" i="29"/>
  <c r="N101" i="29"/>
  <c r="N97" i="29"/>
  <c r="N95" i="29"/>
  <c r="N93" i="29"/>
  <c r="N91" i="29"/>
  <c r="N87" i="29"/>
  <c r="N85" i="29"/>
  <c r="N81" i="29"/>
  <c r="N79" i="29"/>
  <c r="N73" i="29"/>
  <c r="N71" i="29"/>
  <c r="N69" i="29"/>
  <c r="N147" i="29"/>
  <c r="N137" i="29"/>
  <c r="N134" i="29"/>
  <c r="N120" i="29"/>
  <c r="N114" i="29"/>
  <c r="N110" i="29"/>
  <c r="N104" i="29"/>
  <c r="N98" i="29"/>
  <c r="N94" i="29"/>
  <c r="N90" i="29"/>
  <c r="N84" i="29"/>
  <c r="N78" i="29"/>
  <c r="N70" i="29"/>
  <c r="N68" i="29"/>
  <c r="N66" i="29"/>
  <c r="N62" i="29"/>
  <c r="N60" i="29"/>
  <c r="N58" i="29"/>
  <c r="N52" i="29"/>
  <c r="N50" i="29"/>
  <c r="N48" i="29"/>
  <c r="N46" i="29"/>
  <c r="N42" i="29"/>
  <c r="N38" i="29"/>
  <c r="N36" i="29"/>
  <c r="N34" i="29"/>
  <c r="N30" i="29"/>
  <c r="N26" i="29"/>
  <c r="N24" i="29"/>
  <c r="N22" i="29"/>
  <c r="N20" i="29"/>
  <c r="N18" i="29"/>
  <c r="N14" i="29"/>
  <c r="N12" i="29"/>
  <c r="N10" i="29"/>
  <c r="N8" i="29"/>
  <c r="N155" i="29"/>
  <c r="N143" i="29"/>
  <c r="N126" i="29"/>
  <c r="N116" i="29"/>
  <c r="N112" i="29"/>
  <c r="N108" i="29"/>
  <c r="N102" i="29"/>
  <c r="N92" i="29"/>
  <c r="N80" i="29"/>
  <c r="N67" i="29"/>
  <c r="N61" i="29"/>
  <c r="N55" i="29"/>
  <c r="N54" i="29" s="1"/>
  <c r="N49" i="29"/>
  <c r="N45" i="29"/>
  <c r="N37" i="29"/>
  <c r="N33" i="29"/>
  <c r="N25" i="29"/>
  <c r="N21" i="29"/>
  <c r="N17" i="29"/>
  <c r="N11" i="29"/>
  <c r="N7" i="29"/>
  <c r="N96" i="29"/>
  <c r="N86" i="29"/>
  <c r="N72" i="29"/>
  <c r="N63" i="29"/>
  <c r="N59" i="29"/>
  <c r="N51" i="29"/>
  <c r="N47" i="29"/>
  <c r="N41" i="29"/>
  <c r="N35" i="29"/>
  <c r="N29" i="29"/>
  <c r="N23" i="29"/>
  <c r="N19" i="29"/>
  <c r="N13" i="29"/>
  <c r="N9" i="29"/>
  <c r="P156" i="29"/>
  <c r="P149" i="29"/>
  <c r="P155" i="29"/>
  <c r="P148" i="29"/>
  <c r="P146" i="29"/>
  <c r="P144" i="29"/>
  <c r="P142" i="29"/>
  <c r="P138" i="29"/>
  <c r="P136" i="29"/>
  <c r="P135" i="29"/>
  <c r="P133" i="29"/>
  <c r="P127" i="29"/>
  <c r="P125" i="29"/>
  <c r="P147" i="29"/>
  <c r="P143" i="29"/>
  <c r="P137" i="29"/>
  <c r="P134" i="29"/>
  <c r="P126" i="29"/>
  <c r="P123" i="29"/>
  <c r="P119" i="29"/>
  <c r="P115" i="29"/>
  <c r="P113" i="29"/>
  <c r="P111" i="29"/>
  <c r="P109" i="29"/>
  <c r="P107" i="29"/>
  <c r="P103" i="29"/>
  <c r="P101" i="29"/>
  <c r="P97" i="29"/>
  <c r="P95" i="29"/>
  <c r="P93" i="29"/>
  <c r="P91" i="29"/>
  <c r="P87" i="29"/>
  <c r="P85" i="29"/>
  <c r="P81" i="29"/>
  <c r="P79" i="29"/>
  <c r="P73" i="29"/>
  <c r="P71" i="29"/>
  <c r="P69" i="29"/>
  <c r="P139" i="29"/>
  <c r="P124" i="29"/>
  <c r="P116" i="29"/>
  <c r="P112" i="29"/>
  <c r="P108" i="29"/>
  <c r="P102" i="29"/>
  <c r="P96" i="29"/>
  <c r="P92" i="29"/>
  <c r="P86" i="29"/>
  <c r="P80" i="29"/>
  <c r="P72" i="29"/>
  <c r="P68" i="29"/>
  <c r="P66" i="29"/>
  <c r="P62" i="29"/>
  <c r="P60" i="29"/>
  <c r="P58" i="29"/>
  <c r="P52" i="29"/>
  <c r="P50" i="29"/>
  <c r="P48" i="29"/>
  <c r="P46" i="29"/>
  <c r="P42" i="29"/>
  <c r="P38" i="29"/>
  <c r="P36" i="29"/>
  <c r="P34" i="29"/>
  <c r="P30" i="29"/>
  <c r="P26" i="29"/>
  <c r="P24" i="29"/>
  <c r="P22" i="29"/>
  <c r="P20" i="29"/>
  <c r="P18" i="29"/>
  <c r="P14" i="29"/>
  <c r="P12" i="29"/>
  <c r="P10" i="29"/>
  <c r="P8" i="29"/>
  <c r="P145" i="29"/>
  <c r="P130" i="29"/>
  <c r="P129" i="29" s="1"/>
  <c r="P120" i="29"/>
  <c r="P114" i="29"/>
  <c r="P110" i="29"/>
  <c r="P104" i="29"/>
  <c r="P94" i="29"/>
  <c r="P84" i="29"/>
  <c r="P70" i="29"/>
  <c r="P63" i="29"/>
  <c r="P59" i="29"/>
  <c r="P51" i="29"/>
  <c r="P47" i="29"/>
  <c r="P41" i="29"/>
  <c r="P35" i="29"/>
  <c r="P29" i="29"/>
  <c r="P23" i="29"/>
  <c r="P19" i="29"/>
  <c r="P13" i="29"/>
  <c r="P9" i="29"/>
  <c r="P98" i="29"/>
  <c r="P90" i="29"/>
  <c r="P78" i="29"/>
  <c r="P67" i="29"/>
  <c r="P61" i="29"/>
  <c r="P55" i="29"/>
  <c r="P54" i="29" s="1"/>
  <c r="P49" i="29"/>
  <c r="P45" i="29"/>
  <c r="P37" i="29"/>
  <c r="P33" i="29"/>
  <c r="P25" i="29"/>
  <c r="P21" i="29"/>
  <c r="P17" i="29"/>
  <c r="P11" i="29"/>
  <c r="P7" i="29"/>
  <c r="R156" i="29"/>
  <c r="R149" i="29"/>
  <c r="R148" i="29"/>
  <c r="R146" i="29"/>
  <c r="R144" i="29"/>
  <c r="R142" i="29"/>
  <c r="R138" i="29"/>
  <c r="R136" i="29"/>
  <c r="R135" i="29"/>
  <c r="R133" i="29"/>
  <c r="R127" i="29"/>
  <c r="R125" i="29"/>
  <c r="R155" i="29"/>
  <c r="R145" i="29"/>
  <c r="R139" i="29"/>
  <c r="R130" i="29"/>
  <c r="R129" i="29" s="1"/>
  <c r="R124" i="29"/>
  <c r="R123" i="29"/>
  <c r="R119" i="29"/>
  <c r="R115" i="29"/>
  <c r="R113" i="29"/>
  <c r="R111" i="29"/>
  <c r="R109" i="29"/>
  <c r="R107" i="29"/>
  <c r="R103" i="29"/>
  <c r="R101" i="29"/>
  <c r="R97" i="29"/>
  <c r="R95" i="29"/>
  <c r="R93" i="29"/>
  <c r="R91" i="29"/>
  <c r="R87" i="29"/>
  <c r="R85" i="29"/>
  <c r="R81" i="29"/>
  <c r="R79" i="29"/>
  <c r="R73" i="29"/>
  <c r="R71" i="29"/>
  <c r="R69" i="29"/>
  <c r="R143" i="29"/>
  <c r="R126" i="29"/>
  <c r="R120" i="29"/>
  <c r="R114" i="29"/>
  <c r="R110" i="29"/>
  <c r="R104" i="29"/>
  <c r="R98" i="29"/>
  <c r="R94" i="29"/>
  <c r="R90" i="29"/>
  <c r="R84" i="29"/>
  <c r="R78" i="29"/>
  <c r="R70" i="29"/>
  <c r="R68" i="29"/>
  <c r="R66" i="29"/>
  <c r="R62" i="29"/>
  <c r="R60" i="29"/>
  <c r="R58" i="29"/>
  <c r="R52" i="29"/>
  <c r="R50" i="29"/>
  <c r="R48" i="29"/>
  <c r="R46" i="29"/>
  <c r="R42" i="29"/>
  <c r="R38" i="29"/>
  <c r="R36" i="29"/>
  <c r="R34" i="29"/>
  <c r="R30" i="29"/>
  <c r="R26" i="29"/>
  <c r="R24" i="29"/>
  <c r="R22" i="29"/>
  <c r="R20" i="29"/>
  <c r="R18" i="29"/>
  <c r="R14" i="29"/>
  <c r="R12" i="29"/>
  <c r="R10" i="29"/>
  <c r="R8" i="29"/>
  <c r="R147" i="29"/>
  <c r="R137" i="29"/>
  <c r="R134" i="29"/>
  <c r="R116" i="29"/>
  <c r="R112" i="29"/>
  <c r="R108" i="29"/>
  <c r="R96" i="29"/>
  <c r="R86" i="29"/>
  <c r="R72" i="29"/>
  <c r="R67" i="29"/>
  <c r="R61" i="29"/>
  <c r="R55" i="29"/>
  <c r="R54" i="29" s="1"/>
  <c r="R49" i="29"/>
  <c r="R45" i="29"/>
  <c r="R37" i="29"/>
  <c r="R33" i="29"/>
  <c r="R25" i="29"/>
  <c r="R21" i="29"/>
  <c r="R17" i="29"/>
  <c r="R11" i="29"/>
  <c r="R7" i="29"/>
  <c r="R102" i="29"/>
  <c r="R92" i="29"/>
  <c r="R80" i="29"/>
  <c r="R63" i="29"/>
  <c r="R59" i="29"/>
  <c r="R51" i="29"/>
  <c r="R47" i="29"/>
  <c r="R41" i="29"/>
  <c r="R35" i="29"/>
  <c r="R29" i="29"/>
  <c r="R23" i="29"/>
  <c r="R19" i="29"/>
  <c r="R13" i="29"/>
  <c r="R9" i="29"/>
  <c r="T156" i="29"/>
  <c r="T149" i="29"/>
  <c r="T155" i="29"/>
  <c r="T148" i="29"/>
  <c r="T146" i="29"/>
  <c r="T144" i="29"/>
  <c r="T142" i="29"/>
  <c r="T138" i="29"/>
  <c r="T136" i="29"/>
  <c r="T135" i="29"/>
  <c r="T133" i="29"/>
  <c r="T127" i="29"/>
  <c r="T125" i="29"/>
  <c r="T147" i="29"/>
  <c r="T143" i="29"/>
  <c r="T137" i="29"/>
  <c r="T134" i="29"/>
  <c r="T126" i="29"/>
  <c r="T123" i="29"/>
  <c r="T119" i="29"/>
  <c r="T115" i="29"/>
  <c r="T113" i="29"/>
  <c r="T111" i="29"/>
  <c r="T109" i="29"/>
  <c r="T107" i="29"/>
  <c r="T103" i="29"/>
  <c r="T101" i="29"/>
  <c r="T97" i="29"/>
  <c r="T95" i="29"/>
  <c r="T93" i="29"/>
  <c r="T91" i="29"/>
  <c r="T87" i="29"/>
  <c r="T85" i="29"/>
  <c r="T81" i="29"/>
  <c r="T79" i="29"/>
  <c r="T73" i="29"/>
  <c r="T71" i="29"/>
  <c r="T69" i="29"/>
  <c r="T145" i="29"/>
  <c r="T130" i="29"/>
  <c r="T129" i="29" s="1"/>
  <c r="T116" i="29"/>
  <c r="T112" i="29"/>
  <c r="T108" i="29"/>
  <c r="T102" i="29"/>
  <c r="T96" i="29"/>
  <c r="T92" i="29"/>
  <c r="T86" i="29"/>
  <c r="T80" i="29"/>
  <c r="T72" i="29"/>
  <c r="T68" i="29"/>
  <c r="T66" i="29"/>
  <c r="T62" i="29"/>
  <c r="T60" i="29"/>
  <c r="T58" i="29"/>
  <c r="T52" i="29"/>
  <c r="T50" i="29"/>
  <c r="T48" i="29"/>
  <c r="T46" i="29"/>
  <c r="T42" i="29"/>
  <c r="T38" i="29"/>
  <c r="T36" i="29"/>
  <c r="T34" i="29"/>
  <c r="T30" i="29"/>
  <c r="T26" i="29"/>
  <c r="T24" i="29"/>
  <c r="T22" i="29"/>
  <c r="T20" i="29"/>
  <c r="T18" i="29"/>
  <c r="T14" i="29"/>
  <c r="T12" i="29"/>
  <c r="T10" i="29"/>
  <c r="T8" i="29"/>
  <c r="T139" i="29"/>
  <c r="T124" i="29"/>
  <c r="T120" i="29"/>
  <c r="T114" i="29"/>
  <c r="T110" i="29"/>
  <c r="T104" i="29"/>
  <c r="T98" i="29"/>
  <c r="T90" i="29"/>
  <c r="T78" i="29"/>
  <c r="T63" i="29"/>
  <c r="T59" i="29"/>
  <c r="T51" i="29"/>
  <c r="T47" i="29"/>
  <c r="T41" i="29"/>
  <c r="T35" i="29"/>
  <c r="T29" i="29"/>
  <c r="T23" i="29"/>
  <c r="T19" i="29"/>
  <c r="T13" i="29"/>
  <c r="T9" i="29"/>
  <c r="T94" i="29"/>
  <c r="T84" i="29"/>
  <c r="T70" i="29"/>
  <c r="T67" i="29"/>
  <c r="T61" i="29"/>
  <c r="T55" i="29"/>
  <c r="T54" i="29" s="1"/>
  <c r="T49" i="29"/>
  <c r="T45" i="29"/>
  <c r="T37" i="29"/>
  <c r="T33" i="29"/>
  <c r="T25" i="29"/>
  <c r="T21" i="29"/>
  <c r="T17" i="29"/>
  <c r="T11" i="29"/>
  <c r="T7" i="29"/>
  <c r="V156" i="29"/>
  <c r="V149" i="29"/>
  <c r="V148" i="29"/>
  <c r="V146" i="29"/>
  <c r="V144" i="29"/>
  <c r="V142" i="29"/>
  <c r="V138" i="29"/>
  <c r="V136" i="29"/>
  <c r="V135" i="29"/>
  <c r="V133" i="29"/>
  <c r="V127" i="29"/>
  <c r="V125" i="29"/>
  <c r="V145" i="29"/>
  <c r="V139" i="29"/>
  <c r="V130" i="29"/>
  <c r="V129" i="29" s="1"/>
  <c r="V124" i="29"/>
  <c r="V123" i="29"/>
  <c r="V119" i="29"/>
  <c r="V115" i="29"/>
  <c r="V113" i="29"/>
  <c r="V111" i="29"/>
  <c r="V109" i="29"/>
  <c r="V107" i="29"/>
  <c r="V103" i="29"/>
  <c r="V101" i="29"/>
  <c r="V97" i="29"/>
  <c r="V95" i="29"/>
  <c r="V93" i="29"/>
  <c r="V91" i="29"/>
  <c r="V87" i="29"/>
  <c r="V85" i="29"/>
  <c r="V81" i="29"/>
  <c r="V79" i="29"/>
  <c r="V73" i="29"/>
  <c r="V71" i="29"/>
  <c r="V69" i="29"/>
  <c r="V155" i="29"/>
  <c r="V147" i="29"/>
  <c r="V137" i="29"/>
  <c r="V134" i="29"/>
  <c r="V120" i="29"/>
  <c r="V114" i="29"/>
  <c r="V110" i="29"/>
  <c r="V104" i="29"/>
  <c r="V98" i="29"/>
  <c r="V94" i="29"/>
  <c r="V90" i="29"/>
  <c r="V84" i="29"/>
  <c r="V78" i="29"/>
  <c r="V70" i="29"/>
  <c r="V68" i="29"/>
  <c r="V66" i="29"/>
  <c r="V62" i="29"/>
  <c r="V60" i="29"/>
  <c r="V58" i="29"/>
  <c r="V52" i="29"/>
  <c r="V50" i="29"/>
  <c r="V48" i="29"/>
  <c r="V46" i="29"/>
  <c r="V42" i="29"/>
  <c r="V38" i="29"/>
  <c r="V36" i="29"/>
  <c r="V34" i="29"/>
  <c r="V30" i="29"/>
  <c r="V26" i="29"/>
  <c r="V24" i="29"/>
  <c r="V22" i="29"/>
  <c r="V20" i="29"/>
  <c r="V18" i="29"/>
  <c r="V14" i="29"/>
  <c r="V12" i="29"/>
  <c r="V10" i="29"/>
  <c r="V8" i="29"/>
  <c r="V143" i="29"/>
  <c r="V126" i="29"/>
  <c r="V116" i="29"/>
  <c r="V112" i="29"/>
  <c r="V108" i="29"/>
  <c r="V102" i="29"/>
  <c r="V92" i="29"/>
  <c r="V80" i="29"/>
  <c r="V67" i="29"/>
  <c r="V61" i="29"/>
  <c r="V55" i="29"/>
  <c r="V54" i="29" s="1"/>
  <c r="V49" i="29"/>
  <c r="V45" i="29"/>
  <c r="V37" i="29"/>
  <c r="V33" i="29"/>
  <c r="V25" i="29"/>
  <c r="V21" i="29"/>
  <c r="V17" i="29"/>
  <c r="V11" i="29"/>
  <c r="V7" i="29"/>
  <c r="V96" i="29"/>
  <c r="V86" i="29"/>
  <c r="V72" i="29"/>
  <c r="V63" i="29"/>
  <c r="V59" i="29"/>
  <c r="V51" i="29"/>
  <c r="V47" i="29"/>
  <c r="V41" i="29"/>
  <c r="V35" i="29"/>
  <c r="V29" i="29"/>
  <c r="V23" i="29"/>
  <c r="V19" i="29"/>
  <c r="V13" i="29"/>
  <c r="V9" i="29"/>
  <c r="X156" i="29"/>
  <c r="X149" i="29"/>
  <c r="X155" i="29"/>
  <c r="X148" i="29"/>
  <c r="X146" i="29"/>
  <c r="X144" i="29"/>
  <c r="X142" i="29"/>
  <c r="X138" i="29"/>
  <c r="X136" i="29"/>
  <c r="X135" i="29"/>
  <c r="X133" i="29"/>
  <c r="X127" i="29"/>
  <c r="X125" i="29"/>
  <c r="X147" i="29"/>
  <c r="X143" i="29"/>
  <c r="X137" i="29"/>
  <c r="X134" i="29"/>
  <c r="X126" i="29"/>
  <c r="X123" i="29"/>
  <c r="X119" i="29"/>
  <c r="X115" i="29"/>
  <c r="X113" i="29"/>
  <c r="X111" i="29"/>
  <c r="X109" i="29"/>
  <c r="X107" i="29"/>
  <c r="X103" i="29"/>
  <c r="X101" i="29"/>
  <c r="X97" i="29"/>
  <c r="X95" i="29"/>
  <c r="X93" i="29"/>
  <c r="X91" i="29"/>
  <c r="X87" i="29"/>
  <c r="X85" i="29"/>
  <c r="X81" i="29"/>
  <c r="X79" i="29"/>
  <c r="X73" i="29"/>
  <c r="X71" i="29"/>
  <c r="X69" i="29"/>
  <c r="X139" i="29"/>
  <c r="X124" i="29"/>
  <c r="X116" i="29"/>
  <c r="X112" i="29"/>
  <c r="X108" i="29"/>
  <c r="X102" i="29"/>
  <c r="X96" i="29"/>
  <c r="X92" i="29"/>
  <c r="X86" i="29"/>
  <c r="X80" i="29"/>
  <c r="X72" i="29"/>
  <c r="X68" i="29"/>
  <c r="X66" i="29"/>
  <c r="X62" i="29"/>
  <c r="X60" i="29"/>
  <c r="X58" i="29"/>
  <c r="X52" i="29"/>
  <c r="X50" i="29"/>
  <c r="X48" i="29"/>
  <c r="X46" i="29"/>
  <c r="X42" i="29"/>
  <c r="X38" i="29"/>
  <c r="X36" i="29"/>
  <c r="X34" i="29"/>
  <c r="X30" i="29"/>
  <c r="X26" i="29"/>
  <c r="X24" i="29"/>
  <c r="X22" i="29"/>
  <c r="X20" i="29"/>
  <c r="X18" i="29"/>
  <c r="X14" i="29"/>
  <c r="X12" i="29"/>
  <c r="X10" i="29"/>
  <c r="X8" i="29"/>
  <c r="X145" i="29"/>
  <c r="X130" i="29"/>
  <c r="X129" i="29" s="1"/>
  <c r="X120" i="29"/>
  <c r="X114" i="29"/>
  <c r="X110" i="29"/>
  <c r="X104" i="29"/>
  <c r="X94" i="29"/>
  <c r="X84" i="29"/>
  <c r="X70" i="29"/>
  <c r="X63" i="29"/>
  <c r="X59" i="29"/>
  <c r="X51" i="29"/>
  <c r="X47" i="29"/>
  <c r="X41" i="29"/>
  <c r="X35" i="29"/>
  <c r="X29" i="29"/>
  <c r="X23" i="29"/>
  <c r="X19" i="29"/>
  <c r="X13" i="29"/>
  <c r="X9" i="29"/>
  <c r="X98" i="29"/>
  <c r="X90" i="29"/>
  <c r="X78" i="29"/>
  <c r="X67" i="29"/>
  <c r="X61" i="29"/>
  <c r="X55" i="29"/>
  <c r="X49" i="29"/>
  <c r="X45" i="29"/>
  <c r="X37" i="29"/>
  <c r="X33" i="29"/>
  <c r="X25" i="29"/>
  <c r="X21" i="29"/>
  <c r="X17" i="29"/>
  <c r="X11" i="29"/>
  <c r="X7" i="29"/>
  <c r="Z156" i="29"/>
  <c r="Z149" i="29"/>
  <c r="Z148" i="29"/>
  <c r="Z146" i="29"/>
  <c r="Z144" i="29"/>
  <c r="Z142" i="29"/>
  <c r="Z138" i="29"/>
  <c r="Z136" i="29"/>
  <c r="Z135" i="29"/>
  <c r="Z133" i="29"/>
  <c r="Z127" i="29"/>
  <c r="Z125" i="29"/>
  <c r="Z155" i="29"/>
  <c r="Z145" i="29"/>
  <c r="Z139" i="29"/>
  <c r="Z130" i="29"/>
  <c r="Z129" i="29" s="1"/>
  <c r="Z124" i="29"/>
  <c r="Z123" i="29"/>
  <c r="Z119" i="29"/>
  <c r="Z115" i="29"/>
  <c r="Z113" i="29"/>
  <c r="Z111" i="29"/>
  <c r="Z109" i="29"/>
  <c r="Z107" i="29"/>
  <c r="Z103" i="29"/>
  <c r="Z101" i="29"/>
  <c r="Z97" i="29"/>
  <c r="Z95" i="29"/>
  <c r="Z93" i="29"/>
  <c r="Z91" i="29"/>
  <c r="Z87" i="29"/>
  <c r="Z85" i="29"/>
  <c r="Z81" i="29"/>
  <c r="Z79" i="29"/>
  <c r="Z73" i="29"/>
  <c r="Z71" i="29"/>
  <c r="Z69" i="29"/>
  <c r="Z143" i="29"/>
  <c r="Z126" i="29"/>
  <c r="Z120" i="29"/>
  <c r="Z114" i="29"/>
  <c r="Z110" i="29"/>
  <c r="Z104" i="29"/>
  <c r="Z98" i="29"/>
  <c r="Z94" i="29"/>
  <c r="Z90" i="29"/>
  <c r="Z84" i="29"/>
  <c r="Z78" i="29"/>
  <c r="Z70" i="29"/>
  <c r="Z68" i="29"/>
  <c r="Z66" i="29"/>
  <c r="Z62" i="29"/>
  <c r="Z60" i="29"/>
  <c r="Z58" i="29"/>
  <c r="Z52" i="29"/>
  <c r="Z50" i="29"/>
  <c r="Z48" i="29"/>
  <c r="Z46" i="29"/>
  <c r="Z42" i="29"/>
  <c r="Z38" i="29"/>
  <c r="Z36" i="29"/>
  <c r="Z34" i="29"/>
  <c r="Z30" i="29"/>
  <c r="Z26" i="29"/>
  <c r="Z24" i="29"/>
  <c r="Z22" i="29"/>
  <c r="Z20" i="29"/>
  <c r="Z18" i="29"/>
  <c r="Z14" i="29"/>
  <c r="Z12" i="29"/>
  <c r="Z10" i="29"/>
  <c r="Z8" i="29"/>
  <c r="Z147" i="29"/>
  <c r="Z137" i="29"/>
  <c r="Z134" i="29"/>
  <c r="Z116" i="29"/>
  <c r="Z112" i="29"/>
  <c r="Z108" i="29"/>
  <c r="Z96" i="29"/>
  <c r="Z86" i="29"/>
  <c r="Z72" i="29"/>
  <c r="Z67" i="29"/>
  <c r="Z61" i="29"/>
  <c r="Z55" i="29"/>
  <c r="Z54" i="29" s="1"/>
  <c r="Z49" i="29"/>
  <c r="Z45" i="29"/>
  <c r="Z37" i="29"/>
  <c r="Z33" i="29"/>
  <c r="Z25" i="29"/>
  <c r="Z21" i="29"/>
  <c r="Z17" i="29"/>
  <c r="Z11" i="29"/>
  <c r="Z7" i="29"/>
  <c r="Z102" i="29"/>
  <c r="Z92" i="29"/>
  <c r="Z80" i="29"/>
  <c r="Z63" i="29"/>
  <c r="Z59" i="29"/>
  <c r="Z51" i="29"/>
  <c r="Z47" i="29"/>
  <c r="Z41" i="29"/>
  <c r="Z35" i="29"/>
  <c r="Z29" i="29"/>
  <c r="Z23" i="29"/>
  <c r="Z19" i="29"/>
  <c r="Z13" i="29"/>
  <c r="Z9" i="29"/>
  <c r="AB156" i="29"/>
  <c r="AB149" i="29"/>
  <c r="AB155" i="29"/>
  <c r="AB148" i="29"/>
  <c r="AB146" i="29"/>
  <c r="AB144" i="29"/>
  <c r="AB142" i="29"/>
  <c r="AB138" i="29"/>
  <c r="AB136" i="29"/>
  <c r="AB135" i="29"/>
  <c r="AB133" i="29"/>
  <c r="AB127" i="29"/>
  <c r="AB125" i="29"/>
  <c r="AB147" i="29"/>
  <c r="AB143" i="29"/>
  <c r="AB137" i="29"/>
  <c r="AB134" i="29"/>
  <c r="AB126" i="29"/>
  <c r="AB123" i="29"/>
  <c r="AB119" i="29"/>
  <c r="AB115" i="29"/>
  <c r="AB113" i="29"/>
  <c r="AB111" i="29"/>
  <c r="AB109" i="29"/>
  <c r="AB107" i="29"/>
  <c r="AB103" i="29"/>
  <c r="AB101" i="29"/>
  <c r="AB97" i="29"/>
  <c r="AB95" i="29"/>
  <c r="AB93" i="29"/>
  <c r="AB91" i="29"/>
  <c r="AB87" i="29"/>
  <c r="AB85" i="29"/>
  <c r="AB81" i="29"/>
  <c r="AB79" i="29"/>
  <c r="AB73" i="29"/>
  <c r="AB71" i="29"/>
  <c r="AB69" i="29"/>
  <c r="AB145" i="29"/>
  <c r="AB130" i="29"/>
  <c r="AB129" i="29" s="1"/>
  <c r="AB116" i="29"/>
  <c r="AB112" i="29"/>
  <c r="AB108" i="29"/>
  <c r="AB102" i="29"/>
  <c r="AB96" i="29"/>
  <c r="AB92" i="29"/>
  <c r="AB86" i="29"/>
  <c r="AB80" i="29"/>
  <c r="AB72" i="29"/>
  <c r="AB68" i="29"/>
  <c r="AB66" i="29"/>
  <c r="AB62" i="29"/>
  <c r="AB60" i="29"/>
  <c r="AB58" i="29"/>
  <c r="AB52" i="29"/>
  <c r="AB50" i="29"/>
  <c r="AB48" i="29"/>
  <c r="AB46" i="29"/>
  <c r="AB42" i="29"/>
  <c r="AB38" i="29"/>
  <c r="AB36" i="29"/>
  <c r="AB34" i="29"/>
  <c r="AB30" i="29"/>
  <c r="AB26" i="29"/>
  <c r="AB24" i="29"/>
  <c r="AB22" i="29"/>
  <c r="AB20" i="29"/>
  <c r="AB18" i="29"/>
  <c r="AB14" i="29"/>
  <c r="AB12" i="29"/>
  <c r="AB10" i="29"/>
  <c r="AB8" i="29"/>
  <c r="AB139" i="29"/>
  <c r="AB124" i="29"/>
  <c r="AB120" i="29"/>
  <c r="AB114" i="29"/>
  <c r="AB110" i="29"/>
  <c r="AB104" i="29"/>
  <c r="AB98" i="29"/>
  <c r="AB90" i="29"/>
  <c r="AB78" i="29"/>
  <c r="AB63" i="29"/>
  <c r="AB59" i="29"/>
  <c r="AB51" i="29"/>
  <c r="AB47" i="29"/>
  <c r="AB41" i="29"/>
  <c r="AB35" i="29"/>
  <c r="AB29" i="29"/>
  <c r="AB23" i="29"/>
  <c r="AB19" i="29"/>
  <c r="AB13" i="29"/>
  <c r="AB9" i="29"/>
  <c r="AB94" i="29"/>
  <c r="AB84" i="29"/>
  <c r="AB70" i="29"/>
  <c r="AB67" i="29"/>
  <c r="AB61" i="29"/>
  <c r="AB55" i="29"/>
  <c r="AB54" i="29" s="1"/>
  <c r="AB49" i="29"/>
  <c r="AB45" i="29"/>
  <c r="AB37" i="29"/>
  <c r="AB33" i="29"/>
  <c r="AB25" i="29"/>
  <c r="AB21" i="29"/>
  <c r="AB17" i="29"/>
  <c r="AB11" i="29"/>
  <c r="AB7" i="29"/>
  <c r="AD156" i="29"/>
  <c r="AD149" i="29"/>
  <c r="AD148" i="29"/>
  <c r="AD146" i="29"/>
  <c r="AD144" i="29"/>
  <c r="AD142" i="29"/>
  <c r="AD138" i="29"/>
  <c r="AD136" i="29"/>
  <c r="AD135" i="29"/>
  <c r="AD133" i="29"/>
  <c r="AD127" i="29"/>
  <c r="AD125" i="29"/>
  <c r="AD145" i="29"/>
  <c r="AD139" i="29"/>
  <c r="AD130" i="29"/>
  <c r="AD129" i="29" s="1"/>
  <c r="AD124" i="29"/>
  <c r="AD123" i="29"/>
  <c r="AD119" i="29"/>
  <c r="AD115" i="29"/>
  <c r="AD113" i="29"/>
  <c r="AD111" i="29"/>
  <c r="AD109" i="29"/>
  <c r="AD107" i="29"/>
  <c r="AD103" i="29"/>
  <c r="AD101" i="29"/>
  <c r="AD97" i="29"/>
  <c r="AD95" i="29"/>
  <c r="AD93" i="29"/>
  <c r="AD91" i="29"/>
  <c r="AD87" i="29"/>
  <c r="AD85" i="29"/>
  <c r="AD81" i="29"/>
  <c r="AD79" i="29"/>
  <c r="AD73" i="29"/>
  <c r="AD71" i="29"/>
  <c r="AD69" i="29"/>
  <c r="AD147" i="29"/>
  <c r="AD137" i="29"/>
  <c r="AD134" i="29"/>
  <c r="AD120" i="29"/>
  <c r="AD114" i="29"/>
  <c r="AD110" i="29"/>
  <c r="AD104" i="29"/>
  <c r="AD98" i="29"/>
  <c r="AD94" i="29"/>
  <c r="AD90" i="29"/>
  <c r="AD84" i="29"/>
  <c r="AD78" i="29"/>
  <c r="AD70" i="29"/>
  <c r="AD68" i="29"/>
  <c r="AD66" i="29"/>
  <c r="AD62" i="29"/>
  <c r="AD60" i="29"/>
  <c r="AD58" i="29"/>
  <c r="AD52" i="29"/>
  <c r="AD50" i="29"/>
  <c r="AD48" i="29"/>
  <c r="AD46" i="29"/>
  <c r="AD42" i="29"/>
  <c r="AD38" i="29"/>
  <c r="AD36" i="29"/>
  <c r="AD34" i="29"/>
  <c r="AD30" i="29"/>
  <c r="AD26" i="29"/>
  <c r="AD24" i="29"/>
  <c r="AD22" i="29"/>
  <c r="AD20" i="29"/>
  <c r="AD18" i="29"/>
  <c r="AD14" i="29"/>
  <c r="AD12" i="29"/>
  <c r="AD10" i="29"/>
  <c r="AD8" i="29"/>
  <c r="AD155" i="29"/>
  <c r="AD143" i="29"/>
  <c r="AD126" i="29"/>
  <c r="AD116" i="29"/>
  <c r="AD112" i="29"/>
  <c r="AD108" i="29"/>
  <c r="AD102" i="29"/>
  <c r="AD92" i="29"/>
  <c r="AD80" i="29"/>
  <c r="AD67" i="29"/>
  <c r="AD61" i="29"/>
  <c r="AD55" i="29"/>
  <c r="AD54" i="29" s="1"/>
  <c r="AD49" i="29"/>
  <c r="AD45" i="29"/>
  <c r="AD37" i="29"/>
  <c r="AD33" i="29"/>
  <c r="AD25" i="29"/>
  <c r="AD21" i="29"/>
  <c r="AD17" i="29"/>
  <c r="AD11" i="29"/>
  <c r="AD7" i="29"/>
  <c r="AD96" i="29"/>
  <c r="AD86" i="29"/>
  <c r="AD72" i="29"/>
  <c r="AD63" i="29"/>
  <c r="AD59" i="29"/>
  <c r="AD51" i="29"/>
  <c r="AD47" i="29"/>
  <c r="AD41" i="29"/>
  <c r="AD35" i="29"/>
  <c r="AD29" i="29"/>
  <c r="AD23" i="29"/>
  <c r="AD19" i="29"/>
  <c r="AD13" i="29"/>
  <c r="AD9" i="29"/>
  <c r="AF156" i="29"/>
  <c r="AF149" i="29"/>
  <c r="AF155" i="29"/>
  <c r="AF148" i="29"/>
  <c r="AF146" i="29"/>
  <c r="AF144" i="29"/>
  <c r="AF142" i="29"/>
  <c r="AF138" i="29"/>
  <c r="AF136" i="29"/>
  <c r="AF135" i="29"/>
  <c r="AF133" i="29"/>
  <c r="AF127" i="29"/>
  <c r="AF125" i="29"/>
  <c r="AF147" i="29"/>
  <c r="AF143" i="29"/>
  <c r="AF137" i="29"/>
  <c r="AF134" i="29"/>
  <c r="AF126" i="29"/>
  <c r="AF123" i="29"/>
  <c r="AF119" i="29"/>
  <c r="AF115" i="29"/>
  <c r="AF113" i="29"/>
  <c r="AF111" i="29"/>
  <c r="AF109" i="29"/>
  <c r="AF107" i="29"/>
  <c r="AF103" i="29"/>
  <c r="AF101" i="29"/>
  <c r="AF97" i="29"/>
  <c r="AF95" i="29"/>
  <c r="AF93" i="29"/>
  <c r="AF91" i="29"/>
  <c r="AF87" i="29"/>
  <c r="AF85" i="29"/>
  <c r="AF81" i="29"/>
  <c r="AF79" i="29"/>
  <c r="AF73" i="29"/>
  <c r="AF71" i="29"/>
  <c r="AF69" i="29"/>
  <c r="AF139" i="29"/>
  <c r="AF124" i="29"/>
  <c r="AF116" i="29"/>
  <c r="AF112" i="29"/>
  <c r="AF108" i="29"/>
  <c r="AF102" i="29"/>
  <c r="AF96" i="29"/>
  <c r="AF92" i="29"/>
  <c r="AF86" i="29"/>
  <c r="AF80" i="29"/>
  <c r="AF72" i="29"/>
  <c r="AF68" i="29"/>
  <c r="AF66" i="29"/>
  <c r="AF62" i="29"/>
  <c r="AF60" i="29"/>
  <c r="AF58" i="29"/>
  <c r="AF52" i="29"/>
  <c r="AF50" i="29"/>
  <c r="AF48" i="29"/>
  <c r="AF46" i="29"/>
  <c r="AF42" i="29"/>
  <c r="AF38" i="29"/>
  <c r="AF36" i="29"/>
  <c r="AF34" i="29"/>
  <c r="AF30" i="29"/>
  <c r="AF26" i="29"/>
  <c r="AF24" i="29"/>
  <c r="AF22" i="29"/>
  <c r="AF20" i="29"/>
  <c r="AF18" i="29"/>
  <c r="AF14" i="29"/>
  <c r="AF12" i="29"/>
  <c r="AF10" i="29"/>
  <c r="AF8" i="29"/>
  <c r="AF145" i="29"/>
  <c r="AF130" i="29"/>
  <c r="AF129" i="29" s="1"/>
  <c r="AF120" i="29"/>
  <c r="AF114" i="29"/>
  <c r="AF110" i="29"/>
  <c r="AF104" i="29"/>
  <c r="AF94" i="29"/>
  <c r="AF84" i="29"/>
  <c r="AF70" i="29"/>
  <c r="AF63" i="29"/>
  <c r="AF59" i="29"/>
  <c r="AF51" i="29"/>
  <c r="AF47" i="29"/>
  <c r="AF41" i="29"/>
  <c r="AF35" i="29"/>
  <c r="AF29" i="29"/>
  <c r="AF23" i="29"/>
  <c r="AF19" i="29"/>
  <c r="AF13" i="29"/>
  <c r="AF9" i="29"/>
  <c r="AF98" i="29"/>
  <c r="AF90" i="29"/>
  <c r="AF78" i="29"/>
  <c r="AF67" i="29"/>
  <c r="AF61" i="29"/>
  <c r="AF55" i="29"/>
  <c r="AF54" i="29" s="1"/>
  <c r="AF49" i="29"/>
  <c r="AF45" i="29"/>
  <c r="AF37" i="29"/>
  <c r="AF33" i="29"/>
  <c r="AF25" i="29"/>
  <c r="AF21" i="29"/>
  <c r="AF17" i="29"/>
  <c r="AF11" i="29"/>
  <c r="AF7" i="29"/>
  <c r="AH156" i="29"/>
  <c r="AH149" i="29"/>
  <c r="AH148" i="29"/>
  <c r="AH146" i="29"/>
  <c r="AH144" i="29"/>
  <c r="AH142" i="29"/>
  <c r="AH138" i="29"/>
  <c r="AH136" i="29"/>
  <c r="AH135" i="29"/>
  <c r="AH133" i="29"/>
  <c r="AH127" i="29"/>
  <c r="AH125" i="29"/>
  <c r="AH155" i="29"/>
  <c r="AH145" i="29"/>
  <c r="AH139" i="29"/>
  <c r="AH130" i="29"/>
  <c r="AH129" i="29" s="1"/>
  <c r="AH124" i="29"/>
  <c r="AH123" i="29"/>
  <c r="AH119" i="29"/>
  <c r="AH115" i="29"/>
  <c r="AH113" i="29"/>
  <c r="AH111" i="29"/>
  <c r="AH109" i="29"/>
  <c r="AH107" i="29"/>
  <c r="AH103" i="29"/>
  <c r="AH101" i="29"/>
  <c r="AH97" i="29"/>
  <c r="AH95" i="29"/>
  <c r="AH93" i="29"/>
  <c r="AH91" i="29"/>
  <c r="AH87" i="29"/>
  <c r="AH85" i="29"/>
  <c r="AH81" i="29"/>
  <c r="AH79" i="29"/>
  <c r="AH73" i="29"/>
  <c r="AH71" i="29"/>
  <c r="AH69" i="29"/>
  <c r="AH143" i="29"/>
  <c r="AH126" i="29"/>
  <c r="AH120" i="29"/>
  <c r="AH114" i="29"/>
  <c r="AH110" i="29"/>
  <c r="AH104" i="29"/>
  <c r="AH98" i="29"/>
  <c r="AH94" i="29"/>
  <c r="AH90" i="29"/>
  <c r="AH84" i="29"/>
  <c r="AH78" i="29"/>
  <c r="AH70" i="29"/>
  <c r="AH68" i="29"/>
  <c r="AH66" i="29"/>
  <c r="AH62" i="29"/>
  <c r="AH60" i="29"/>
  <c r="AH58" i="29"/>
  <c r="AH52" i="29"/>
  <c r="AH50" i="29"/>
  <c r="AH48" i="29"/>
  <c r="AH46" i="29"/>
  <c r="AH42" i="29"/>
  <c r="AH38" i="29"/>
  <c r="AH36" i="29"/>
  <c r="AH34" i="29"/>
  <c r="AH30" i="29"/>
  <c r="AH26" i="29"/>
  <c r="AH24" i="29"/>
  <c r="AH22" i="29"/>
  <c r="AH20" i="29"/>
  <c r="AH18" i="29"/>
  <c r="AH14" i="29"/>
  <c r="AH12" i="29"/>
  <c r="AH10" i="29"/>
  <c r="AH8" i="29"/>
  <c r="AH147" i="29"/>
  <c r="AH137" i="29"/>
  <c r="AH134" i="29"/>
  <c r="AH116" i="29"/>
  <c r="AH112" i="29"/>
  <c r="AH108" i="29"/>
  <c r="AH96" i="29"/>
  <c r="AH86" i="29"/>
  <c r="AH72" i="29"/>
  <c r="AH67" i="29"/>
  <c r="AH61" i="29"/>
  <c r="AH55" i="29"/>
  <c r="AH54" i="29" s="1"/>
  <c r="AH49" i="29"/>
  <c r="AH45" i="29"/>
  <c r="AH37" i="29"/>
  <c r="AH33" i="29"/>
  <c r="AH25" i="29"/>
  <c r="AH21" i="29"/>
  <c r="AH17" i="29"/>
  <c r="AH11" i="29"/>
  <c r="AH7" i="29"/>
  <c r="AH102" i="29"/>
  <c r="AH92" i="29"/>
  <c r="AH80" i="29"/>
  <c r="AH63" i="29"/>
  <c r="AH59" i="29"/>
  <c r="AH51" i="29"/>
  <c r="AH47" i="29"/>
  <c r="AH41" i="29"/>
  <c r="AH35" i="29"/>
  <c r="AH29" i="29"/>
  <c r="AH23" i="29"/>
  <c r="AH19" i="29"/>
  <c r="AH13" i="29"/>
  <c r="AH9" i="29"/>
  <c r="AJ156" i="29"/>
  <c r="AJ149" i="29"/>
  <c r="AJ155" i="29"/>
  <c r="AJ148" i="29"/>
  <c r="AJ146" i="29"/>
  <c r="AJ144" i="29"/>
  <c r="AJ142" i="29"/>
  <c r="AJ138" i="29"/>
  <c r="AJ136" i="29"/>
  <c r="AJ135" i="29"/>
  <c r="AJ133" i="29"/>
  <c r="AJ127" i="29"/>
  <c r="AJ125" i="29"/>
  <c r="AJ147" i="29"/>
  <c r="AJ143" i="29"/>
  <c r="AJ137" i="29"/>
  <c r="AJ134" i="29"/>
  <c r="AJ126" i="29"/>
  <c r="AJ123" i="29"/>
  <c r="AJ119" i="29"/>
  <c r="AJ115" i="29"/>
  <c r="AJ113" i="29"/>
  <c r="AJ111" i="29"/>
  <c r="AJ109" i="29"/>
  <c r="AJ107" i="29"/>
  <c r="AJ103" i="29"/>
  <c r="AJ101" i="29"/>
  <c r="AJ97" i="29"/>
  <c r="AJ95" i="29"/>
  <c r="AJ93" i="29"/>
  <c r="AJ91" i="29"/>
  <c r="AJ87" i="29"/>
  <c r="AJ85" i="29"/>
  <c r="AJ81" i="29"/>
  <c r="AJ79" i="29"/>
  <c r="AJ73" i="29"/>
  <c r="AJ71" i="29"/>
  <c r="AJ69" i="29"/>
  <c r="AJ145" i="29"/>
  <c r="AJ130" i="29"/>
  <c r="AJ129" i="29" s="1"/>
  <c r="AJ116" i="29"/>
  <c r="AJ112" i="29"/>
  <c r="AJ108" i="29"/>
  <c r="AJ102" i="29"/>
  <c r="AJ96" i="29"/>
  <c r="AJ92" i="29"/>
  <c r="AJ86" i="29"/>
  <c r="AJ80" i="29"/>
  <c r="AJ72" i="29"/>
  <c r="AJ68" i="29"/>
  <c r="AJ66" i="29"/>
  <c r="AJ62" i="29"/>
  <c r="AJ60" i="29"/>
  <c r="AJ58" i="29"/>
  <c r="AJ52" i="29"/>
  <c r="AJ50" i="29"/>
  <c r="AJ48" i="29"/>
  <c r="AJ46" i="29"/>
  <c r="AJ42" i="29"/>
  <c r="AJ38" i="29"/>
  <c r="AJ36" i="29"/>
  <c r="AJ34" i="29"/>
  <c r="AJ30" i="29"/>
  <c r="AJ26" i="29"/>
  <c r="AJ24" i="29"/>
  <c r="AJ22" i="29"/>
  <c r="AJ20" i="29"/>
  <c r="AJ18" i="29"/>
  <c r="AJ14" i="29"/>
  <c r="AJ12" i="29"/>
  <c r="AJ10" i="29"/>
  <c r="AJ8" i="29"/>
  <c r="AJ139" i="29"/>
  <c r="AJ124" i="29"/>
  <c r="AJ120" i="29"/>
  <c r="AJ114" i="29"/>
  <c r="AJ110" i="29"/>
  <c r="AJ104" i="29"/>
  <c r="AJ98" i="29"/>
  <c r="AJ90" i="29"/>
  <c r="AJ78" i="29"/>
  <c r="AJ63" i="29"/>
  <c r="AJ59" i="29"/>
  <c r="AJ51" i="29"/>
  <c r="AJ47" i="29"/>
  <c r="AJ41" i="29"/>
  <c r="AJ35" i="29"/>
  <c r="AJ29" i="29"/>
  <c r="AJ23" i="29"/>
  <c r="AJ19" i="29"/>
  <c r="AJ13" i="29"/>
  <c r="AJ9" i="29"/>
  <c r="AJ94" i="29"/>
  <c r="AJ84" i="29"/>
  <c r="AJ70" i="29"/>
  <c r="AJ67" i="29"/>
  <c r="AJ61" i="29"/>
  <c r="AJ55" i="29"/>
  <c r="AJ54" i="29" s="1"/>
  <c r="AJ49" i="29"/>
  <c r="AJ45" i="29"/>
  <c r="AJ37" i="29"/>
  <c r="AJ33" i="29"/>
  <c r="AJ25" i="29"/>
  <c r="AJ21" i="29"/>
  <c r="AJ17" i="29"/>
  <c r="AJ11" i="29"/>
  <c r="AJ7" i="29"/>
  <c r="AL156" i="29"/>
  <c r="AL149" i="29"/>
  <c r="AL148" i="29"/>
  <c r="AL146" i="29"/>
  <c r="AL144" i="29"/>
  <c r="AL142" i="29"/>
  <c r="AL138" i="29"/>
  <c r="AL136" i="29"/>
  <c r="AL135" i="29"/>
  <c r="AL133" i="29"/>
  <c r="AL127" i="29"/>
  <c r="AL125" i="29"/>
  <c r="AL145" i="29"/>
  <c r="AL139" i="29"/>
  <c r="AL130" i="29"/>
  <c r="AL129" i="29" s="1"/>
  <c r="AL124" i="29"/>
  <c r="AL123" i="29"/>
  <c r="AL119" i="29"/>
  <c r="AL115" i="29"/>
  <c r="AL113" i="29"/>
  <c r="AL111" i="29"/>
  <c r="AL109" i="29"/>
  <c r="AL107" i="29"/>
  <c r="AL103" i="29"/>
  <c r="AL101" i="29"/>
  <c r="AL97" i="29"/>
  <c r="AL95" i="29"/>
  <c r="AL93" i="29"/>
  <c r="AL91" i="29"/>
  <c r="AL87" i="29"/>
  <c r="AL85" i="29"/>
  <c r="AL81" i="29"/>
  <c r="AL79" i="29"/>
  <c r="AL73" i="29"/>
  <c r="AL71" i="29"/>
  <c r="AL155" i="29"/>
  <c r="AL147" i="29"/>
  <c r="AL137" i="29"/>
  <c r="AL134" i="29"/>
  <c r="AL120" i="29"/>
  <c r="AL114" i="29"/>
  <c r="AL110" i="29"/>
  <c r="AL104" i="29"/>
  <c r="AL98" i="29"/>
  <c r="AL94" i="29"/>
  <c r="AL90" i="29"/>
  <c r="AL84" i="29"/>
  <c r="AL78" i="29"/>
  <c r="AL70" i="29"/>
  <c r="AL68" i="29"/>
  <c r="AL66" i="29"/>
  <c r="AL62" i="29"/>
  <c r="AL60" i="29"/>
  <c r="AL58" i="29"/>
  <c r="AL52" i="29"/>
  <c r="AL50" i="29"/>
  <c r="AL48" i="29"/>
  <c r="AL46" i="29"/>
  <c r="AL42" i="29"/>
  <c r="AL38" i="29"/>
  <c r="AL36" i="29"/>
  <c r="AL34" i="29"/>
  <c r="AL30" i="29"/>
  <c r="AL26" i="29"/>
  <c r="AL24" i="29"/>
  <c r="AL22" i="29"/>
  <c r="AL20" i="29"/>
  <c r="AL18" i="29"/>
  <c r="AL14" i="29"/>
  <c r="AL12" i="29"/>
  <c r="AL10" i="29"/>
  <c r="AL8" i="29"/>
  <c r="AL143" i="29"/>
  <c r="AL126" i="29"/>
  <c r="AL116" i="29"/>
  <c r="AL112" i="29"/>
  <c r="AL108" i="29"/>
  <c r="AL102" i="29"/>
  <c r="AL92" i="29"/>
  <c r="AL80" i="29"/>
  <c r="AL67" i="29"/>
  <c r="AL61" i="29"/>
  <c r="AL55" i="29"/>
  <c r="AL54" i="29" s="1"/>
  <c r="AL49" i="29"/>
  <c r="AL45" i="29"/>
  <c r="AL37" i="29"/>
  <c r="AL33" i="29"/>
  <c r="AL25" i="29"/>
  <c r="AL21" i="29"/>
  <c r="AL17" i="29"/>
  <c r="AL11" i="29"/>
  <c r="AL7" i="29"/>
  <c r="AL96" i="29"/>
  <c r="AL86" i="29"/>
  <c r="AL72" i="29"/>
  <c r="AL69" i="29"/>
  <c r="AL63" i="29"/>
  <c r="AL59" i="29"/>
  <c r="AL51" i="29"/>
  <c r="AL47" i="29"/>
  <c r="AL41" i="29"/>
  <c r="AL40" i="29" s="1"/>
  <c r="AL35" i="29"/>
  <c r="AL29" i="29"/>
  <c r="AL28" i="29" s="1"/>
  <c r="AL23" i="29"/>
  <c r="AL19" i="29"/>
  <c r="AL13" i="29"/>
  <c r="AL9" i="29"/>
  <c r="AN156" i="29"/>
  <c r="AN149" i="29"/>
  <c r="AN155" i="29"/>
  <c r="AN148" i="29"/>
  <c r="AN146" i="29"/>
  <c r="AN144" i="29"/>
  <c r="AN142" i="29"/>
  <c r="AN138" i="29"/>
  <c r="AN136" i="29"/>
  <c r="AN135" i="29"/>
  <c r="AN133" i="29"/>
  <c r="AN127" i="29"/>
  <c r="AN125" i="29"/>
  <c r="AN147" i="29"/>
  <c r="AN143" i="29"/>
  <c r="AN137" i="29"/>
  <c r="AN134" i="29"/>
  <c r="AN126" i="29"/>
  <c r="AN123" i="29"/>
  <c r="AN119" i="29"/>
  <c r="AN115" i="29"/>
  <c r="AN113" i="29"/>
  <c r="AN111" i="29"/>
  <c r="AN109" i="29"/>
  <c r="AN107" i="29"/>
  <c r="AN103" i="29"/>
  <c r="AN101" i="29"/>
  <c r="AN97" i="29"/>
  <c r="AN95" i="29"/>
  <c r="AN93" i="29"/>
  <c r="AN91" i="29"/>
  <c r="AN87" i="29"/>
  <c r="AN85" i="29"/>
  <c r="AN81" i="29"/>
  <c r="AN79" i="29"/>
  <c r="AN73" i="29"/>
  <c r="AN71" i="29"/>
  <c r="AN139" i="29"/>
  <c r="AN124" i="29"/>
  <c r="AN116" i="29"/>
  <c r="AN112" i="29"/>
  <c r="AN108" i="29"/>
  <c r="AN102" i="29"/>
  <c r="AN96" i="29"/>
  <c r="AN92" i="29"/>
  <c r="AN86" i="29"/>
  <c r="AN80" i="29"/>
  <c r="AN72" i="29"/>
  <c r="AN68" i="29"/>
  <c r="AN66" i="29"/>
  <c r="AN62" i="29"/>
  <c r="AN60" i="29"/>
  <c r="AN58" i="29"/>
  <c r="AN52" i="29"/>
  <c r="AN50" i="29"/>
  <c r="AN48" i="29"/>
  <c r="AN46" i="29"/>
  <c r="AN42" i="29"/>
  <c r="AN38" i="29"/>
  <c r="AN36" i="29"/>
  <c r="AN34" i="29"/>
  <c r="AN30" i="29"/>
  <c r="AN26" i="29"/>
  <c r="AN24" i="29"/>
  <c r="AN22" i="29"/>
  <c r="AN20" i="29"/>
  <c r="AN18" i="29"/>
  <c r="AN14" i="29"/>
  <c r="AN12" i="29"/>
  <c r="AN10" i="29"/>
  <c r="AN8" i="29"/>
  <c r="AN145" i="29"/>
  <c r="AN130" i="29"/>
  <c r="AN129" i="29" s="1"/>
  <c r="AN120" i="29"/>
  <c r="AN114" i="29"/>
  <c r="AN110" i="29"/>
  <c r="AN104" i="29"/>
  <c r="AN94" i="29"/>
  <c r="AN84" i="29"/>
  <c r="AN70" i="29"/>
  <c r="AN69" i="29"/>
  <c r="AN63" i="29"/>
  <c r="AN59" i="29"/>
  <c r="AN51" i="29"/>
  <c r="AN47" i="29"/>
  <c r="AN41" i="29"/>
  <c r="AN35" i="29"/>
  <c r="AN29" i="29"/>
  <c r="AN23" i="29"/>
  <c r="AN19" i="29"/>
  <c r="AN13" i="29"/>
  <c r="AN9" i="29"/>
  <c r="AN98" i="29"/>
  <c r="AN90" i="29"/>
  <c r="AN78" i="29"/>
  <c r="AN67" i="29"/>
  <c r="AN61" i="29"/>
  <c r="AN55" i="29"/>
  <c r="AN54" i="29" s="1"/>
  <c r="AN49" i="29"/>
  <c r="AN45" i="29"/>
  <c r="AN37" i="29"/>
  <c r="AN33" i="29"/>
  <c r="AN25" i="29"/>
  <c r="AN21" i="29"/>
  <c r="AN17" i="29"/>
  <c r="AN11" i="29"/>
  <c r="AN7" i="29"/>
  <c r="AP156" i="29"/>
  <c r="AP148" i="29"/>
  <c r="AP146" i="29"/>
  <c r="AP144" i="29"/>
  <c r="AP142" i="29"/>
  <c r="AP138" i="29"/>
  <c r="AP136" i="29"/>
  <c r="AP135" i="29"/>
  <c r="AP133" i="29"/>
  <c r="AP127" i="29"/>
  <c r="AP125" i="29"/>
  <c r="AP155" i="29"/>
  <c r="AP149" i="29"/>
  <c r="AP145" i="29"/>
  <c r="AP139" i="29"/>
  <c r="AP130" i="29"/>
  <c r="AP129" i="29" s="1"/>
  <c r="AP124" i="29"/>
  <c r="AP123" i="29"/>
  <c r="AP119" i="29"/>
  <c r="AP115" i="29"/>
  <c r="AP113" i="29"/>
  <c r="AP111" i="29"/>
  <c r="AP109" i="29"/>
  <c r="AP107" i="29"/>
  <c r="AP103" i="29"/>
  <c r="AP101" i="29"/>
  <c r="AP97" i="29"/>
  <c r="AP95" i="29"/>
  <c r="AP93" i="29"/>
  <c r="AP91" i="29"/>
  <c r="AP87" i="29"/>
  <c r="AP85" i="29"/>
  <c r="AP81" i="29"/>
  <c r="AP79" i="29"/>
  <c r="AP73" i="29"/>
  <c r="AP71" i="29"/>
  <c r="AP143" i="29"/>
  <c r="AP126" i="29"/>
  <c r="AP120" i="29"/>
  <c r="AP114" i="29"/>
  <c r="AP110" i="29"/>
  <c r="AP104" i="29"/>
  <c r="AP98" i="29"/>
  <c r="AP94" i="29"/>
  <c r="AP90" i="29"/>
  <c r="AP84" i="29"/>
  <c r="AP78" i="29"/>
  <c r="AP70" i="29"/>
  <c r="AP68" i="29"/>
  <c r="AP66" i="29"/>
  <c r="AP62" i="29"/>
  <c r="AP60" i="29"/>
  <c r="AP58" i="29"/>
  <c r="AP52" i="29"/>
  <c r="AP50" i="29"/>
  <c r="AP48" i="29"/>
  <c r="AP46" i="29"/>
  <c r="AP42" i="29"/>
  <c r="AP38" i="29"/>
  <c r="AP36" i="29"/>
  <c r="AP34" i="29"/>
  <c r="AP30" i="29"/>
  <c r="AP26" i="29"/>
  <c r="AP24" i="29"/>
  <c r="AP22" i="29"/>
  <c r="AP20" i="29"/>
  <c r="AP18" i="29"/>
  <c r="AP14" i="29"/>
  <c r="AP12" i="29"/>
  <c r="AP10" i="29"/>
  <c r="AP8" i="29"/>
  <c r="AP147" i="29"/>
  <c r="AP137" i="29"/>
  <c r="AP134" i="29"/>
  <c r="AP116" i="29"/>
  <c r="AP112" i="29"/>
  <c r="AP108" i="29"/>
  <c r="AP96" i="29"/>
  <c r="AP86" i="29"/>
  <c r="AP72" i="29"/>
  <c r="AP67" i="29"/>
  <c r="AP61" i="29"/>
  <c r="AP55" i="29"/>
  <c r="AP54" i="29" s="1"/>
  <c r="AP49" i="29"/>
  <c r="AP45" i="29"/>
  <c r="AP37" i="29"/>
  <c r="AP33" i="29"/>
  <c r="AP25" i="29"/>
  <c r="AP21" i="29"/>
  <c r="AP17" i="29"/>
  <c r="AP11" i="29"/>
  <c r="AP7" i="29"/>
  <c r="AP102" i="29"/>
  <c r="AP92" i="29"/>
  <c r="AP80" i="29"/>
  <c r="AP69" i="29"/>
  <c r="AP63" i="29"/>
  <c r="AP59" i="29"/>
  <c r="AP51" i="29"/>
  <c r="AP47" i="29"/>
  <c r="AP41" i="29"/>
  <c r="AP35" i="29"/>
  <c r="AP29" i="29"/>
  <c r="AP23" i="29"/>
  <c r="AP19" i="29"/>
  <c r="AP13" i="29"/>
  <c r="AP9" i="29"/>
  <c r="AR156" i="29"/>
  <c r="AR155" i="29"/>
  <c r="AR148" i="29"/>
  <c r="AR146" i="29"/>
  <c r="AR144" i="29"/>
  <c r="AR142" i="29"/>
  <c r="AR138" i="29"/>
  <c r="AR136" i="29"/>
  <c r="AR135" i="29"/>
  <c r="AR133" i="29"/>
  <c r="AR127" i="29"/>
  <c r="AR125" i="29"/>
  <c r="AR147" i="29"/>
  <c r="AR143" i="29"/>
  <c r="AR137" i="29"/>
  <c r="AR134" i="29"/>
  <c r="AR126" i="29"/>
  <c r="AR123" i="29"/>
  <c r="AR119" i="29"/>
  <c r="AR115" i="29"/>
  <c r="AR113" i="29"/>
  <c r="AR111" i="29"/>
  <c r="AR109" i="29"/>
  <c r="AR107" i="29"/>
  <c r="AR103" i="29"/>
  <c r="AR101" i="29"/>
  <c r="AR97" i="29"/>
  <c r="AR95" i="29"/>
  <c r="AR93" i="29"/>
  <c r="AR91" i="29"/>
  <c r="AR87" i="29"/>
  <c r="AR85" i="29"/>
  <c r="AR81" i="29"/>
  <c r="AR79" i="29"/>
  <c r="AR73" i="29"/>
  <c r="AR71" i="29"/>
  <c r="AR145" i="29"/>
  <c r="AR130" i="29"/>
  <c r="AR129" i="29" s="1"/>
  <c r="AR116" i="29"/>
  <c r="AR112" i="29"/>
  <c r="AR108" i="29"/>
  <c r="AR102" i="29"/>
  <c r="AR96" i="29"/>
  <c r="AR92" i="29"/>
  <c r="AR86" i="29"/>
  <c r="AR80" i="29"/>
  <c r="AR72" i="29"/>
  <c r="AR68" i="29"/>
  <c r="AR66" i="29"/>
  <c r="AR62" i="29"/>
  <c r="AR60" i="29"/>
  <c r="AR58" i="29"/>
  <c r="AR52" i="29"/>
  <c r="AR50" i="29"/>
  <c r="AR48" i="29"/>
  <c r="AR46" i="29"/>
  <c r="AR42" i="29"/>
  <c r="AR38" i="29"/>
  <c r="AR36" i="29"/>
  <c r="AR34" i="29"/>
  <c r="AR30" i="29"/>
  <c r="AR26" i="29"/>
  <c r="AR24" i="29"/>
  <c r="AR22" i="29"/>
  <c r="AR20" i="29"/>
  <c r="AR18" i="29"/>
  <c r="AR14" i="29"/>
  <c r="AR12" i="29"/>
  <c r="AR10" i="29"/>
  <c r="AR8" i="29"/>
  <c r="AR149" i="29"/>
  <c r="AR139" i="29"/>
  <c r="AR124" i="29"/>
  <c r="AR120" i="29"/>
  <c r="AR114" i="29"/>
  <c r="AR110" i="29"/>
  <c r="AR104" i="29"/>
  <c r="AR98" i="29"/>
  <c r="AR90" i="29"/>
  <c r="AR78" i="29"/>
  <c r="AR69" i="29"/>
  <c r="AR63" i="29"/>
  <c r="AR59" i="29"/>
  <c r="AR51" i="29"/>
  <c r="AR47" i="29"/>
  <c r="AR41" i="29"/>
  <c r="AR35" i="29"/>
  <c r="AR29" i="29"/>
  <c r="AR23" i="29"/>
  <c r="AR19" i="29"/>
  <c r="AR13" i="29"/>
  <c r="AR9" i="29"/>
  <c r="AR94" i="29"/>
  <c r="AR84" i="29"/>
  <c r="AR70" i="29"/>
  <c r="AR67" i="29"/>
  <c r="AR61" i="29"/>
  <c r="AR55" i="29"/>
  <c r="AR54" i="29" s="1"/>
  <c r="AR49" i="29"/>
  <c r="AR45" i="29"/>
  <c r="AR37" i="29"/>
  <c r="AR33" i="29"/>
  <c r="AR25" i="29"/>
  <c r="AR21" i="29"/>
  <c r="AR17" i="29"/>
  <c r="AR11" i="29"/>
  <c r="AR7" i="29"/>
  <c r="AT156" i="29"/>
  <c r="AT148" i="29"/>
  <c r="AT146" i="29"/>
  <c r="AT144" i="29"/>
  <c r="AT142" i="29"/>
  <c r="AT138" i="29"/>
  <c r="AT136" i="29"/>
  <c r="AT135" i="29"/>
  <c r="AT133" i="29"/>
  <c r="AT127" i="29"/>
  <c r="AT125" i="29"/>
  <c r="AT149" i="29"/>
  <c r="AT145" i="29"/>
  <c r="AT139" i="29"/>
  <c r="AT130" i="29"/>
  <c r="AT129" i="29" s="1"/>
  <c r="AT124" i="29"/>
  <c r="AT123" i="29"/>
  <c r="AT119" i="29"/>
  <c r="AT115" i="29"/>
  <c r="AT113" i="29"/>
  <c r="AT111" i="29"/>
  <c r="AT109" i="29"/>
  <c r="AT107" i="29"/>
  <c r="AT103" i="29"/>
  <c r="AT101" i="29"/>
  <c r="AT97" i="29"/>
  <c r="AT95" i="29"/>
  <c r="AT93" i="29"/>
  <c r="AT91" i="29"/>
  <c r="AT87" i="29"/>
  <c r="AT85" i="29"/>
  <c r="AT81" i="29"/>
  <c r="AT79" i="29"/>
  <c r="AT73" i="29"/>
  <c r="AT71" i="29"/>
  <c r="AT147" i="29"/>
  <c r="AT137" i="29"/>
  <c r="AT134" i="29"/>
  <c r="AT120" i="29"/>
  <c r="AT114" i="29"/>
  <c r="AT110" i="29"/>
  <c r="AT104" i="29"/>
  <c r="AT98" i="29"/>
  <c r="AT94" i="29"/>
  <c r="AT90" i="29"/>
  <c r="AT84" i="29"/>
  <c r="AT78" i="29"/>
  <c r="AT70" i="29"/>
  <c r="AT68" i="29"/>
  <c r="AT66" i="29"/>
  <c r="AT62" i="29"/>
  <c r="AT60" i="29"/>
  <c r="AT58" i="29"/>
  <c r="AT52" i="29"/>
  <c r="AT50" i="29"/>
  <c r="AT48" i="29"/>
  <c r="AT46" i="29"/>
  <c r="AT42" i="29"/>
  <c r="AT38" i="29"/>
  <c r="AT36" i="29"/>
  <c r="AT34" i="29"/>
  <c r="AT30" i="29"/>
  <c r="AT26" i="29"/>
  <c r="AT24" i="29"/>
  <c r="AT22" i="29"/>
  <c r="AT20" i="29"/>
  <c r="AT18" i="29"/>
  <c r="AT14" i="29"/>
  <c r="AT12" i="29"/>
  <c r="AT10" i="29"/>
  <c r="AT8" i="29"/>
  <c r="AT155" i="29"/>
  <c r="AT143" i="29"/>
  <c r="AT126" i="29"/>
  <c r="AT116" i="29"/>
  <c r="AT112" i="29"/>
  <c r="AT108" i="29"/>
  <c r="AT102" i="29"/>
  <c r="AT92" i="29"/>
  <c r="AT80" i="29"/>
  <c r="AT67" i="29"/>
  <c r="AT61" i="29"/>
  <c r="AT55" i="29"/>
  <c r="AT54" i="29" s="1"/>
  <c r="AT49" i="29"/>
  <c r="AT45" i="29"/>
  <c r="AT37" i="29"/>
  <c r="AT33" i="29"/>
  <c r="AT25" i="29"/>
  <c r="AT21" i="29"/>
  <c r="AT17" i="29"/>
  <c r="AT11" i="29"/>
  <c r="AT7" i="29"/>
  <c r="AT96" i="29"/>
  <c r="AT86" i="29"/>
  <c r="AT72" i="29"/>
  <c r="AT69" i="29"/>
  <c r="AT63" i="29"/>
  <c r="AT59" i="29"/>
  <c r="AT51" i="29"/>
  <c r="AT47" i="29"/>
  <c r="AT41" i="29"/>
  <c r="AT35" i="29"/>
  <c r="AT29" i="29"/>
  <c r="AT23" i="29"/>
  <c r="AT19" i="29"/>
  <c r="AT13" i="29"/>
  <c r="AT9" i="29"/>
  <c r="AV156" i="29"/>
  <c r="AV155" i="29"/>
  <c r="AV148" i="29"/>
  <c r="AV146" i="29"/>
  <c r="AV144" i="29"/>
  <c r="AV142" i="29"/>
  <c r="AV138" i="29"/>
  <c r="AV136" i="29"/>
  <c r="AV135" i="29"/>
  <c r="AV133" i="29"/>
  <c r="AV127" i="29"/>
  <c r="AV125" i="29"/>
  <c r="AV147" i="29"/>
  <c r="AV143" i="29"/>
  <c r="AV137" i="29"/>
  <c r="AV134" i="29"/>
  <c r="AV126" i="29"/>
  <c r="AV123" i="29"/>
  <c r="AV119" i="29"/>
  <c r="AV115" i="29"/>
  <c r="AV113" i="29"/>
  <c r="AV111" i="29"/>
  <c r="AV109" i="29"/>
  <c r="AV107" i="29"/>
  <c r="AV103" i="29"/>
  <c r="AV101" i="29"/>
  <c r="AV97" i="29"/>
  <c r="AV95" i="29"/>
  <c r="AV93" i="29"/>
  <c r="AV91" i="29"/>
  <c r="AV87" i="29"/>
  <c r="AV85" i="29"/>
  <c r="AV81" i="29"/>
  <c r="AV79" i="29"/>
  <c r="AV73" i="29"/>
  <c r="AV71" i="29"/>
  <c r="AV149" i="29"/>
  <c r="AV139" i="29"/>
  <c r="AV124" i="29"/>
  <c r="AV116" i="29"/>
  <c r="AV112" i="29"/>
  <c r="AV108" i="29"/>
  <c r="AV102" i="29"/>
  <c r="AV96" i="29"/>
  <c r="AV92" i="29"/>
  <c r="AV86" i="29"/>
  <c r="AV80" i="29"/>
  <c r="AV72" i="29"/>
  <c r="AV68" i="29"/>
  <c r="AV66" i="29"/>
  <c r="AV62" i="29"/>
  <c r="AV60" i="29"/>
  <c r="AV58" i="29"/>
  <c r="AV52" i="29"/>
  <c r="AV50" i="29"/>
  <c r="AV48" i="29"/>
  <c r="AV46" i="29"/>
  <c r="AV42" i="29"/>
  <c r="AV38" i="29"/>
  <c r="AV36" i="29"/>
  <c r="AV34" i="29"/>
  <c r="AV30" i="29"/>
  <c r="AV26" i="29"/>
  <c r="AV24" i="29"/>
  <c r="AV22" i="29"/>
  <c r="AV20" i="29"/>
  <c r="AV18" i="29"/>
  <c r="AV14" i="29"/>
  <c r="AV12" i="29"/>
  <c r="AV10" i="29"/>
  <c r="AV8" i="29"/>
  <c r="AV145" i="29"/>
  <c r="AV130" i="29"/>
  <c r="AV129" i="29" s="1"/>
  <c r="AV120" i="29"/>
  <c r="AV114" i="29"/>
  <c r="AV110" i="29"/>
  <c r="AV104" i="29"/>
  <c r="AV94" i="29"/>
  <c r="AV84" i="29"/>
  <c r="AV70" i="29"/>
  <c r="AV69" i="29"/>
  <c r="AV63" i="29"/>
  <c r="AV59" i="29"/>
  <c r="AV51" i="29"/>
  <c r="AV47" i="29"/>
  <c r="AV41" i="29"/>
  <c r="AV35" i="29"/>
  <c r="AV29" i="29"/>
  <c r="AV23" i="29"/>
  <c r="AV19" i="29"/>
  <c r="AV13" i="29"/>
  <c r="AV9" i="29"/>
  <c r="AV98" i="29"/>
  <c r="AV90" i="29"/>
  <c r="AV78" i="29"/>
  <c r="AV67" i="29"/>
  <c r="AV61" i="29"/>
  <c r="AV55" i="29"/>
  <c r="AV54" i="29" s="1"/>
  <c r="AV49" i="29"/>
  <c r="AV45" i="29"/>
  <c r="AV37" i="29"/>
  <c r="AV33" i="29"/>
  <c r="AV25" i="29"/>
  <c r="AV21" i="29"/>
  <c r="AV17" i="29"/>
  <c r="AV11" i="29"/>
  <c r="AV7" i="29"/>
  <c r="AX156" i="29"/>
  <c r="AX148" i="29"/>
  <c r="AX146" i="29"/>
  <c r="AX144" i="29"/>
  <c r="AX142" i="29"/>
  <c r="AX138" i="29"/>
  <c r="AX136" i="29"/>
  <c r="AX135" i="29"/>
  <c r="AX133" i="29"/>
  <c r="AX127" i="29"/>
  <c r="AX125" i="29"/>
  <c r="AX155" i="29"/>
  <c r="AX149" i="29"/>
  <c r="AX145" i="29"/>
  <c r="AX139" i="29"/>
  <c r="AX130" i="29"/>
  <c r="AX129" i="29" s="1"/>
  <c r="AX124" i="29"/>
  <c r="AX123" i="29"/>
  <c r="AX119" i="29"/>
  <c r="AX115" i="29"/>
  <c r="AX113" i="29"/>
  <c r="AX111" i="29"/>
  <c r="AX109" i="29"/>
  <c r="AX107" i="29"/>
  <c r="AX103" i="29"/>
  <c r="AX101" i="29"/>
  <c r="AX97" i="29"/>
  <c r="AX95" i="29"/>
  <c r="AX93" i="29"/>
  <c r="AX91" i="29"/>
  <c r="AX87" i="29"/>
  <c r="AX85" i="29"/>
  <c r="AX81" i="29"/>
  <c r="AX79" i="29"/>
  <c r="AX73" i="29"/>
  <c r="AX71" i="29"/>
  <c r="AX143" i="29"/>
  <c r="AX126" i="29"/>
  <c r="AX120" i="29"/>
  <c r="AX114" i="29"/>
  <c r="AX110" i="29"/>
  <c r="AX104" i="29"/>
  <c r="AX98" i="29"/>
  <c r="AX94" i="29"/>
  <c r="AX90" i="29"/>
  <c r="AX84" i="29"/>
  <c r="AX78" i="29"/>
  <c r="AX70" i="29"/>
  <c r="AX68" i="29"/>
  <c r="AX66" i="29"/>
  <c r="AX62" i="29"/>
  <c r="AX60" i="29"/>
  <c r="AX58" i="29"/>
  <c r="AX52" i="29"/>
  <c r="AX50" i="29"/>
  <c r="AX48" i="29"/>
  <c r="AX46" i="29"/>
  <c r="AX42" i="29"/>
  <c r="AX38" i="29"/>
  <c r="AX36" i="29"/>
  <c r="AX34" i="29"/>
  <c r="AX30" i="29"/>
  <c r="AX26" i="29"/>
  <c r="AX24" i="29"/>
  <c r="AX22" i="29"/>
  <c r="AX20" i="29"/>
  <c r="AX18" i="29"/>
  <c r="AX14" i="29"/>
  <c r="AX12" i="29"/>
  <c r="AX10" i="29"/>
  <c r="AX8" i="29"/>
  <c r="AX147" i="29"/>
  <c r="AX137" i="29"/>
  <c r="AX134" i="29"/>
  <c r="AX116" i="29"/>
  <c r="AX112" i="29"/>
  <c r="AX108" i="29"/>
  <c r="AX96" i="29"/>
  <c r="AX86" i="29"/>
  <c r="AX72" i="29"/>
  <c r="AX67" i="29"/>
  <c r="AX61" i="29"/>
  <c r="AX55" i="29"/>
  <c r="AX54" i="29" s="1"/>
  <c r="AX49" i="29"/>
  <c r="AX45" i="29"/>
  <c r="AX37" i="29"/>
  <c r="AX33" i="29"/>
  <c r="AX25" i="29"/>
  <c r="AX21" i="29"/>
  <c r="AX17" i="29"/>
  <c r="AX11" i="29"/>
  <c r="AX7" i="29"/>
  <c r="AX102" i="29"/>
  <c r="AX92" i="29"/>
  <c r="AX80" i="29"/>
  <c r="AX69" i="29"/>
  <c r="AX63" i="29"/>
  <c r="AX59" i="29"/>
  <c r="AX51" i="29"/>
  <c r="AX47" i="29"/>
  <c r="AX41" i="29"/>
  <c r="AX35" i="29"/>
  <c r="AX29" i="29"/>
  <c r="AX23" i="29"/>
  <c r="AX19" i="29"/>
  <c r="AX13" i="29"/>
  <c r="AX9" i="29"/>
  <c r="AZ156" i="29"/>
  <c r="AZ155" i="29"/>
  <c r="AZ148" i="29"/>
  <c r="AZ146" i="29"/>
  <c r="AZ144" i="29"/>
  <c r="AZ142" i="29"/>
  <c r="AZ138" i="29"/>
  <c r="AZ136" i="29"/>
  <c r="AZ135" i="29"/>
  <c r="AZ133" i="29"/>
  <c r="AZ127" i="29"/>
  <c r="AZ125" i="29"/>
  <c r="AZ147" i="29"/>
  <c r="AZ143" i="29"/>
  <c r="AZ137" i="29"/>
  <c r="AZ134" i="29"/>
  <c r="AZ126" i="29"/>
  <c r="AZ123" i="29"/>
  <c r="AZ119" i="29"/>
  <c r="AZ115" i="29"/>
  <c r="AZ113" i="29"/>
  <c r="AZ111" i="29"/>
  <c r="AZ109" i="29"/>
  <c r="AZ107" i="29"/>
  <c r="AZ103" i="29"/>
  <c r="AZ101" i="29"/>
  <c r="AZ97" i="29"/>
  <c r="AZ95" i="29"/>
  <c r="AZ93" i="29"/>
  <c r="AZ91" i="29"/>
  <c r="AZ87" i="29"/>
  <c r="AZ85" i="29"/>
  <c r="AZ81" i="29"/>
  <c r="AZ79" i="29"/>
  <c r="AZ73" i="29"/>
  <c r="AZ71" i="29"/>
  <c r="AZ145" i="29"/>
  <c r="AZ130" i="29"/>
  <c r="AZ129" i="29" s="1"/>
  <c r="AZ116" i="29"/>
  <c r="AZ112" i="29"/>
  <c r="AZ108" i="29"/>
  <c r="AZ102" i="29"/>
  <c r="AZ96" i="29"/>
  <c r="AZ92" i="29"/>
  <c r="AZ86" i="29"/>
  <c r="AZ80" i="29"/>
  <c r="AZ72" i="29"/>
  <c r="AZ68" i="29"/>
  <c r="AZ66" i="29"/>
  <c r="AZ62" i="29"/>
  <c r="AZ60" i="29"/>
  <c r="AZ58" i="29"/>
  <c r="AZ52" i="29"/>
  <c r="AZ50" i="29"/>
  <c r="AZ48" i="29"/>
  <c r="AZ46" i="29"/>
  <c r="AZ42" i="29"/>
  <c r="AZ38" i="29"/>
  <c r="AZ36" i="29"/>
  <c r="AZ34" i="29"/>
  <c r="AZ30" i="29"/>
  <c r="AZ26" i="29"/>
  <c r="AZ24" i="29"/>
  <c r="AZ22" i="29"/>
  <c r="AZ20" i="29"/>
  <c r="AZ18" i="29"/>
  <c r="AZ14" i="29"/>
  <c r="AZ12" i="29"/>
  <c r="AZ10" i="29"/>
  <c r="AZ8" i="29"/>
  <c r="AZ149" i="29"/>
  <c r="AZ139" i="29"/>
  <c r="AZ124" i="29"/>
  <c r="AZ120" i="29"/>
  <c r="AZ114" i="29"/>
  <c r="AZ110" i="29"/>
  <c r="AZ98" i="29"/>
  <c r="AZ90" i="29"/>
  <c r="AZ78" i="29"/>
  <c r="AZ69" i="29"/>
  <c r="AZ63" i="29"/>
  <c r="AZ59" i="29"/>
  <c r="AZ51" i="29"/>
  <c r="AZ47" i="29"/>
  <c r="AZ41" i="29"/>
  <c r="AZ35" i="29"/>
  <c r="AZ29" i="29"/>
  <c r="AZ23" i="29"/>
  <c r="AZ19" i="29"/>
  <c r="AZ13" i="29"/>
  <c r="AZ9" i="29"/>
  <c r="AZ104" i="29"/>
  <c r="AZ94" i="29"/>
  <c r="AZ84" i="29"/>
  <c r="AZ70" i="29"/>
  <c r="AZ67" i="29"/>
  <c r="AZ61" i="29"/>
  <c r="AZ55" i="29"/>
  <c r="AZ54" i="29" s="1"/>
  <c r="AZ49" i="29"/>
  <c r="AZ45" i="29"/>
  <c r="AZ37" i="29"/>
  <c r="AZ33" i="29"/>
  <c r="AZ25" i="29"/>
  <c r="AZ21" i="29"/>
  <c r="AZ17" i="29"/>
  <c r="AZ11" i="29"/>
  <c r="AZ7" i="29"/>
  <c r="BB156" i="29"/>
  <c r="BB148" i="29"/>
  <c r="BB146" i="29"/>
  <c r="BB144" i="29"/>
  <c r="BB142" i="29"/>
  <c r="BB138" i="29"/>
  <c r="BB136" i="29"/>
  <c r="BB135" i="29"/>
  <c r="BB133" i="29"/>
  <c r="BB127" i="29"/>
  <c r="BB125" i="29"/>
  <c r="BB149" i="29"/>
  <c r="BB145" i="29"/>
  <c r="BB139" i="29"/>
  <c r="BB130" i="29"/>
  <c r="BB129" i="29" s="1"/>
  <c r="BB124" i="29"/>
  <c r="BB123" i="29"/>
  <c r="BB119" i="29"/>
  <c r="BB115" i="29"/>
  <c r="BB113" i="29"/>
  <c r="BB111" i="29"/>
  <c r="BB109" i="29"/>
  <c r="BB107" i="29"/>
  <c r="BB103" i="29"/>
  <c r="BB101" i="29"/>
  <c r="BB97" i="29"/>
  <c r="BB95" i="29"/>
  <c r="BB93" i="29"/>
  <c r="BB91" i="29"/>
  <c r="BB87" i="29"/>
  <c r="BB85" i="29"/>
  <c r="BB81" i="29"/>
  <c r="BB79" i="29"/>
  <c r="BB73" i="29"/>
  <c r="BB71" i="29"/>
  <c r="BB155" i="29"/>
  <c r="BB147" i="29"/>
  <c r="BB137" i="29"/>
  <c r="BB134" i="29"/>
  <c r="BB120" i="29"/>
  <c r="BB114" i="29"/>
  <c r="BB110" i="29"/>
  <c r="BB104" i="29"/>
  <c r="BB98" i="29"/>
  <c r="BB94" i="29"/>
  <c r="BB90" i="29"/>
  <c r="BB84" i="29"/>
  <c r="BB78" i="29"/>
  <c r="BB70" i="29"/>
  <c r="BB68" i="29"/>
  <c r="BB66" i="29"/>
  <c r="BB62" i="29"/>
  <c r="BB60" i="29"/>
  <c r="BB58" i="29"/>
  <c r="BB52" i="29"/>
  <c r="BB50" i="29"/>
  <c r="BB48" i="29"/>
  <c r="BB46" i="29"/>
  <c r="BB42" i="29"/>
  <c r="BB38" i="29"/>
  <c r="BB36" i="29"/>
  <c r="BB34" i="29"/>
  <c r="BB30" i="29"/>
  <c r="BB26" i="29"/>
  <c r="BB24" i="29"/>
  <c r="BB22" i="29"/>
  <c r="BB20" i="29"/>
  <c r="BB18" i="29"/>
  <c r="BB14" i="29"/>
  <c r="BB12" i="29"/>
  <c r="BB10" i="29"/>
  <c r="BB8" i="29"/>
  <c r="BB143" i="29"/>
  <c r="BB126" i="29"/>
  <c r="BB116" i="29"/>
  <c r="BB112" i="29"/>
  <c r="BB108" i="29"/>
  <c r="BB102" i="29"/>
  <c r="BB92" i="29"/>
  <c r="BB80" i="29"/>
  <c r="BB67" i="29"/>
  <c r="BB61" i="29"/>
  <c r="BB55" i="29"/>
  <c r="BB54" i="29" s="1"/>
  <c r="BB49" i="29"/>
  <c r="BB45" i="29"/>
  <c r="BB37" i="29"/>
  <c r="BB33" i="29"/>
  <c r="BB25" i="29"/>
  <c r="BB21" i="29"/>
  <c r="BB17" i="29"/>
  <c r="BB11" i="29"/>
  <c r="BB7" i="29"/>
  <c r="BB96" i="29"/>
  <c r="BB86" i="29"/>
  <c r="BB72" i="29"/>
  <c r="BB69" i="29"/>
  <c r="BB63" i="29"/>
  <c r="BB59" i="29"/>
  <c r="BB51" i="29"/>
  <c r="BB47" i="29"/>
  <c r="BB41" i="29"/>
  <c r="BB35" i="29"/>
  <c r="BB29" i="29"/>
  <c r="BB23" i="29"/>
  <c r="BB19" i="29"/>
  <c r="BB13" i="29"/>
  <c r="BB9" i="29"/>
  <c r="BD156" i="29"/>
  <c r="BD155" i="29"/>
  <c r="BD148" i="29"/>
  <c r="BD146" i="29"/>
  <c r="BD144" i="29"/>
  <c r="BD142" i="29"/>
  <c r="BD138" i="29"/>
  <c r="BD136" i="29"/>
  <c r="BD135" i="29"/>
  <c r="BD133" i="29"/>
  <c r="BD127" i="29"/>
  <c r="BD125" i="29"/>
  <c r="BD147" i="29"/>
  <c r="BD143" i="29"/>
  <c r="BD137" i="29"/>
  <c r="BD134" i="29"/>
  <c r="BD126" i="29"/>
  <c r="BD123" i="29"/>
  <c r="BD119" i="29"/>
  <c r="BD115" i="29"/>
  <c r="BD113" i="29"/>
  <c r="BD111" i="29"/>
  <c r="BD109" i="29"/>
  <c r="BD107" i="29"/>
  <c r="BD103" i="29"/>
  <c r="BD101" i="29"/>
  <c r="BD97" i="29"/>
  <c r="BD95" i="29"/>
  <c r="BD93" i="29"/>
  <c r="BD91" i="29"/>
  <c r="BD87" i="29"/>
  <c r="BD85" i="29"/>
  <c r="BD81" i="29"/>
  <c r="BD79" i="29"/>
  <c r="BD73" i="29"/>
  <c r="BD71" i="29"/>
  <c r="BD149" i="29"/>
  <c r="BD139" i="29"/>
  <c r="BD124" i="29"/>
  <c r="BD116" i="29"/>
  <c r="BD112" i="29"/>
  <c r="BD108" i="29"/>
  <c r="BD102" i="29"/>
  <c r="BD96" i="29"/>
  <c r="BD92" i="29"/>
  <c r="BD86" i="29"/>
  <c r="BD80" i="29"/>
  <c r="BD72" i="29"/>
  <c r="BD68" i="29"/>
  <c r="BD66" i="29"/>
  <c r="BD62" i="29"/>
  <c r="BD60" i="29"/>
  <c r="BD58" i="29"/>
  <c r="BD52" i="29"/>
  <c r="BD50" i="29"/>
  <c r="BD48" i="29"/>
  <c r="BD46" i="29"/>
  <c r="BD42" i="29"/>
  <c r="BD38" i="29"/>
  <c r="BD36" i="29"/>
  <c r="BD34" i="29"/>
  <c r="BD30" i="29"/>
  <c r="BD26" i="29"/>
  <c r="BD24" i="29"/>
  <c r="BD22" i="29"/>
  <c r="BD20" i="29"/>
  <c r="BD18" i="29"/>
  <c r="BD14" i="29"/>
  <c r="BD12" i="29"/>
  <c r="BD10" i="29"/>
  <c r="BD8" i="29"/>
  <c r="BD145" i="29"/>
  <c r="BD130" i="29"/>
  <c r="BD129" i="29" s="1"/>
  <c r="BD120" i="29"/>
  <c r="BD114" i="29"/>
  <c r="BD110" i="29"/>
  <c r="BD104" i="29"/>
  <c r="BD94" i="29"/>
  <c r="BD84" i="29"/>
  <c r="BD70" i="29"/>
  <c r="BD69" i="29"/>
  <c r="BD63" i="29"/>
  <c r="BD59" i="29"/>
  <c r="BD51" i="29"/>
  <c r="BD47" i="29"/>
  <c r="BD41" i="29"/>
  <c r="BD35" i="29"/>
  <c r="BD29" i="29"/>
  <c r="BD23" i="29"/>
  <c r="BD19" i="29"/>
  <c r="BD13" i="29"/>
  <c r="BD9" i="29"/>
  <c r="BD98" i="29"/>
  <c r="BD90" i="29"/>
  <c r="BD78" i="29"/>
  <c r="BD67" i="29"/>
  <c r="BD61" i="29"/>
  <c r="BD55" i="29"/>
  <c r="BD54" i="29" s="1"/>
  <c r="BD49" i="29"/>
  <c r="BD45" i="29"/>
  <c r="BD37" i="29"/>
  <c r="BD33" i="29"/>
  <c r="BD25" i="29"/>
  <c r="BD21" i="29"/>
  <c r="BD17" i="29"/>
  <c r="BD11" i="29"/>
  <c r="BD7" i="29"/>
  <c r="BF3" i="23"/>
  <c r="BH3" i="23"/>
  <c r="BI3" i="23"/>
  <c r="BI8" i="23"/>
  <c r="BI9" i="23"/>
  <c r="BI10" i="23"/>
  <c r="BI11" i="23"/>
  <c r="BI12" i="23"/>
  <c r="BI13" i="23"/>
  <c r="BI14" i="23"/>
  <c r="BH8" i="23"/>
  <c r="BH9" i="23"/>
  <c r="BH10" i="23"/>
  <c r="BH11" i="23"/>
  <c r="BH12" i="23"/>
  <c r="BH13" i="23"/>
  <c r="BH14" i="23"/>
  <c r="BG8" i="23"/>
  <c r="BG9" i="23"/>
  <c r="BG10" i="23"/>
  <c r="BG11" i="23"/>
  <c r="BG12" i="23"/>
  <c r="BG13" i="23"/>
  <c r="BG14" i="23"/>
  <c r="BH7" i="23"/>
  <c r="BG7" i="23"/>
  <c r="BF156" i="23"/>
  <c r="C58" i="79" s="1"/>
  <c r="BF155" i="23"/>
  <c r="B58" i="79" s="1"/>
  <c r="BF143" i="23"/>
  <c r="BF144" i="23"/>
  <c r="BF145" i="23"/>
  <c r="BF146" i="23"/>
  <c r="BF147" i="23"/>
  <c r="BF148" i="23"/>
  <c r="BF149" i="23"/>
  <c r="BF142" i="23"/>
  <c r="BF134" i="23"/>
  <c r="BF135" i="23"/>
  <c r="BF136" i="23"/>
  <c r="BF137" i="23"/>
  <c r="BF138" i="23"/>
  <c r="BF139" i="23"/>
  <c r="G58" i="79" s="1"/>
  <c r="BF133" i="23"/>
  <c r="BF130" i="23"/>
  <c r="BF129" i="23" s="1"/>
  <c r="B23" i="80" s="1"/>
  <c r="BF124" i="23"/>
  <c r="BF125" i="23"/>
  <c r="BF126" i="23"/>
  <c r="BF127" i="23"/>
  <c r="BF123" i="23"/>
  <c r="BF120" i="23"/>
  <c r="BF119" i="23"/>
  <c r="BF108" i="23"/>
  <c r="BF109" i="23"/>
  <c r="BF110" i="23"/>
  <c r="BF111" i="23"/>
  <c r="BF112" i="23"/>
  <c r="BF113" i="23"/>
  <c r="BF114" i="23"/>
  <c r="BF115" i="23"/>
  <c r="BF116" i="23"/>
  <c r="BF107" i="23"/>
  <c r="BF102" i="23"/>
  <c r="BF103" i="23"/>
  <c r="BF104" i="23"/>
  <c r="BF101" i="23"/>
  <c r="BF91" i="23"/>
  <c r="BF92" i="23"/>
  <c r="BF93" i="23"/>
  <c r="BF94" i="23"/>
  <c r="BF95" i="23"/>
  <c r="BF96" i="23"/>
  <c r="BF97" i="23"/>
  <c r="BF98" i="23"/>
  <c r="BF90" i="23"/>
  <c r="BF85" i="23"/>
  <c r="BF86" i="23"/>
  <c r="BF87" i="23"/>
  <c r="BF84" i="23"/>
  <c r="BF79" i="23"/>
  <c r="BF80" i="23"/>
  <c r="BF81" i="23"/>
  <c r="BF78" i="23"/>
  <c r="BF67" i="23"/>
  <c r="BF68" i="23"/>
  <c r="BF69" i="23"/>
  <c r="BF70" i="23"/>
  <c r="BF71" i="23"/>
  <c r="BF72" i="23"/>
  <c r="BF73" i="23"/>
  <c r="BF66" i="23"/>
  <c r="BF59" i="23"/>
  <c r="BF60" i="23"/>
  <c r="BF61" i="23"/>
  <c r="BF62" i="23"/>
  <c r="BF63" i="23"/>
  <c r="F58" i="79" s="1"/>
  <c r="BF58" i="23"/>
  <c r="BF55" i="23"/>
  <c r="BF54" i="23" s="1"/>
  <c r="B11" i="80" s="1"/>
  <c r="BF46" i="23"/>
  <c r="BF47" i="23"/>
  <c r="BF48" i="23"/>
  <c r="BF49" i="23"/>
  <c r="BF50" i="23"/>
  <c r="BF51" i="23"/>
  <c r="BF52" i="23"/>
  <c r="BF45" i="23"/>
  <c r="BF42" i="23"/>
  <c r="BF41" i="23"/>
  <c r="BF34" i="23"/>
  <c r="BF35" i="23"/>
  <c r="BF36" i="23"/>
  <c r="BF37" i="23"/>
  <c r="BF38" i="23"/>
  <c r="BF33" i="23"/>
  <c r="BF30" i="23"/>
  <c r="BF29" i="23"/>
  <c r="BF18" i="23"/>
  <c r="BF19" i="23"/>
  <c r="BF20" i="23"/>
  <c r="BF21" i="23"/>
  <c r="BF22" i="23"/>
  <c r="BF23" i="23"/>
  <c r="BF24" i="23"/>
  <c r="BF25" i="23"/>
  <c r="BF26" i="23"/>
  <c r="BF17" i="23"/>
  <c r="BF8" i="23"/>
  <c r="BF9" i="23"/>
  <c r="BF10" i="23"/>
  <c r="BF11" i="23"/>
  <c r="BF12" i="23"/>
  <c r="BF13" i="23"/>
  <c r="BF14" i="23"/>
  <c r="BF7" i="23"/>
  <c r="F158" i="23"/>
  <c r="G158" i="23"/>
  <c r="H158" i="23"/>
  <c r="I158" i="23"/>
  <c r="J158" i="23"/>
  <c r="K158" i="23"/>
  <c r="L158" i="23"/>
  <c r="M158" i="23"/>
  <c r="N158" i="23"/>
  <c r="O158" i="23"/>
  <c r="P158" i="23"/>
  <c r="Q158" i="23"/>
  <c r="R158" i="23"/>
  <c r="S158" i="23"/>
  <c r="T158" i="23"/>
  <c r="U158" i="23"/>
  <c r="V158" i="23"/>
  <c r="W158" i="23"/>
  <c r="X158" i="23"/>
  <c r="Y158" i="23"/>
  <c r="Z158" i="23"/>
  <c r="AA158" i="23"/>
  <c r="AB158" i="23"/>
  <c r="AC158" i="23"/>
  <c r="AD158" i="23"/>
  <c r="AE158" i="23"/>
  <c r="AF158" i="23"/>
  <c r="AG158" i="23"/>
  <c r="AH158" i="23"/>
  <c r="AI158" i="23"/>
  <c r="AJ158" i="23"/>
  <c r="AK158" i="23"/>
  <c r="AL158" i="23"/>
  <c r="AM158" i="23"/>
  <c r="AN158" i="23"/>
  <c r="AO158" i="23"/>
  <c r="AP158" i="23"/>
  <c r="AQ158" i="23"/>
  <c r="AR158" i="23"/>
  <c r="AS158" i="23"/>
  <c r="AT158" i="23"/>
  <c r="AU158" i="23"/>
  <c r="AV158" i="23"/>
  <c r="AW158" i="23"/>
  <c r="AX158" i="23"/>
  <c r="AY158" i="23"/>
  <c r="AZ158" i="23"/>
  <c r="BA158" i="23"/>
  <c r="BB158" i="23"/>
  <c r="BC158" i="23"/>
  <c r="BD158" i="23"/>
  <c r="BE158" i="23"/>
  <c r="BG158" i="23"/>
  <c r="BH158" i="23"/>
  <c r="BI158" i="23"/>
  <c r="F154" i="23"/>
  <c r="D6" i="79" s="1"/>
  <c r="G154" i="23"/>
  <c r="D7" i="79" s="1"/>
  <c r="H154" i="23"/>
  <c r="D8" i="79" s="1"/>
  <c r="I154" i="23"/>
  <c r="D9" i="79" s="1"/>
  <c r="J154" i="23"/>
  <c r="D10" i="79" s="1"/>
  <c r="K154" i="23"/>
  <c r="D11" i="79" s="1"/>
  <c r="L154" i="23"/>
  <c r="D12" i="79" s="1"/>
  <c r="M154" i="23"/>
  <c r="D13" i="79" s="1"/>
  <c r="N154" i="23"/>
  <c r="D14" i="79" s="1"/>
  <c r="O154" i="23"/>
  <c r="D15" i="79" s="1"/>
  <c r="P154" i="23"/>
  <c r="D16" i="79" s="1"/>
  <c r="Q154" i="23"/>
  <c r="D17" i="79" s="1"/>
  <c r="R154" i="23"/>
  <c r="D18" i="79" s="1"/>
  <c r="S154" i="23"/>
  <c r="D19" i="79" s="1"/>
  <c r="T154" i="23"/>
  <c r="D20" i="79" s="1"/>
  <c r="U154" i="23"/>
  <c r="D21" i="79" s="1"/>
  <c r="V154" i="23"/>
  <c r="D22" i="79" s="1"/>
  <c r="W154" i="23"/>
  <c r="D23" i="79" s="1"/>
  <c r="X154" i="23"/>
  <c r="D24" i="79" s="1"/>
  <c r="Y154" i="23"/>
  <c r="D25" i="79" s="1"/>
  <c r="Z154" i="23"/>
  <c r="D26" i="79" s="1"/>
  <c r="AA154" i="23"/>
  <c r="D27" i="79" s="1"/>
  <c r="AB154" i="23"/>
  <c r="D28" i="79" s="1"/>
  <c r="AC154" i="23"/>
  <c r="D29" i="79" s="1"/>
  <c r="AD154" i="23"/>
  <c r="D30" i="79" s="1"/>
  <c r="AE154" i="23"/>
  <c r="D31" i="79" s="1"/>
  <c r="AF154" i="23"/>
  <c r="D32" i="79" s="1"/>
  <c r="AG154" i="23"/>
  <c r="D33" i="79" s="1"/>
  <c r="AH154" i="23"/>
  <c r="D34" i="79" s="1"/>
  <c r="AI154" i="23"/>
  <c r="D35" i="79" s="1"/>
  <c r="AJ154" i="23"/>
  <c r="D36" i="79" s="1"/>
  <c r="AK154" i="23"/>
  <c r="D37" i="79" s="1"/>
  <c r="AL154" i="23"/>
  <c r="AM154" i="23"/>
  <c r="D39" i="79" s="1"/>
  <c r="AN154" i="23"/>
  <c r="D40" i="79" s="1"/>
  <c r="AO154" i="23"/>
  <c r="D41" i="79" s="1"/>
  <c r="AP154" i="23"/>
  <c r="D42" i="79" s="1"/>
  <c r="AQ154" i="23"/>
  <c r="D43" i="79" s="1"/>
  <c r="AR154" i="23"/>
  <c r="D44" i="79" s="1"/>
  <c r="AS154" i="23"/>
  <c r="D45" i="79" s="1"/>
  <c r="AT154" i="23"/>
  <c r="D46" i="79" s="1"/>
  <c r="AU154" i="23"/>
  <c r="D47" i="79" s="1"/>
  <c r="AV154" i="23"/>
  <c r="D48" i="79" s="1"/>
  <c r="AW154" i="23"/>
  <c r="D49" i="79" s="1"/>
  <c r="AX154" i="23"/>
  <c r="D50" i="79" s="1"/>
  <c r="AY154" i="23"/>
  <c r="D51" i="79" s="1"/>
  <c r="AZ154" i="23"/>
  <c r="BA154" i="23"/>
  <c r="D53" i="79" s="1"/>
  <c r="BB154" i="23"/>
  <c r="D54" i="79" s="1"/>
  <c r="BC154" i="23"/>
  <c r="D55" i="79" s="1"/>
  <c r="BD154" i="23"/>
  <c r="D56" i="79" s="1"/>
  <c r="BE154" i="23"/>
  <c r="D57" i="79" s="1"/>
  <c r="BG154" i="23"/>
  <c r="BH154" i="23"/>
  <c r="BI154" i="23"/>
  <c r="F141" i="23"/>
  <c r="G141" i="23"/>
  <c r="H141" i="23"/>
  <c r="I141" i="23"/>
  <c r="J141" i="23"/>
  <c r="K141" i="23"/>
  <c r="L141" i="23"/>
  <c r="M141" i="23"/>
  <c r="N141" i="23"/>
  <c r="O141" i="23"/>
  <c r="P141" i="23"/>
  <c r="Q141" i="23"/>
  <c r="R141" i="23"/>
  <c r="S141" i="23"/>
  <c r="T141" i="23"/>
  <c r="U141" i="23"/>
  <c r="V141" i="23"/>
  <c r="W141" i="23"/>
  <c r="X141" i="23"/>
  <c r="Y141" i="23"/>
  <c r="Z141" i="23"/>
  <c r="AA141" i="23"/>
  <c r="AB141" i="23"/>
  <c r="AC141" i="23"/>
  <c r="AD141" i="23"/>
  <c r="AE141" i="23"/>
  <c r="AF141" i="23"/>
  <c r="AG141" i="23"/>
  <c r="AH141" i="23"/>
  <c r="AI141" i="23"/>
  <c r="AJ141" i="23"/>
  <c r="AK141" i="23"/>
  <c r="AL141" i="23"/>
  <c r="AM141" i="23"/>
  <c r="AN141" i="23"/>
  <c r="AO141" i="23"/>
  <c r="AP141" i="23"/>
  <c r="AQ141" i="23"/>
  <c r="AR141" i="23"/>
  <c r="AS141" i="23"/>
  <c r="AT141" i="23"/>
  <c r="AU141" i="23"/>
  <c r="AV141" i="23"/>
  <c r="AW141" i="23"/>
  <c r="AX141" i="23"/>
  <c r="AY141" i="23"/>
  <c r="AZ141" i="23"/>
  <c r="BA141" i="23"/>
  <c r="BB141" i="23"/>
  <c r="BC141" i="23"/>
  <c r="BD141" i="23"/>
  <c r="BE141" i="23"/>
  <c r="BG141" i="23"/>
  <c r="BH141" i="23"/>
  <c r="BI141" i="23"/>
  <c r="F132" i="23"/>
  <c r="G132" i="23"/>
  <c r="H132" i="23"/>
  <c r="I132" i="23"/>
  <c r="J132" i="23"/>
  <c r="K132" i="23"/>
  <c r="L132" i="23"/>
  <c r="M132" i="23"/>
  <c r="N132" i="23"/>
  <c r="O132" i="23"/>
  <c r="P132" i="23"/>
  <c r="Q132" i="23"/>
  <c r="R132" i="23"/>
  <c r="S132" i="23"/>
  <c r="T132" i="23"/>
  <c r="U132" i="23"/>
  <c r="V132" i="23"/>
  <c r="W132" i="23"/>
  <c r="X132" i="23"/>
  <c r="Y132" i="23"/>
  <c r="Z132" i="23"/>
  <c r="AA132" i="23"/>
  <c r="AB132" i="23"/>
  <c r="AC132" i="23"/>
  <c r="AD132" i="23"/>
  <c r="AE132" i="23"/>
  <c r="AF132" i="23"/>
  <c r="AG132" i="23"/>
  <c r="AH132" i="23"/>
  <c r="AI132" i="23"/>
  <c r="AJ132" i="23"/>
  <c r="AK132" i="23"/>
  <c r="AL132" i="23"/>
  <c r="AM132" i="23"/>
  <c r="AN132" i="23"/>
  <c r="AO132" i="23"/>
  <c r="AP132" i="23"/>
  <c r="AQ132" i="23"/>
  <c r="AR132" i="23"/>
  <c r="AS132" i="23"/>
  <c r="AT132" i="23"/>
  <c r="AU132" i="23"/>
  <c r="AV132" i="23"/>
  <c r="AW132" i="23"/>
  <c r="AX132" i="23"/>
  <c r="AY132" i="23"/>
  <c r="AZ132" i="23"/>
  <c r="BA132" i="23"/>
  <c r="BB132" i="23"/>
  <c r="BC132" i="23"/>
  <c r="BD132" i="23"/>
  <c r="BE132" i="23"/>
  <c r="BG132" i="23"/>
  <c r="BH132" i="23"/>
  <c r="BI132" i="23"/>
  <c r="F129" i="23"/>
  <c r="G129" i="23"/>
  <c r="H129" i="23"/>
  <c r="I129" i="23"/>
  <c r="J129" i="23"/>
  <c r="K129" i="23"/>
  <c r="L129" i="23"/>
  <c r="M129" i="23"/>
  <c r="N129" i="23"/>
  <c r="O129" i="23"/>
  <c r="P129" i="23"/>
  <c r="Q129" i="23"/>
  <c r="R129" i="23"/>
  <c r="S129" i="23"/>
  <c r="T129" i="23"/>
  <c r="U129" i="23"/>
  <c r="V129" i="23"/>
  <c r="W129" i="23"/>
  <c r="X129" i="23"/>
  <c r="Y129" i="23"/>
  <c r="Z129" i="23"/>
  <c r="AA129" i="23"/>
  <c r="AB129" i="23"/>
  <c r="AC129" i="23"/>
  <c r="AD129" i="23"/>
  <c r="AE129" i="23"/>
  <c r="AF129" i="23"/>
  <c r="AG129" i="23"/>
  <c r="AH129" i="23"/>
  <c r="AI129" i="23"/>
  <c r="AJ129" i="23"/>
  <c r="AK129" i="23"/>
  <c r="AL129" i="23"/>
  <c r="AM129" i="23"/>
  <c r="AN129" i="23"/>
  <c r="AO129" i="23"/>
  <c r="AP129" i="23"/>
  <c r="AQ129" i="23"/>
  <c r="AR129" i="23"/>
  <c r="AS129" i="23"/>
  <c r="AT129" i="23"/>
  <c r="AU129" i="23"/>
  <c r="AV129" i="23"/>
  <c r="AW129" i="23"/>
  <c r="AX129" i="23"/>
  <c r="AY129" i="23"/>
  <c r="AZ129" i="23"/>
  <c r="BA129" i="23"/>
  <c r="BB129" i="23"/>
  <c r="BC129" i="23"/>
  <c r="BD129" i="23"/>
  <c r="BE129" i="23"/>
  <c r="BG129" i="23"/>
  <c r="BH129" i="23"/>
  <c r="BI129" i="23"/>
  <c r="F122" i="23"/>
  <c r="G122" i="23"/>
  <c r="H122" i="23"/>
  <c r="I122" i="23"/>
  <c r="J122" i="23"/>
  <c r="K122" i="23"/>
  <c r="L122" i="23"/>
  <c r="M122" i="23"/>
  <c r="N122" i="23"/>
  <c r="O122" i="23"/>
  <c r="P122" i="23"/>
  <c r="Q122" i="23"/>
  <c r="R122" i="23"/>
  <c r="S122" i="23"/>
  <c r="T122" i="23"/>
  <c r="U122" i="23"/>
  <c r="V122" i="23"/>
  <c r="W122" i="23"/>
  <c r="X122" i="23"/>
  <c r="Y122" i="23"/>
  <c r="Z122" i="23"/>
  <c r="AA122" i="23"/>
  <c r="AB122" i="23"/>
  <c r="AC122" i="23"/>
  <c r="AD122" i="23"/>
  <c r="AE122" i="23"/>
  <c r="AF122" i="23"/>
  <c r="AG122" i="23"/>
  <c r="AH122" i="23"/>
  <c r="AI122" i="23"/>
  <c r="AJ122" i="23"/>
  <c r="AK122" i="23"/>
  <c r="AL122" i="23"/>
  <c r="AM122" i="23"/>
  <c r="AN122" i="23"/>
  <c r="AO122" i="23"/>
  <c r="AP122" i="23"/>
  <c r="AQ122" i="23"/>
  <c r="AR122" i="23"/>
  <c r="AS122" i="23"/>
  <c r="AT122" i="23"/>
  <c r="AU122" i="23"/>
  <c r="AV122" i="23"/>
  <c r="AW122" i="23"/>
  <c r="AX122" i="23"/>
  <c r="AY122" i="23"/>
  <c r="AZ122" i="23"/>
  <c r="BA122" i="23"/>
  <c r="BB122" i="23"/>
  <c r="BC122" i="23"/>
  <c r="BD122" i="23"/>
  <c r="BE122" i="23"/>
  <c r="BG122" i="23"/>
  <c r="BH122" i="23"/>
  <c r="BI122" i="23"/>
  <c r="F118" i="23"/>
  <c r="G118" i="23"/>
  <c r="H118" i="23"/>
  <c r="I118" i="23"/>
  <c r="J118" i="23"/>
  <c r="K118" i="23"/>
  <c r="L118" i="23"/>
  <c r="M118" i="23"/>
  <c r="N118" i="23"/>
  <c r="O118" i="23"/>
  <c r="P118" i="23"/>
  <c r="Q118" i="23"/>
  <c r="R118" i="23"/>
  <c r="S118" i="23"/>
  <c r="T118" i="23"/>
  <c r="U118" i="23"/>
  <c r="V118" i="23"/>
  <c r="W118" i="23"/>
  <c r="X118" i="23"/>
  <c r="Y118" i="23"/>
  <c r="Z118" i="23"/>
  <c r="AA118" i="23"/>
  <c r="AB118" i="23"/>
  <c r="AC118" i="23"/>
  <c r="AD118" i="23"/>
  <c r="AE118" i="23"/>
  <c r="AF118" i="23"/>
  <c r="AG118" i="23"/>
  <c r="AH118" i="23"/>
  <c r="AI118" i="23"/>
  <c r="AJ118" i="23"/>
  <c r="AK118" i="23"/>
  <c r="AL118" i="23"/>
  <c r="AM118" i="23"/>
  <c r="AN118" i="23"/>
  <c r="AO118" i="23"/>
  <c r="AP118" i="23"/>
  <c r="AQ118" i="23"/>
  <c r="AR118" i="23"/>
  <c r="AS118" i="23"/>
  <c r="AT118" i="23"/>
  <c r="AU118" i="23"/>
  <c r="AV118" i="23"/>
  <c r="AW118" i="23"/>
  <c r="AX118" i="23"/>
  <c r="AY118" i="23"/>
  <c r="AZ118" i="23"/>
  <c r="BA118" i="23"/>
  <c r="BB118" i="23"/>
  <c r="BC118" i="23"/>
  <c r="BD118" i="23"/>
  <c r="BE118" i="23"/>
  <c r="BG118" i="23"/>
  <c r="BH118" i="23"/>
  <c r="BI118" i="23"/>
  <c r="F106" i="23"/>
  <c r="G106" i="23"/>
  <c r="H106" i="23"/>
  <c r="I106" i="23"/>
  <c r="J106" i="23"/>
  <c r="K106" i="23"/>
  <c r="L106" i="23"/>
  <c r="M106" i="23"/>
  <c r="N106" i="23"/>
  <c r="O106" i="23"/>
  <c r="P106" i="23"/>
  <c r="Q106" i="23"/>
  <c r="R106" i="23"/>
  <c r="S106" i="23"/>
  <c r="T106" i="23"/>
  <c r="U106" i="23"/>
  <c r="V106" i="23"/>
  <c r="W106" i="23"/>
  <c r="X106" i="23"/>
  <c r="Y106" i="23"/>
  <c r="Z106" i="23"/>
  <c r="AA106" i="23"/>
  <c r="AB106" i="23"/>
  <c r="AC106" i="23"/>
  <c r="AD106" i="23"/>
  <c r="AE106" i="23"/>
  <c r="AF106" i="23"/>
  <c r="AG106" i="23"/>
  <c r="AH106" i="23"/>
  <c r="AI106" i="23"/>
  <c r="AJ106" i="23"/>
  <c r="AK106" i="23"/>
  <c r="AL106" i="23"/>
  <c r="AM106" i="23"/>
  <c r="AN106" i="23"/>
  <c r="AO106" i="23"/>
  <c r="AP106" i="23"/>
  <c r="AQ106" i="23"/>
  <c r="AR106" i="23"/>
  <c r="AS106" i="23"/>
  <c r="AT106" i="23"/>
  <c r="AU106" i="23"/>
  <c r="AV106" i="23"/>
  <c r="AW106" i="23"/>
  <c r="AX106" i="23"/>
  <c r="AY106" i="23"/>
  <c r="AZ106" i="23"/>
  <c r="BA106" i="23"/>
  <c r="BB106" i="23"/>
  <c r="BC106" i="23"/>
  <c r="BD106" i="23"/>
  <c r="BE106" i="23"/>
  <c r="BG106" i="23"/>
  <c r="BH106" i="23"/>
  <c r="BI106" i="23"/>
  <c r="F100" i="23"/>
  <c r="G100" i="23"/>
  <c r="H100" i="23"/>
  <c r="I100" i="23"/>
  <c r="J100" i="23"/>
  <c r="K100" i="23"/>
  <c r="L100" i="23"/>
  <c r="M100" i="23"/>
  <c r="N100" i="23"/>
  <c r="O100" i="23"/>
  <c r="P100" i="23"/>
  <c r="Q100" i="23"/>
  <c r="R100" i="23"/>
  <c r="S100" i="23"/>
  <c r="T100" i="23"/>
  <c r="U100" i="23"/>
  <c r="V100" i="23"/>
  <c r="W100" i="23"/>
  <c r="X100" i="23"/>
  <c r="Y100" i="23"/>
  <c r="Z100" i="23"/>
  <c r="AA100" i="23"/>
  <c r="AB100" i="23"/>
  <c r="AC100" i="23"/>
  <c r="AD100" i="23"/>
  <c r="AE100" i="23"/>
  <c r="AF100" i="23"/>
  <c r="AG100" i="23"/>
  <c r="AH100" i="23"/>
  <c r="AI100" i="23"/>
  <c r="AJ100" i="23"/>
  <c r="AK100" i="23"/>
  <c r="AL100" i="23"/>
  <c r="AM100" i="23"/>
  <c r="AN100" i="23"/>
  <c r="AO100" i="23"/>
  <c r="AP100" i="23"/>
  <c r="AQ100" i="23"/>
  <c r="AR100" i="23"/>
  <c r="AS100" i="23"/>
  <c r="AT100" i="23"/>
  <c r="AU100" i="23"/>
  <c r="AV100" i="23"/>
  <c r="AW100" i="23"/>
  <c r="AX100" i="23"/>
  <c r="AY100" i="23"/>
  <c r="AZ100" i="23"/>
  <c r="BA100" i="23"/>
  <c r="BB100" i="23"/>
  <c r="BC100" i="23"/>
  <c r="BD100" i="23"/>
  <c r="BE100" i="23"/>
  <c r="BG100" i="23"/>
  <c r="BH100" i="23"/>
  <c r="BI100" i="23"/>
  <c r="F89" i="23"/>
  <c r="G89" i="23"/>
  <c r="H89" i="23"/>
  <c r="I89" i="23"/>
  <c r="J89" i="23"/>
  <c r="K89" i="23"/>
  <c r="L89" i="23"/>
  <c r="M89" i="23"/>
  <c r="N89" i="23"/>
  <c r="O89" i="23"/>
  <c r="P89" i="23"/>
  <c r="Q89" i="23"/>
  <c r="R89" i="23"/>
  <c r="S89" i="23"/>
  <c r="T89" i="23"/>
  <c r="U89" i="23"/>
  <c r="V89" i="23"/>
  <c r="W89" i="23"/>
  <c r="X89" i="23"/>
  <c r="Y89" i="23"/>
  <c r="Z89" i="23"/>
  <c r="AA89" i="23"/>
  <c r="AB89" i="23"/>
  <c r="AC89" i="23"/>
  <c r="AD89" i="23"/>
  <c r="AE89" i="23"/>
  <c r="AF89" i="23"/>
  <c r="AG89" i="23"/>
  <c r="AH89" i="23"/>
  <c r="AI89" i="23"/>
  <c r="AJ89" i="23"/>
  <c r="AK89" i="23"/>
  <c r="AL89" i="23"/>
  <c r="AM89" i="23"/>
  <c r="AN89" i="23"/>
  <c r="AO89" i="23"/>
  <c r="AP89" i="23"/>
  <c r="AQ89" i="23"/>
  <c r="AR89" i="23"/>
  <c r="AS89" i="23"/>
  <c r="AT89" i="23"/>
  <c r="AU89" i="23"/>
  <c r="AV89" i="23"/>
  <c r="AW89" i="23"/>
  <c r="AX89" i="23"/>
  <c r="AY89" i="23"/>
  <c r="AZ89" i="23"/>
  <c r="BA89" i="23"/>
  <c r="BB89" i="23"/>
  <c r="BC89" i="23"/>
  <c r="BD89" i="23"/>
  <c r="BE89" i="23"/>
  <c r="BG89" i="23"/>
  <c r="BH89" i="23"/>
  <c r="BI89" i="23"/>
  <c r="F83" i="23"/>
  <c r="G83" i="23"/>
  <c r="H83" i="23"/>
  <c r="I83" i="23"/>
  <c r="J83" i="23"/>
  <c r="K83" i="23"/>
  <c r="L83" i="23"/>
  <c r="M83" i="23"/>
  <c r="N83" i="23"/>
  <c r="O83" i="23"/>
  <c r="P83" i="23"/>
  <c r="Q83" i="23"/>
  <c r="R83" i="23"/>
  <c r="S83" i="23"/>
  <c r="T83" i="23"/>
  <c r="U83" i="23"/>
  <c r="V83" i="23"/>
  <c r="W83" i="23"/>
  <c r="X83" i="23"/>
  <c r="Y83" i="23"/>
  <c r="Z83" i="23"/>
  <c r="AA83" i="23"/>
  <c r="AB83" i="23"/>
  <c r="AC83" i="23"/>
  <c r="AD83" i="23"/>
  <c r="AE83" i="23"/>
  <c r="AF83" i="23"/>
  <c r="AG83" i="23"/>
  <c r="AH83" i="23"/>
  <c r="AI83" i="23"/>
  <c r="AJ83" i="23"/>
  <c r="AK83" i="23"/>
  <c r="AL83" i="23"/>
  <c r="AM83" i="23"/>
  <c r="AN83" i="23"/>
  <c r="AO83" i="23"/>
  <c r="AP83" i="23"/>
  <c r="AQ83" i="23"/>
  <c r="AR83" i="23"/>
  <c r="AS83" i="23"/>
  <c r="AT83" i="23"/>
  <c r="AU83" i="23"/>
  <c r="AV83" i="23"/>
  <c r="AW83" i="23"/>
  <c r="AX83" i="23"/>
  <c r="AY83" i="23"/>
  <c r="AZ83" i="23"/>
  <c r="BA83" i="23"/>
  <c r="BB83" i="23"/>
  <c r="BC83" i="23"/>
  <c r="BD83" i="23"/>
  <c r="BE83" i="23"/>
  <c r="BG83" i="23"/>
  <c r="BH83" i="23"/>
  <c r="BI83" i="23"/>
  <c r="F77" i="23"/>
  <c r="G77" i="23"/>
  <c r="H77" i="23"/>
  <c r="I77" i="23"/>
  <c r="J77" i="23"/>
  <c r="K77" i="23"/>
  <c r="L77" i="23"/>
  <c r="M77" i="23"/>
  <c r="N77" i="23"/>
  <c r="O77" i="23"/>
  <c r="P77" i="23"/>
  <c r="Q77" i="23"/>
  <c r="R77" i="23"/>
  <c r="S77" i="23"/>
  <c r="T77" i="23"/>
  <c r="U77" i="23"/>
  <c r="V77" i="23"/>
  <c r="W77" i="23"/>
  <c r="X77" i="23"/>
  <c r="Y77" i="23"/>
  <c r="Z77" i="23"/>
  <c r="AA77" i="23"/>
  <c r="AB77" i="23"/>
  <c r="AC77" i="23"/>
  <c r="AD77" i="23"/>
  <c r="AE77" i="23"/>
  <c r="AF77" i="23"/>
  <c r="AG77" i="23"/>
  <c r="AH77" i="23"/>
  <c r="AI77" i="23"/>
  <c r="AJ77" i="23"/>
  <c r="AK77" i="23"/>
  <c r="AL77" i="23"/>
  <c r="AM77" i="23"/>
  <c r="AN77" i="23"/>
  <c r="AO77" i="23"/>
  <c r="AP77" i="23"/>
  <c r="AQ77" i="23"/>
  <c r="AR77" i="23"/>
  <c r="AS77" i="23"/>
  <c r="AT77" i="23"/>
  <c r="AU77" i="23"/>
  <c r="AV77" i="23"/>
  <c r="AW77" i="23"/>
  <c r="AX77" i="23"/>
  <c r="AY77" i="23"/>
  <c r="BA77" i="23"/>
  <c r="BB77" i="23"/>
  <c r="BC77" i="23"/>
  <c r="BD77" i="23"/>
  <c r="BE77" i="23"/>
  <c r="BG77" i="23"/>
  <c r="BH77" i="23"/>
  <c r="BI77" i="23"/>
  <c r="F65" i="23"/>
  <c r="G65" i="23"/>
  <c r="H65" i="23"/>
  <c r="I65" i="23"/>
  <c r="J65" i="23"/>
  <c r="K65" i="23"/>
  <c r="L65" i="23"/>
  <c r="M65" i="23"/>
  <c r="N65" i="23"/>
  <c r="O65" i="23"/>
  <c r="P65" i="23"/>
  <c r="Q65" i="23"/>
  <c r="R65" i="23"/>
  <c r="S65" i="23"/>
  <c r="T65" i="23"/>
  <c r="U65" i="23"/>
  <c r="V65" i="23"/>
  <c r="W65" i="23"/>
  <c r="X65" i="23"/>
  <c r="Y65" i="23"/>
  <c r="Z65" i="23"/>
  <c r="AA65" i="23"/>
  <c r="AB65" i="23"/>
  <c r="AC65" i="23"/>
  <c r="AD65" i="23"/>
  <c r="AE65" i="23"/>
  <c r="AF65" i="23"/>
  <c r="AG65" i="23"/>
  <c r="AH65" i="23"/>
  <c r="AI65" i="23"/>
  <c r="AJ65" i="23"/>
  <c r="AK65" i="23"/>
  <c r="AL65" i="23"/>
  <c r="AM65" i="23"/>
  <c r="AN65" i="23"/>
  <c r="AO65" i="23"/>
  <c r="AP65" i="23"/>
  <c r="AQ65" i="23"/>
  <c r="AR65" i="23"/>
  <c r="AS65" i="23"/>
  <c r="AT65" i="23"/>
  <c r="AU65" i="23"/>
  <c r="AV65" i="23"/>
  <c r="AW65" i="23"/>
  <c r="AX65" i="23"/>
  <c r="AY65" i="23"/>
  <c r="AZ65" i="23"/>
  <c r="BA65" i="23"/>
  <c r="BB65" i="23"/>
  <c r="BC65" i="23"/>
  <c r="BD65" i="23"/>
  <c r="BE65" i="23"/>
  <c r="BG65" i="23"/>
  <c r="BH65" i="23"/>
  <c r="BI65" i="23"/>
  <c r="F57" i="23"/>
  <c r="G57" i="23"/>
  <c r="H57" i="23"/>
  <c r="I57" i="23"/>
  <c r="J57" i="23"/>
  <c r="K57" i="23"/>
  <c r="L57" i="23"/>
  <c r="M57" i="23"/>
  <c r="N57" i="23"/>
  <c r="O57" i="23"/>
  <c r="P57" i="23"/>
  <c r="Q57" i="23"/>
  <c r="R57" i="23"/>
  <c r="S57" i="23"/>
  <c r="T57" i="23"/>
  <c r="U57" i="23"/>
  <c r="V57" i="23"/>
  <c r="W57" i="23"/>
  <c r="X57" i="23"/>
  <c r="Y57" i="23"/>
  <c r="Z57" i="23"/>
  <c r="AA57" i="23"/>
  <c r="AB57" i="23"/>
  <c r="AC57" i="23"/>
  <c r="AD57" i="23"/>
  <c r="AE57" i="23"/>
  <c r="AF57" i="23"/>
  <c r="AG57" i="23"/>
  <c r="AH57" i="23"/>
  <c r="AI57" i="23"/>
  <c r="AJ57" i="23"/>
  <c r="AK57" i="23"/>
  <c r="AL57" i="23"/>
  <c r="AM57" i="23"/>
  <c r="AN57" i="23"/>
  <c r="AO57" i="23"/>
  <c r="AP57" i="23"/>
  <c r="AQ57" i="23"/>
  <c r="AR57" i="23"/>
  <c r="AS57" i="23"/>
  <c r="AT57" i="23"/>
  <c r="AU57" i="23"/>
  <c r="AV57" i="23"/>
  <c r="AW57" i="23"/>
  <c r="AX57" i="23"/>
  <c r="AY57" i="23"/>
  <c r="AZ57" i="23"/>
  <c r="BA57" i="23"/>
  <c r="BB57" i="23"/>
  <c r="BC57" i="23"/>
  <c r="BD57" i="23"/>
  <c r="BE57" i="23"/>
  <c r="BG57" i="23"/>
  <c r="BH57" i="23"/>
  <c r="BI57" i="23"/>
  <c r="F54" i="23"/>
  <c r="G54" i="23"/>
  <c r="H54" i="23"/>
  <c r="I54" i="23"/>
  <c r="J54" i="23"/>
  <c r="K54" i="23"/>
  <c r="L54" i="23"/>
  <c r="M54" i="23"/>
  <c r="N54" i="23"/>
  <c r="O54" i="23"/>
  <c r="P54" i="23"/>
  <c r="Q54" i="23"/>
  <c r="R54" i="23"/>
  <c r="S54" i="23"/>
  <c r="T54" i="23"/>
  <c r="U54" i="23"/>
  <c r="V54" i="23"/>
  <c r="W54" i="23"/>
  <c r="X54" i="23"/>
  <c r="Y54" i="23"/>
  <c r="Z54" i="23"/>
  <c r="AA54" i="23"/>
  <c r="AB54" i="23"/>
  <c r="AC54" i="23"/>
  <c r="AD54" i="23"/>
  <c r="AE54" i="23"/>
  <c r="AF54" i="23"/>
  <c r="AG54" i="23"/>
  <c r="AH54" i="23"/>
  <c r="AI54" i="23"/>
  <c r="AJ54" i="23"/>
  <c r="AK54" i="23"/>
  <c r="AL54" i="23"/>
  <c r="AM54" i="23"/>
  <c r="AN54" i="23"/>
  <c r="AO54" i="23"/>
  <c r="AP54" i="23"/>
  <c r="AQ54" i="23"/>
  <c r="AR54" i="23"/>
  <c r="AS54" i="23"/>
  <c r="AT54" i="23"/>
  <c r="AU54" i="23"/>
  <c r="AV54" i="23"/>
  <c r="AW54" i="23"/>
  <c r="AX54" i="23"/>
  <c r="AY54" i="23"/>
  <c r="AZ54" i="23"/>
  <c r="BA54" i="23"/>
  <c r="BB54" i="23"/>
  <c r="BC54" i="23"/>
  <c r="BD54" i="23"/>
  <c r="BE54" i="23"/>
  <c r="BG54" i="23"/>
  <c r="BH54" i="23"/>
  <c r="BI54" i="23"/>
  <c r="F44" i="23"/>
  <c r="G44" i="23"/>
  <c r="H44" i="23"/>
  <c r="I44" i="23"/>
  <c r="J44" i="23"/>
  <c r="K44" i="23"/>
  <c r="L44" i="23"/>
  <c r="M44" i="23"/>
  <c r="N44" i="23"/>
  <c r="O44" i="23"/>
  <c r="P44" i="23"/>
  <c r="Q44" i="23"/>
  <c r="R44" i="23"/>
  <c r="S44" i="23"/>
  <c r="T44" i="23"/>
  <c r="U44" i="23"/>
  <c r="V44" i="23"/>
  <c r="W44" i="23"/>
  <c r="X44" i="23"/>
  <c r="Y44" i="23"/>
  <c r="Z44" i="23"/>
  <c r="AA44" i="23"/>
  <c r="AB44" i="23"/>
  <c r="AC44" i="23"/>
  <c r="AD44" i="23"/>
  <c r="AE44" i="23"/>
  <c r="AF44" i="23"/>
  <c r="AG44" i="23"/>
  <c r="AH44" i="23"/>
  <c r="AI44" i="23"/>
  <c r="AJ44" i="23"/>
  <c r="AK44" i="23"/>
  <c r="AL44" i="23"/>
  <c r="AM44" i="23"/>
  <c r="AN44" i="23"/>
  <c r="AO44" i="23"/>
  <c r="AP44" i="23"/>
  <c r="AQ44" i="23"/>
  <c r="AR44" i="23"/>
  <c r="AS44" i="23"/>
  <c r="AT44" i="23"/>
  <c r="AU44" i="23"/>
  <c r="AV44" i="23"/>
  <c r="AW44" i="23"/>
  <c r="AX44" i="23"/>
  <c r="AY44" i="23"/>
  <c r="AZ44" i="23"/>
  <c r="BA44" i="23"/>
  <c r="BB44" i="23"/>
  <c r="BC44" i="23"/>
  <c r="BD44" i="23"/>
  <c r="BE44" i="23"/>
  <c r="BG44" i="23"/>
  <c r="BH44" i="23"/>
  <c r="BI44" i="23"/>
  <c r="F40" i="23"/>
  <c r="G40" i="23"/>
  <c r="H40" i="23"/>
  <c r="I40" i="23"/>
  <c r="J40" i="23"/>
  <c r="K40" i="23"/>
  <c r="L40" i="23"/>
  <c r="M40" i="23"/>
  <c r="O40" i="23"/>
  <c r="P40" i="23"/>
  <c r="Q40" i="23"/>
  <c r="R40" i="23"/>
  <c r="S40" i="23"/>
  <c r="T40" i="23"/>
  <c r="U40" i="23"/>
  <c r="V40" i="23"/>
  <c r="W40" i="23"/>
  <c r="X40" i="23"/>
  <c r="Y40" i="23"/>
  <c r="Z40" i="23"/>
  <c r="AA40" i="23"/>
  <c r="AB40" i="23"/>
  <c r="AC40" i="23"/>
  <c r="AD40" i="23"/>
  <c r="AE40" i="23"/>
  <c r="AF40" i="23"/>
  <c r="AG40" i="23"/>
  <c r="AH40" i="23"/>
  <c r="AI40" i="23"/>
  <c r="AJ40" i="23"/>
  <c r="AK40" i="23"/>
  <c r="AL40" i="23"/>
  <c r="AM40" i="23"/>
  <c r="AN40" i="23"/>
  <c r="AO40" i="23"/>
  <c r="AP40" i="23"/>
  <c r="AQ40" i="23"/>
  <c r="AR40" i="23"/>
  <c r="AS40" i="23"/>
  <c r="AT40" i="23"/>
  <c r="AU40" i="23"/>
  <c r="AV40" i="23"/>
  <c r="AW40" i="23"/>
  <c r="AX40" i="23"/>
  <c r="AY40" i="23"/>
  <c r="AZ40" i="23"/>
  <c r="BA40" i="23"/>
  <c r="BB40" i="23"/>
  <c r="BC40" i="23"/>
  <c r="BD40" i="23"/>
  <c r="BE40" i="23"/>
  <c r="BG40" i="23"/>
  <c r="BH40" i="23"/>
  <c r="BI40" i="23"/>
  <c r="F32" i="23"/>
  <c r="G32" i="23"/>
  <c r="H32" i="23"/>
  <c r="I32" i="23"/>
  <c r="J32" i="23"/>
  <c r="K32" i="23"/>
  <c r="L32" i="23"/>
  <c r="M32" i="23"/>
  <c r="N32" i="23"/>
  <c r="O32" i="23"/>
  <c r="P32" i="23"/>
  <c r="Q32" i="23"/>
  <c r="R32" i="23"/>
  <c r="S32" i="23"/>
  <c r="T32" i="23"/>
  <c r="U32" i="23"/>
  <c r="V32" i="23"/>
  <c r="W32" i="23"/>
  <c r="X32" i="23"/>
  <c r="Y32" i="23"/>
  <c r="Z32" i="23"/>
  <c r="AA32" i="23"/>
  <c r="AB32" i="23"/>
  <c r="AC32" i="23"/>
  <c r="AD32" i="23"/>
  <c r="AE32" i="23"/>
  <c r="AF32" i="23"/>
  <c r="AG32" i="23"/>
  <c r="AH32" i="23"/>
  <c r="AI32" i="23"/>
  <c r="AJ32" i="23"/>
  <c r="AK32" i="23"/>
  <c r="AL32" i="23"/>
  <c r="AM32" i="23"/>
  <c r="AN32" i="23"/>
  <c r="AO32" i="23"/>
  <c r="AP32" i="23"/>
  <c r="AQ32" i="23"/>
  <c r="AR32" i="23"/>
  <c r="AS32" i="23"/>
  <c r="AT32" i="23"/>
  <c r="AU32" i="23"/>
  <c r="AV32" i="23"/>
  <c r="AW32" i="23"/>
  <c r="AX32" i="23"/>
  <c r="AY32" i="23"/>
  <c r="AZ32" i="23"/>
  <c r="BA32" i="23"/>
  <c r="BB32" i="23"/>
  <c r="BC32" i="23"/>
  <c r="BD32" i="23"/>
  <c r="BE32" i="23"/>
  <c r="BG32" i="23"/>
  <c r="BH32" i="23"/>
  <c r="BI32" i="23"/>
  <c r="F28" i="23"/>
  <c r="G28" i="23"/>
  <c r="H28" i="23"/>
  <c r="I28" i="23"/>
  <c r="J28" i="23"/>
  <c r="K28" i="23"/>
  <c r="L28" i="23"/>
  <c r="M28" i="23"/>
  <c r="N28" i="23"/>
  <c r="O28" i="23"/>
  <c r="P28" i="23"/>
  <c r="Q28" i="23"/>
  <c r="R28" i="23"/>
  <c r="S28" i="23"/>
  <c r="T28" i="23"/>
  <c r="U28" i="23"/>
  <c r="V28" i="23"/>
  <c r="W28" i="23"/>
  <c r="X28" i="23"/>
  <c r="Y28" i="23"/>
  <c r="Z28" i="23"/>
  <c r="AA28" i="23"/>
  <c r="AB28" i="23"/>
  <c r="AC28" i="23"/>
  <c r="AD28" i="23"/>
  <c r="AE28" i="23"/>
  <c r="AF28" i="23"/>
  <c r="AG28" i="23"/>
  <c r="AH28" i="23"/>
  <c r="AI28" i="23"/>
  <c r="AJ28" i="23"/>
  <c r="AK28" i="23"/>
  <c r="AL28" i="23"/>
  <c r="AM28" i="23"/>
  <c r="AN28" i="23"/>
  <c r="AO28" i="23"/>
  <c r="AP28" i="23"/>
  <c r="AQ28" i="23"/>
  <c r="AR28" i="23"/>
  <c r="AS28" i="23"/>
  <c r="AT28" i="23"/>
  <c r="AU28" i="23"/>
  <c r="AV28" i="23"/>
  <c r="AW28" i="23"/>
  <c r="AX28" i="23"/>
  <c r="AY28" i="23"/>
  <c r="AZ28" i="23"/>
  <c r="BA28" i="23"/>
  <c r="BB28" i="23"/>
  <c r="BC28" i="23"/>
  <c r="BD28" i="23"/>
  <c r="BE28" i="23"/>
  <c r="BG28" i="23"/>
  <c r="BH28" i="23"/>
  <c r="BI28" i="23"/>
  <c r="F16" i="23"/>
  <c r="G16" i="23"/>
  <c r="H16" i="23"/>
  <c r="I16" i="23"/>
  <c r="J16" i="23"/>
  <c r="K16" i="23"/>
  <c r="L16" i="23"/>
  <c r="M16" i="23"/>
  <c r="N16" i="23"/>
  <c r="O16" i="23"/>
  <c r="P16" i="23"/>
  <c r="Q16" i="23"/>
  <c r="R16" i="23"/>
  <c r="S16" i="23"/>
  <c r="T16" i="23"/>
  <c r="U16" i="23"/>
  <c r="V16" i="23"/>
  <c r="W16" i="23"/>
  <c r="X16" i="23"/>
  <c r="Y16" i="23"/>
  <c r="Z16" i="23"/>
  <c r="AA16" i="23"/>
  <c r="AB16" i="23"/>
  <c r="AC16" i="23"/>
  <c r="AD16" i="23"/>
  <c r="AE16" i="23"/>
  <c r="AF16" i="23"/>
  <c r="AG16" i="23"/>
  <c r="AH16" i="23"/>
  <c r="AI16" i="23"/>
  <c r="AJ16" i="23"/>
  <c r="AK16" i="23"/>
  <c r="AL16" i="23"/>
  <c r="AM16" i="23"/>
  <c r="AN16" i="23"/>
  <c r="AO16" i="23"/>
  <c r="AP16" i="23"/>
  <c r="AQ16" i="23"/>
  <c r="AR16" i="23"/>
  <c r="AS16" i="23"/>
  <c r="AT16" i="23"/>
  <c r="AU16" i="23"/>
  <c r="AV16" i="23"/>
  <c r="AW16" i="23"/>
  <c r="AX16" i="23"/>
  <c r="AY16" i="23"/>
  <c r="AZ16" i="23"/>
  <c r="BA16" i="23"/>
  <c r="BB16" i="23"/>
  <c r="BC16" i="23"/>
  <c r="BD16" i="23"/>
  <c r="BE16" i="23"/>
  <c r="BG16" i="23"/>
  <c r="BH16" i="23"/>
  <c r="BI16" i="23"/>
  <c r="R28" i="29" l="1"/>
  <c r="R40" i="29"/>
  <c r="AI118" i="29"/>
  <c r="BC118" i="29"/>
  <c r="K118" i="29"/>
  <c r="Z28" i="29"/>
  <c r="Z40" i="29"/>
  <c r="S118" i="29"/>
  <c r="AA118" i="29"/>
  <c r="E159" i="49"/>
  <c r="E158" i="49"/>
  <c r="E147" i="49"/>
  <c r="E145" i="49"/>
  <c r="E151" i="49"/>
  <c r="E152" i="49"/>
  <c r="E136" i="49"/>
  <c r="E139" i="49"/>
  <c r="E141" i="49"/>
  <c r="E137" i="49"/>
  <c r="E142" i="49"/>
  <c r="E130" i="49"/>
  <c r="E129" i="49"/>
  <c r="E123" i="49"/>
  <c r="E113" i="49"/>
  <c r="E117" i="49"/>
  <c r="E114" i="49"/>
  <c r="E111" i="49"/>
  <c r="E115" i="49"/>
  <c r="E119" i="49"/>
  <c r="E106" i="49"/>
  <c r="E107" i="49"/>
  <c r="E105" i="49"/>
  <c r="E94" i="49"/>
  <c r="E93" i="49"/>
  <c r="E97" i="49"/>
  <c r="E101" i="49"/>
  <c r="E98" i="49"/>
  <c r="E100" i="49"/>
  <c r="E95" i="49"/>
  <c r="E99" i="49"/>
  <c r="E87" i="49"/>
  <c r="E89" i="49"/>
  <c r="E84" i="49"/>
  <c r="E81" i="49"/>
  <c r="E83" i="49"/>
  <c r="E71" i="49"/>
  <c r="E69" i="49"/>
  <c r="E73" i="49"/>
  <c r="E74" i="49"/>
  <c r="E76" i="49"/>
  <c r="E75" i="49"/>
  <c r="E61" i="49"/>
  <c r="E65" i="49"/>
  <c r="E63" i="49"/>
  <c r="E58" i="49"/>
  <c r="E57" i="49" s="1"/>
  <c r="E49" i="49"/>
  <c r="E55" i="49"/>
  <c r="E53" i="49"/>
  <c r="E51" i="49"/>
  <c r="E45" i="49"/>
  <c r="E37" i="49"/>
  <c r="E41" i="49"/>
  <c r="E39" i="49"/>
  <c r="E33" i="49"/>
  <c r="E25" i="49"/>
  <c r="E23" i="49"/>
  <c r="E21" i="49"/>
  <c r="E29" i="49"/>
  <c r="E27" i="49"/>
  <c r="E15" i="49"/>
  <c r="E13" i="49"/>
  <c r="E11" i="49"/>
  <c r="E17" i="49"/>
  <c r="E14" i="49"/>
  <c r="E148" i="49"/>
  <c r="E126" i="49"/>
  <c r="E122" i="49"/>
  <c r="E112" i="49"/>
  <c r="E104" i="49"/>
  <c r="E82" i="49"/>
  <c r="E70" i="49"/>
  <c r="E52" i="49"/>
  <c r="E48" i="49"/>
  <c r="E28" i="49"/>
  <c r="E24" i="49"/>
  <c r="E20" i="49"/>
  <c r="E10" i="49"/>
  <c r="E88" i="49"/>
  <c r="E110" i="49"/>
  <c r="E118" i="49"/>
  <c r="E149" i="49"/>
  <c r="E12" i="49"/>
  <c r="E16" i="49"/>
  <c r="E22" i="49"/>
  <c r="E26" i="49"/>
  <c r="E32" i="49"/>
  <c r="E31" i="49" s="1"/>
  <c r="E38" i="49"/>
  <c r="E44" i="49"/>
  <c r="E50" i="49"/>
  <c r="E54" i="49"/>
  <c r="E62" i="49"/>
  <c r="E66" i="49"/>
  <c r="E72" i="49"/>
  <c r="E96" i="49"/>
  <c r="E116" i="49"/>
  <c r="E128" i="49"/>
  <c r="E138" i="49"/>
  <c r="E127" i="49"/>
  <c r="E133" i="49"/>
  <c r="E132" i="49" s="1"/>
  <c r="E140" i="49"/>
  <c r="E146" i="49"/>
  <c r="E150" i="49"/>
  <c r="BG170" i="23"/>
  <c r="BD170" i="23"/>
  <c r="AX170" i="23"/>
  <c r="AV170" i="23"/>
  <c r="AT170" i="23"/>
  <c r="AR170" i="23"/>
  <c r="AP170" i="23"/>
  <c r="AN170" i="23"/>
  <c r="AL170" i="23"/>
  <c r="AJ170" i="23"/>
  <c r="AH170" i="23"/>
  <c r="AF170" i="23"/>
  <c r="AD170" i="23"/>
  <c r="AB170" i="23"/>
  <c r="Z170" i="23"/>
  <c r="X170" i="23"/>
  <c r="V170" i="23"/>
  <c r="T170" i="23"/>
  <c r="R170" i="23"/>
  <c r="P170" i="23"/>
  <c r="N170" i="23"/>
  <c r="L170" i="23"/>
  <c r="J170" i="23"/>
  <c r="H170" i="23"/>
  <c r="F170" i="23"/>
  <c r="E90" i="49"/>
  <c r="E64" i="49"/>
  <c r="E36" i="49"/>
  <c r="E40" i="49"/>
  <c r="D61" i="79"/>
  <c r="D59" i="79"/>
  <c r="D52" i="79"/>
  <c r="D38" i="79"/>
  <c r="D60" i="79"/>
  <c r="M154" i="29"/>
  <c r="E13" i="79" s="1"/>
  <c r="BB170" i="23"/>
  <c r="BI170" i="23"/>
  <c r="AZ170" i="23"/>
  <c r="C15" i="74"/>
  <c r="C21" i="74"/>
  <c r="BC173" i="23"/>
  <c r="BA173" i="23"/>
  <c r="AY173" i="23"/>
  <c r="O173" i="23"/>
  <c r="E9" i="46"/>
  <c r="AM173" i="23"/>
  <c r="D78" i="27"/>
  <c r="E10" i="46"/>
  <c r="C59" i="25"/>
  <c r="E11" i="46"/>
  <c r="C65" i="25"/>
  <c r="C60" i="25"/>
  <c r="D80" i="27"/>
  <c r="D34" i="27"/>
  <c r="E12" i="46"/>
  <c r="C66" i="25"/>
  <c r="C8" i="26"/>
  <c r="D32" i="27"/>
  <c r="D79" i="27"/>
  <c r="D33" i="27"/>
  <c r="D56" i="27"/>
  <c r="C80" i="25"/>
  <c r="C34" i="25"/>
  <c r="C13" i="45"/>
  <c r="D57" i="27"/>
  <c r="C86" i="25"/>
  <c r="C40" i="25"/>
  <c r="C19" i="45"/>
  <c r="C81" i="25"/>
  <c r="C35" i="25"/>
  <c r="C14" i="45"/>
  <c r="C15" i="60"/>
  <c r="D58" i="27"/>
  <c r="C87" i="25"/>
  <c r="C41" i="25"/>
  <c r="C20" i="45"/>
  <c r="C21" i="60"/>
  <c r="S224" i="63"/>
  <c r="F227" i="64" s="1"/>
  <c r="BB173" i="23"/>
  <c r="AZ173" i="23"/>
  <c r="AX76" i="23"/>
  <c r="AX173" i="23"/>
  <c r="AV173" i="23"/>
  <c r="AT173" i="23"/>
  <c r="Z173" i="23"/>
  <c r="AL173" i="23"/>
  <c r="AS173" i="23"/>
  <c r="AH76" i="23"/>
  <c r="AH173" i="23"/>
  <c r="AI173" i="23"/>
  <c r="AF173" i="23"/>
  <c r="AE173" i="23"/>
  <c r="AC173" i="23"/>
  <c r="AA173" i="23"/>
  <c r="Y173" i="23"/>
  <c r="X173" i="23"/>
  <c r="AR173" i="23"/>
  <c r="AQ173" i="23"/>
  <c r="AP76" i="23"/>
  <c r="AP173" i="23"/>
  <c r="AW173" i="23"/>
  <c r="N173" i="23"/>
  <c r="T173" i="23"/>
  <c r="U173" i="23"/>
  <c r="AO173" i="23"/>
  <c r="AJ173" i="23"/>
  <c r="AB173" i="23"/>
  <c r="V173" i="23"/>
  <c r="AG173" i="23"/>
  <c r="J173" i="23"/>
  <c r="BE173" i="23"/>
  <c r="AN173" i="23"/>
  <c r="AU173" i="23"/>
  <c r="S173" i="23"/>
  <c r="R76" i="23"/>
  <c r="R173" i="23"/>
  <c r="W173" i="23"/>
  <c r="AD173" i="23"/>
  <c r="BH173" i="23"/>
  <c r="Q173" i="23"/>
  <c r="C10" i="44"/>
  <c r="AK173" i="23"/>
  <c r="P173" i="23"/>
  <c r="H173" i="23"/>
  <c r="K173" i="23"/>
  <c r="G173" i="23"/>
  <c r="I173" i="23"/>
  <c r="I76" i="23"/>
  <c r="BI173" i="23"/>
  <c r="BD173" i="23"/>
  <c r="L173" i="23"/>
  <c r="F173" i="23"/>
  <c r="M173" i="23"/>
  <c r="C9" i="26"/>
  <c r="BG221" i="24"/>
  <c r="BG224" i="24" s="1"/>
  <c r="BG173" i="23"/>
  <c r="D13" i="43"/>
  <c r="D16" i="43"/>
  <c r="O118" i="29"/>
  <c r="Z76" i="23"/>
  <c r="BI174" i="29"/>
  <c r="BI168" i="29"/>
  <c r="BI176" i="29"/>
  <c r="BI172" i="29"/>
  <c r="BI170" i="29"/>
  <c r="BI166" i="29"/>
  <c r="BH177" i="29"/>
  <c r="BH173" i="29"/>
  <c r="BH174" i="29"/>
  <c r="BH170" i="29"/>
  <c r="BH172" i="29"/>
  <c r="BH168" i="29"/>
  <c r="BH166" i="29"/>
  <c r="BI175" i="29"/>
  <c r="BI169" i="29"/>
  <c r="BI177" i="29"/>
  <c r="BI173" i="29"/>
  <c r="BI171" i="29"/>
  <c r="BI167" i="29"/>
  <c r="BI165" i="29"/>
  <c r="BH176" i="29"/>
  <c r="BH175" i="29"/>
  <c r="BH171" i="29"/>
  <c r="BH165" i="29"/>
  <c r="BH169" i="29"/>
  <c r="BH167" i="29"/>
  <c r="BF174" i="29"/>
  <c r="BG174" i="29"/>
  <c r="BF168" i="29"/>
  <c r="BG168" i="29"/>
  <c r="BF176" i="29"/>
  <c r="BG176" i="29"/>
  <c r="BF172" i="29"/>
  <c r="BG172" i="29"/>
  <c r="BF170" i="29"/>
  <c r="BG170" i="29"/>
  <c r="BF166" i="29"/>
  <c r="BG166" i="29"/>
  <c r="BF175" i="29"/>
  <c r="BG175" i="29"/>
  <c r="BF169" i="29"/>
  <c r="BG169" i="29"/>
  <c r="BG177" i="29"/>
  <c r="BF177" i="29"/>
  <c r="BG173" i="29"/>
  <c r="BF173" i="29"/>
  <c r="BG171" i="29"/>
  <c r="BF171" i="29"/>
  <c r="BF167" i="29"/>
  <c r="BG167" i="29"/>
  <c r="BG165" i="29"/>
  <c r="BF165" i="29"/>
  <c r="AR28" i="29"/>
  <c r="AR40" i="29"/>
  <c r="AT28" i="29"/>
  <c r="AT40" i="29"/>
  <c r="AP28" i="29"/>
  <c r="AP40" i="29"/>
  <c r="AF28" i="29"/>
  <c r="AF40" i="29"/>
  <c r="AB28" i="29"/>
  <c r="AB40" i="29"/>
  <c r="V28" i="29"/>
  <c r="V40" i="29"/>
  <c r="P28" i="29"/>
  <c r="P40" i="29"/>
  <c r="L28" i="29"/>
  <c r="L40" i="29"/>
  <c r="H28" i="29"/>
  <c r="H40" i="29"/>
  <c r="BA154" i="29"/>
  <c r="E53" i="79" s="1"/>
  <c r="AS154" i="29"/>
  <c r="E45" i="79" s="1"/>
  <c r="AC154" i="29"/>
  <c r="E29" i="79" s="1"/>
  <c r="U154" i="29"/>
  <c r="E21" i="79" s="1"/>
  <c r="Q154" i="29"/>
  <c r="E17" i="79" s="1"/>
  <c r="BB76" i="23"/>
  <c r="AT76" i="23"/>
  <c r="AL76" i="23"/>
  <c r="AD76" i="23"/>
  <c r="V76" i="23"/>
  <c r="N76" i="23"/>
  <c r="BD76" i="23"/>
  <c r="AZ76" i="23"/>
  <c r="AV76" i="23"/>
  <c r="AR76" i="23"/>
  <c r="AN76" i="23"/>
  <c r="AJ76" i="23"/>
  <c r="AF76" i="23"/>
  <c r="AB76" i="23"/>
  <c r="X76" i="23"/>
  <c r="T76" i="23"/>
  <c r="P76" i="23"/>
  <c r="L76" i="23"/>
  <c r="J76" i="23"/>
  <c r="H76" i="23"/>
  <c r="F76" i="23"/>
  <c r="BE76" i="23"/>
  <c r="BC76" i="23"/>
  <c r="BA76" i="23"/>
  <c r="AY76" i="23"/>
  <c r="AW76" i="23"/>
  <c r="AU76" i="23"/>
  <c r="AS76" i="23"/>
  <c r="AQ76" i="23"/>
  <c r="AO76" i="23"/>
  <c r="AM76" i="23"/>
  <c r="AK76" i="23"/>
  <c r="AI76" i="23"/>
  <c r="K76" i="23"/>
  <c r="G76" i="23"/>
  <c r="BG9" i="40"/>
  <c r="BG4" i="39"/>
  <c r="BG4" i="38"/>
  <c r="BG4" i="37"/>
  <c r="BG4" i="36"/>
  <c r="BG4" i="35"/>
  <c r="BF4" i="37"/>
  <c r="BF9" i="40"/>
  <c r="BF4" i="39"/>
  <c r="BF4" i="38"/>
  <c r="BF4" i="36"/>
  <c r="BF4" i="35"/>
  <c r="BH9" i="40"/>
  <c r="BH4" i="39"/>
  <c r="BH4" i="38"/>
  <c r="BH4" i="37"/>
  <c r="BH4" i="36"/>
  <c r="BH4" i="35"/>
  <c r="X13" i="38"/>
  <c r="X35" i="40" s="1"/>
  <c r="BG35" i="40" s="1"/>
  <c r="BG11" i="38"/>
  <c r="BG13" i="38" s="1"/>
  <c r="BH11" i="38"/>
  <c r="BH13" i="38" s="1"/>
  <c r="AK13" i="38"/>
  <c r="AK35" i="40" s="1"/>
  <c r="BH35" i="40" s="1"/>
  <c r="E13" i="38"/>
  <c r="E35" i="40" s="1"/>
  <c r="BF35" i="40" s="1"/>
  <c r="BF11" i="38"/>
  <c r="BF13" i="38" s="1"/>
  <c r="BE132" i="29"/>
  <c r="AW154" i="29"/>
  <c r="E49" i="79" s="1"/>
  <c r="AO132" i="29"/>
  <c r="AG154" i="29"/>
  <c r="E33" i="79" s="1"/>
  <c r="I132" i="29"/>
  <c r="C77" i="25"/>
  <c r="BF118" i="23"/>
  <c r="B21" i="80" s="1"/>
  <c r="AZ122" i="29"/>
  <c r="AR100" i="29"/>
  <c r="AR122" i="29"/>
  <c r="AJ118" i="29"/>
  <c r="AB118" i="29"/>
  <c r="T118" i="29"/>
  <c r="AW77" i="29"/>
  <c r="BD32" i="29"/>
  <c r="BD44" i="29"/>
  <c r="BD89" i="29"/>
  <c r="BD28" i="29"/>
  <c r="BD40" i="29"/>
  <c r="AZ32" i="29"/>
  <c r="AZ44" i="29"/>
  <c r="AZ83" i="29"/>
  <c r="AZ89" i="29"/>
  <c r="AX83" i="29"/>
  <c r="AX118" i="29"/>
  <c r="AV32" i="29"/>
  <c r="AV44" i="29"/>
  <c r="AV89" i="29"/>
  <c r="AV28" i="29"/>
  <c r="AV40" i="29"/>
  <c r="AT89" i="29"/>
  <c r="AR32" i="29"/>
  <c r="AR44" i="29"/>
  <c r="AR83" i="29"/>
  <c r="AR77" i="29"/>
  <c r="AP77" i="29"/>
  <c r="AN32" i="29"/>
  <c r="AN44" i="29"/>
  <c r="AN89" i="29"/>
  <c r="AN28" i="29"/>
  <c r="AN40" i="29"/>
  <c r="AL89" i="29"/>
  <c r="AJ32" i="29"/>
  <c r="AJ44" i="29"/>
  <c r="AJ83" i="29"/>
  <c r="AJ28" i="29"/>
  <c r="AJ40" i="29"/>
  <c r="AJ89" i="29"/>
  <c r="AH118" i="29"/>
  <c r="AH141" i="29"/>
  <c r="AF32" i="29"/>
  <c r="AF44" i="29"/>
  <c r="AF89" i="29"/>
  <c r="AF83" i="29"/>
  <c r="AF118" i="29"/>
  <c r="AD83" i="29"/>
  <c r="AD118" i="29"/>
  <c r="AB32" i="29"/>
  <c r="AB44" i="29"/>
  <c r="AB83" i="29"/>
  <c r="AB89" i="29"/>
  <c r="Z89" i="29"/>
  <c r="X32" i="29"/>
  <c r="X44" i="29"/>
  <c r="X83" i="29"/>
  <c r="V77" i="29"/>
  <c r="V100" i="29"/>
  <c r="V122" i="29"/>
  <c r="T32" i="29"/>
  <c r="T44" i="29"/>
  <c r="T83" i="29"/>
  <c r="T28" i="29"/>
  <c r="T40" i="29"/>
  <c r="T89" i="29"/>
  <c r="R89" i="29"/>
  <c r="P32" i="29"/>
  <c r="P44" i="29"/>
  <c r="P89" i="29"/>
  <c r="P83" i="29"/>
  <c r="P118" i="29"/>
  <c r="N83" i="29"/>
  <c r="N122" i="29"/>
  <c r="L32" i="29"/>
  <c r="L44" i="29"/>
  <c r="L83" i="29"/>
  <c r="L89" i="29"/>
  <c r="H32" i="29"/>
  <c r="H44" i="29"/>
  <c r="H89" i="29"/>
  <c r="H83" i="29"/>
  <c r="H118" i="29"/>
  <c r="F83" i="29"/>
  <c r="F122" i="29"/>
  <c r="BE57" i="29"/>
  <c r="BE106" i="29"/>
  <c r="BE158" i="29"/>
  <c r="BC141" i="29"/>
  <c r="BC154" i="29"/>
  <c r="E55" i="79" s="1"/>
  <c r="BA57" i="29"/>
  <c r="BA106" i="29"/>
  <c r="BA132" i="29"/>
  <c r="AY118" i="29"/>
  <c r="AW57" i="29"/>
  <c r="AW106" i="29"/>
  <c r="AW118" i="29"/>
  <c r="AU141" i="29"/>
  <c r="AU154" i="29"/>
  <c r="E47" i="79" s="1"/>
  <c r="AS57" i="29"/>
  <c r="AS106" i="29"/>
  <c r="AS132" i="29"/>
  <c r="AQ118" i="29"/>
  <c r="AQ28" i="29"/>
  <c r="AQ40" i="29"/>
  <c r="AQ100" i="29"/>
  <c r="AQ122" i="29"/>
  <c r="AQ154" i="29"/>
  <c r="E43" i="79" s="1"/>
  <c r="AO57" i="29"/>
  <c r="AO106" i="29"/>
  <c r="AO158" i="29"/>
  <c r="AM118" i="29"/>
  <c r="AI154" i="29"/>
  <c r="E35" i="79" s="1"/>
  <c r="AI28" i="29"/>
  <c r="AI40" i="29"/>
  <c r="AG57" i="29"/>
  <c r="AG106" i="29"/>
  <c r="AE100" i="29"/>
  <c r="AE122" i="29"/>
  <c r="AC57" i="29"/>
  <c r="AC106" i="29"/>
  <c r="AC132" i="29"/>
  <c r="AC118" i="29"/>
  <c r="AA154" i="29"/>
  <c r="E27" i="79" s="1"/>
  <c r="Y57" i="29"/>
  <c r="W28" i="29"/>
  <c r="W40" i="29"/>
  <c r="U57" i="29"/>
  <c r="U106" i="29"/>
  <c r="U132" i="29"/>
  <c r="S154" i="29"/>
  <c r="E19" i="79" s="1"/>
  <c r="S28" i="29"/>
  <c r="S40" i="29"/>
  <c r="Q57" i="29"/>
  <c r="Q106" i="29"/>
  <c r="Q132" i="29"/>
  <c r="O100" i="29"/>
  <c r="O122" i="29"/>
  <c r="M57" i="29"/>
  <c r="M106" i="29"/>
  <c r="M132" i="29"/>
  <c r="I57" i="29"/>
  <c r="I106" i="29"/>
  <c r="D15" i="27"/>
  <c r="D13" i="27"/>
  <c r="D16" i="27"/>
  <c r="C10" i="26"/>
  <c r="D18" i="27"/>
  <c r="BD57" i="29"/>
  <c r="BD100" i="29"/>
  <c r="BD106" i="29"/>
  <c r="BD122" i="29"/>
  <c r="BD132" i="29"/>
  <c r="BD141" i="29"/>
  <c r="BD158" i="29"/>
  <c r="BD154" i="29"/>
  <c r="E56" i="79" s="1"/>
  <c r="BB6" i="29"/>
  <c r="BB16" i="29"/>
  <c r="BB65" i="29"/>
  <c r="BB83" i="29"/>
  <c r="BB100" i="29"/>
  <c r="BB106" i="29"/>
  <c r="BB122" i="29"/>
  <c r="BB132" i="29"/>
  <c r="BB141" i="29"/>
  <c r="AZ65" i="29"/>
  <c r="AZ100" i="29"/>
  <c r="AZ106" i="29"/>
  <c r="AZ132" i="29"/>
  <c r="AZ141" i="29"/>
  <c r="AZ158" i="29"/>
  <c r="AZ154" i="29"/>
  <c r="E52" i="79" s="1"/>
  <c r="AX6" i="29"/>
  <c r="AX16" i="29"/>
  <c r="AX65" i="29"/>
  <c r="AV57" i="29"/>
  <c r="AV100" i="29"/>
  <c r="AV106" i="29"/>
  <c r="AV122" i="29"/>
  <c r="AV132" i="29"/>
  <c r="AV141" i="29"/>
  <c r="AV158" i="29"/>
  <c r="AV154" i="29"/>
  <c r="E48" i="79" s="1"/>
  <c r="AT6" i="29"/>
  <c r="AT16" i="29"/>
  <c r="AT158" i="29"/>
  <c r="AT154" i="29"/>
  <c r="E46" i="79" s="1"/>
  <c r="AT57" i="29"/>
  <c r="AT77" i="29"/>
  <c r="AT118" i="29"/>
  <c r="AT132" i="29"/>
  <c r="AT141" i="29"/>
  <c r="AR65" i="29"/>
  <c r="AR106" i="29"/>
  <c r="AR132" i="29"/>
  <c r="AR141" i="29"/>
  <c r="AR158" i="29"/>
  <c r="AR154" i="29"/>
  <c r="E44" i="79" s="1"/>
  <c r="AP6" i="29"/>
  <c r="AP16" i="29"/>
  <c r="AP57" i="29"/>
  <c r="AP89" i="29"/>
  <c r="AP118" i="29"/>
  <c r="AN57" i="29"/>
  <c r="AN118" i="29"/>
  <c r="AL6" i="29"/>
  <c r="AL16" i="29"/>
  <c r="AL57" i="29"/>
  <c r="AL77" i="29"/>
  <c r="AL158" i="29"/>
  <c r="AL154" i="29"/>
  <c r="E38" i="79" s="1"/>
  <c r="AL100" i="29"/>
  <c r="AL106" i="29"/>
  <c r="AL122" i="29"/>
  <c r="AJ65" i="29"/>
  <c r="AH32" i="29"/>
  <c r="AH44" i="29"/>
  <c r="AH65" i="29"/>
  <c r="AH83" i="29"/>
  <c r="AH158" i="29"/>
  <c r="AH154" i="29"/>
  <c r="E34" i="79" s="1"/>
  <c r="AH132" i="29"/>
  <c r="AF65" i="29"/>
  <c r="AD32" i="29"/>
  <c r="AD44" i="29"/>
  <c r="AD65" i="29"/>
  <c r="AB65" i="29"/>
  <c r="Z32" i="29"/>
  <c r="Z44" i="29"/>
  <c r="Z57" i="29"/>
  <c r="Z77" i="29"/>
  <c r="Z118" i="29"/>
  <c r="Z158" i="29"/>
  <c r="Z154" i="29"/>
  <c r="E26" i="79" s="1"/>
  <c r="Z132" i="29"/>
  <c r="Z141" i="29"/>
  <c r="BH55" i="29"/>
  <c r="BH54" i="29" s="1"/>
  <c r="X54" i="29"/>
  <c r="BH67" i="29"/>
  <c r="BH90" i="29"/>
  <c r="X89" i="29"/>
  <c r="BH29" i="29"/>
  <c r="X28" i="29"/>
  <c r="BH41" i="29"/>
  <c r="X40" i="29"/>
  <c r="BH114" i="29"/>
  <c r="BH20" i="29"/>
  <c r="BH24" i="29"/>
  <c r="BH36" i="29"/>
  <c r="BH48" i="29"/>
  <c r="BH52" i="29"/>
  <c r="BH60" i="29"/>
  <c r="X65" i="29"/>
  <c r="BH72" i="29"/>
  <c r="BH96" i="29"/>
  <c r="BH108" i="29"/>
  <c r="BH116" i="29"/>
  <c r="BH139" i="29"/>
  <c r="BH87" i="29"/>
  <c r="BH97" i="29"/>
  <c r="BH103" i="29"/>
  <c r="BH119" i="29"/>
  <c r="X118" i="29"/>
  <c r="BH126" i="29"/>
  <c r="BH137" i="29"/>
  <c r="BH147" i="29"/>
  <c r="BH144" i="29"/>
  <c r="BH148" i="29"/>
  <c r="V32" i="29"/>
  <c r="V44" i="29"/>
  <c r="V57" i="29"/>
  <c r="V89" i="29"/>
  <c r="V158" i="29"/>
  <c r="V154" i="29"/>
  <c r="E22" i="79" s="1"/>
  <c r="V106" i="29"/>
  <c r="T65" i="29"/>
  <c r="R32" i="29"/>
  <c r="R44" i="29"/>
  <c r="R57" i="29"/>
  <c r="R77" i="29"/>
  <c r="R118" i="29"/>
  <c r="R158" i="29"/>
  <c r="R154" i="29"/>
  <c r="E18" i="79" s="1"/>
  <c r="R132" i="29"/>
  <c r="R141" i="29"/>
  <c r="P65" i="29"/>
  <c r="N32" i="29"/>
  <c r="N44" i="29"/>
  <c r="N65" i="29"/>
  <c r="N100" i="29"/>
  <c r="N106" i="29"/>
  <c r="N132" i="29"/>
  <c r="N141" i="29"/>
  <c r="L65" i="29"/>
  <c r="L100" i="29"/>
  <c r="L106" i="29"/>
  <c r="L122" i="29"/>
  <c r="L132" i="29"/>
  <c r="L141" i="29"/>
  <c r="L158" i="29"/>
  <c r="L154" i="29"/>
  <c r="E12" i="79" s="1"/>
  <c r="J32" i="29"/>
  <c r="J44" i="29"/>
  <c r="J65" i="29"/>
  <c r="J83" i="29"/>
  <c r="J100" i="29"/>
  <c r="J106" i="29"/>
  <c r="J122" i="29"/>
  <c r="H65" i="29"/>
  <c r="H132" i="29"/>
  <c r="H141" i="29"/>
  <c r="H158" i="29"/>
  <c r="H154" i="29"/>
  <c r="E8" i="79" s="1"/>
  <c r="F32" i="29"/>
  <c r="F44" i="29"/>
  <c r="F65" i="29"/>
  <c r="F100" i="29"/>
  <c r="F106" i="29"/>
  <c r="F132" i="29"/>
  <c r="F141" i="29"/>
  <c r="BE65" i="29"/>
  <c r="BE28" i="29"/>
  <c r="BE40" i="29"/>
  <c r="BC57" i="29"/>
  <c r="BC6" i="29"/>
  <c r="BC16" i="29"/>
  <c r="BC32" i="29"/>
  <c r="BC44" i="29"/>
  <c r="BC106" i="29"/>
  <c r="BC77" i="29"/>
  <c r="BC83" i="29"/>
  <c r="BC89" i="29"/>
  <c r="BC132" i="29"/>
  <c r="BA65" i="29"/>
  <c r="BA28" i="29"/>
  <c r="BA40" i="29"/>
  <c r="BA77" i="29"/>
  <c r="BA83" i="29"/>
  <c r="BA89" i="29"/>
  <c r="AY57" i="29"/>
  <c r="AY6" i="29"/>
  <c r="AY16" i="29"/>
  <c r="AY32" i="29"/>
  <c r="AY44" i="29"/>
  <c r="AY106" i="29"/>
  <c r="AW65" i="29"/>
  <c r="AW6" i="29"/>
  <c r="AW16" i="29"/>
  <c r="AW32" i="29"/>
  <c r="AW44" i="29"/>
  <c r="AW83" i="29"/>
  <c r="AW89" i="29"/>
  <c r="AW158" i="29"/>
  <c r="AU57" i="29"/>
  <c r="AU6" i="29"/>
  <c r="AU16" i="29"/>
  <c r="AU32" i="29"/>
  <c r="AU44" i="29"/>
  <c r="AU106" i="29"/>
  <c r="AU77" i="29"/>
  <c r="AU83" i="29"/>
  <c r="AU89" i="29"/>
  <c r="AU132" i="29"/>
  <c r="AS65" i="29"/>
  <c r="AS28" i="29"/>
  <c r="AS40" i="29"/>
  <c r="AS77" i="29"/>
  <c r="AS83" i="29"/>
  <c r="AS89" i="29"/>
  <c r="AQ57" i="29"/>
  <c r="AO65" i="29"/>
  <c r="AO28" i="29"/>
  <c r="AO40" i="29"/>
  <c r="AM57" i="29"/>
  <c r="AM6" i="29"/>
  <c r="AM16" i="29"/>
  <c r="AM32" i="29"/>
  <c r="AM44" i="29"/>
  <c r="AM106" i="29"/>
  <c r="BI12" i="29"/>
  <c r="BI22" i="29"/>
  <c r="BI34" i="29"/>
  <c r="BI46" i="29"/>
  <c r="BI58" i="29"/>
  <c r="AK57" i="29"/>
  <c r="BI68" i="29"/>
  <c r="BI91" i="29"/>
  <c r="BI10" i="29"/>
  <c r="BI20" i="29"/>
  <c r="BI30" i="29"/>
  <c r="BI42" i="29"/>
  <c r="BI52" i="29"/>
  <c r="BI66" i="29"/>
  <c r="AK65" i="29"/>
  <c r="BI85" i="29"/>
  <c r="BI107" i="29"/>
  <c r="AK106" i="29"/>
  <c r="BI115" i="29"/>
  <c r="BI133" i="29"/>
  <c r="AK132" i="29"/>
  <c r="BI146" i="29"/>
  <c r="BI9" i="29"/>
  <c r="BI13" i="29"/>
  <c r="BI19" i="29"/>
  <c r="BI23" i="29"/>
  <c r="BI29" i="29"/>
  <c r="BI28" i="29" s="1"/>
  <c r="AK28" i="29"/>
  <c r="BI35" i="29"/>
  <c r="BI41" i="29"/>
  <c r="BI40" i="29" s="1"/>
  <c r="AK40" i="29"/>
  <c r="BI47" i="29"/>
  <c r="BI51" i="29"/>
  <c r="BI59" i="29"/>
  <c r="BI63" i="29"/>
  <c r="BI69" i="29"/>
  <c r="BI81" i="29"/>
  <c r="BI93" i="29"/>
  <c r="BI103" i="29"/>
  <c r="BI113" i="29"/>
  <c r="BI125" i="29"/>
  <c r="BI72" i="29"/>
  <c r="BI80" i="29"/>
  <c r="BI86" i="29"/>
  <c r="BI92" i="29"/>
  <c r="BI96" i="29"/>
  <c r="BI102" i="29"/>
  <c r="BI108" i="29"/>
  <c r="BI112" i="29"/>
  <c r="BI116" i="29"/>
  <c r="BI127" i="29"/>
  <c r="BI138" i="29"/>
  <c r="BI148" i="29"/>
  <c r="BI124" i="29"/>
  <c r="BI130" i="29"/>
  <c r="BI129" i="29" s="1"/>
  <c r="AK129" i="29"/>
  <c r="BI137" i="29"/>
  <c r="BI143" i="29"/>
  <c r="BI147" i="29"/>
  <c r="AK154" i="29"/>
  <c r="E37" i="79" s="1"/>
  <c r="BI156" i="29"/>
  <c r="AI57" i="29"/>
  <c r="AI106" i="29"/>
  <c r="AG65" i="29"/>
  <c r="AG6" i="29"/>
  <c r="AG16" i="29"/>
  <c r="AG32" i="29"/>
  <c r="AG44" i="29"/>
  <c r="AG158" i="29"/>
  <c r="AG161" i="29" s="1"/>
  <c r="AE6" i="29"/>
  <c r="AE16" i="29"/>
  <c r="AE32" i="29"/>
  <c r="AE44" i="29"/>
  <c r="AC65" i="29"/>
  <c r="AC6" i="29"/>
  <c r="AC16" i="29"/>
  <c r="AC32" i="29"/>
  <c r="AC44" i="29"/>
  <c r="AC141" i="29"/>
  <c r="AA57" i="29"/>
  <c r="AA6" i="29"/>
  <c r="AA16" i="29"/>
  <c r="AA32" i="29"/>
  <c r="AA44" i="29"/>
  <c r="AA100" i="29"/>
  <c r="AA122" i="29"/>
  <c r="BH10" i="29"/>
  <c r="BH30" i="29"/>
  <c r="BH42" i="29"/>
  <c r="BH40" i="29" s="1"/>
  <c r="BH66" i="29"/>
  <c r="Y65" i="29"/>
  <c r="BH91" i="29"/>
  <c r="BH107" i="29"/>
  <c r="Y106" i="29"/>
  <c r="BH115" i="29"/>
  <c r="BH125" i="29"/>
  <c r="BH9" i="29"/>
  <c r="BH19" i="29"/>
  <c r="Y28" i="29"/>
  <c r="BH35" i="29"/>
  <c r="Y40" i="29"/>
  <c r="BH47" i="29"/>
  <c r="BH51" i="29"/>
  <c r="BH59" i="29"/>
  <c r="BH63" i="29"/>
  <c r="BH69" i="29"/>
  <c r="BH81" i="29"/>
  <c r="BH93" i="29"/>
  <c r="BH113" i="29"/>
  <c r="BH133" i="29"/>
  <c r="Y132" i="29"/>
  <c r="BH86" i="29"/>
  <c r="BH102" i="29"/>
  <c r="BH127" i="29"/>
  <c r="BH138" i="29"/>
  <c r="BH145" i="29"/>
  <c r="BH149" i="29"/>
  <c r="Y158" i="29"/>
  <c r="Y154" i="29"/>
  <c r="E25" i="79" s="1"/>
  <c r="W106" i="29"/>
  <c r="U65" i="29"/>
  <c r="U28" i="29"/>
  <c r="U40" i="29"/>
  <c r="U77" i="29"/>
  <c r="U83" i="29"/>
  <c r="U89" i="29"/>
  <c r="S57" i="29"/>
  <c r="S106" i="29"/>
  <c r="Q65" i="29"/>
  <c r="Q28" i="29"/>
  <c r="Q40" i="29"/>
  <c r="Q77" i="29"/>
  <c r="Q83" i="29"/>
  <c r="Q89" i="29"/>
  <c r="O6" i="29"/>
  <c r="O16" i="29"/>
  <c r="O32" i="29"/>
  <c r="O44" i="29"/>
  <c r="M65" i="29"/>
  <c r="M28" i="29"/>
  <c r="M40" i="29"/>
  <c r="M77" i="29"/>
  <c r="M83" i="29"/>
  <c r="M89" i="29"/>
  <c r="K57" i="29"/>
  <c r="K6" i="29"/>
  <c r="K16" i="29"/>
  <c r="K32" i="29"/>
  <c r="K44" i="29"/>
  <c r="K100" i="29"/>
  <c r="K122" i="29"/>
  <c r="I65" i="29"/>
  <c r="I28" i="29"/>
  <c r="I40" i="29"/>
  <c r="I77" i="29"/>
  <c r="I83" i="29"/>
  <c r="I89" i="29"/>
  <c r="BG24" i="29"/>
  <c r="BG48" i="29"/>
  <c r="BG60" i="29"/>
  <c r="BF69" i="29"/>
  <c r="BF93" i="29"/>
  <c r="BG8" i="29"/>
  <c r="BG18" i="29"/>
  <c r="BG26" i="29"/>
  <c r="BG38" i="29"/>
  <c r="BG50" i="29"/>
  <c r="BG62" i="29"/>
  <c r="BF73" i="29"/>
  <c r="BF113" i="29"/>
  <c r="BF135" i="29"/>
  <c r="BG148" i="29"/>
  <c r="BF19" i="29"/>
  <c r="BG29" i="29"/>
  <c r="G28" i="29"/>
  <c r="BF35" i="29"/>
  <c r="BG41" i="29"/>
  <c r="G40" i="29"/>
  <c r="BF47" i="29"/>
  <c r="BF51" i="29"/>
  <c r="BF59" i="29"/>
  <c r="BF63" i="29"/>
  <c r="BF71" i="29"/>
  <c r="BG85" i="29"/>
  <c r="BF95" i="29"/>
  <c r="BF107" i="29"/>
  <c r="G106" i="29"/>
  <c r="BF115" i="29"/>
  <c r="BF127" i="29"/>
  <c r="BF149" i="29"/>
  <c r="BG72" i="29"/>
  <c r="BG80" i="29"/>
  <c r="BF86" i="29"/>
  <c r="BG92" i="29"/>
  <c r="BG96" i="29"/>
  <c r="BF102" i="29"/>
  <c r="BG108" i="29"/>
  <c r="BG112" i="29"/>
  <c r="BG116" i="29"/>
  <c r="BF125" i="29"/>
  <c r="BF136" i="29"/>
  <c r="BG146" i="29"/>
  <c r="BG124" i="29"/>
  <c r="BF130" i="29"/>
  <c r="BF129" i="29" s="1"/>
  <c r="G129" i="29"/>
  <c r="BG137" i="29"/>
  <c r="BF23" i="29"/>
  <c r="BG23" i="29"/>
  <c r="BG35" i="29"/>
  <c r="BG47" i="29"/>
  <c r="BG59" i="29"/>
  <c r="BG69" i="29"/>
  <c r="BF92" i="29"/>
  <c r="BF7" i="29"/>
  <c r="BG17" i="29"/>
  <c r="E16" i="29"/>
  <c r="BG25" i="29"/>
  <c r="BG37" i="29"/>
  <c r="BF49" i="29"/>
  <c r="BG49" i="29"/>
  <c r="BG61" i="29"/>
  <c r="BF72" i="29"/>
  <c r="BF96" i="29"/>
  <c r="BF112" i="29"/>
  <c r="BF124" i="29"/>
  <c r="BF137" i="29"/>
  <c r="BF20" i="29"/>
  <c r="BF24" i="29"/>
  <c r="BG30" i="29"/>
  <c r="BF36" i="29"/>
  <c r="BG36" i="29"/>
  <c r="BG42" i="29"/>
  <c r="BF48" i="29"/>
  <c r="BF52" i="29"/>
  <c r="BF60" i="29"/>
  <c r="E65" i="29"/>
  <c r="BG66" i="29"/>
  <c r="BF70" i="29"/>
  <c r="E83" i="29"/>
  <c r="BG84" i="29"/>
  <c r="BF94" i="29"/>
  <c r="BG104" i="29"/>
  <c r="BF114" i="29"/>
  <c r="BF126" i="29"/>
  <c r="BG73" i="29"/>
  <c r="BG81" i="29"/>
  <c r="BF87" i="29"/>
  <c r="BG93" i="29"/>
  <c r="BF97" i="29"/>
  <c r="BG97" i="29"/>
  <c r="BF103" i="29"/>
  <c r="BG109" i="29"/>
  <c r="BG113" i="29"/>
  <c r="E118" i="29"/>
  <c r="BF119" i="29"/>
  <c r="E129" i="29"/>
  <c r="BG130" i="29"/>
  <c r="BG129" i="29" s="1"/>
  <c r="BF139" i="29"/>
  <c r="BG149" i="29"/>
  <c r="BG127" i="29"/>
  <c r="BG135" i="29"/>
  <c r="BF142" i="29"/>
  <c r="E141" i="29"/>
  <c r="BF146" i="29"/>
  <c r="BG156" i="29"/>
  <c r="BH170" i="23"/>
  <c r="BE170" i="23"/>
  <c r="BC170" i="23"/>
  <c r="BA170" i="23"/>
  <c r="AY170" i="23"/>
  <c r="AW170" i="23"/>
  <c r="AU170" i="23"/>
  <c r="AS170" i="23"/>
  <c r="AQ170" i="23"/>
  <c r="AO170" i="23"/>
  <c r="AM170" i="23"/>
  <c r="AK170" i="23"/>
  <c r="AI170" i="23"/>
  <c r="AG170" i="23"/>
  <c r="AE170" i="23"/>
  <c r="AC170" i="23"/>
  <c r="AA170" i="23"/>
  <c r="Y170" i="23"/>
  <c r="W170" i="23"/>
  <c r="U170" i="23"/>
  <c r="S170" i="23"/>
  <c r="Q170" i="23"/>
  <c r="O170" i="23"/>
  <c r="M170" i="23"/>
  <c r="K170" i="23"/>
  <c r="I170" i="23"/>
  <c r="G170" i="23"/>
  <c r="AG76" i="23"/>
  <c r="AE76" i="23"/>
  <c r="AC76" i="23"/>
  <c r="AA76" i="23"/>
  <c r="Y76" i="23"/>
  <c r="W76" i="23"/>
  <c r="U76" i="23"/>
  <c r="S76" i="23"/>
  <c r="Q76" i="23"/>
  <c r="O76" i="23"/>
  <c r="D14" i="27"/>
  <c r="C11" i="26"/>
  <c r="BD6" i="29"/>
  <c r="BD16" i="29"/>
  <c r="BD77" i="29"/>
  <c r="BD83" i="29"/>
  <c r="BD65" i="29"/>
  <c r="BD179" i="29" s="1"/>
  <c r="BD118" i="29"/>
  <c r="BB28" i="29"/>
  <c r="BB40" i="29"/>
  <c r="BB32" i="29"/>
  <c r="BB44" i="29"/>
  <c r="BB57" i="29"/>
  <c r="BB77" i="29"/>
  <c r="BB89" i="29"/>
  <c r="BB158" i="29"/>
  <c r="BB154" i="29"/>
  <c r="E54" i="79" s="1"/>
  <c r="BB118" i="29"/>
  <c r="AZ6" i="29"/>
  <c r="AZ16" i="29"/>
  <c r="AZ28" i="29"/>
  <c r="AZ40" i="29"/>
  <c r="AZ77" i="29"/>
  <c r="AZ57" i="29"/>
  <c r="AZ118" i="29"/>
  <c r="AX28" i="29"/>
  <c r="AX40" i="29"/>
  <c r="AX32" i="29"/>
  <c r="AX44" i="29"/>
  <c r="AX57" i="29"/>
  <c r="AX77" i="29"/>
  <c r="AX89" i="29"/>
  <c r="AX100" i="29"/>
  <c r="AX106" i="29"/>
  <c r="AX122" i="29"/>
  <c r="AX158" i="29"/>
  <c r="AX154" i="29"/>
  <c r="E50" i="79" s="1"/>
  <c r="AX132" i="29"/>
  <c r="AX141" i="29"/>
  <c r="AV6" i="29"/>
  <c r="AV16" i="29"/>
  <c r="AV77" i="29"/>
  <c r="AV83" i="29"/>
  <c r="AV65" i="29"/>
  <c r="AV179" i="29" s="1"/>
  <c r="AV118" i="29"/>
  <c r="AT32" i="29"/>
  <c r="AT44" i="29"/>
  <c r="AT65" i="29"/>
  <c r="AT83" i="29"/>
  <c r="AT100" i="29"/>
  <c r="AT106" i="29"/>
  <c r="AT122" i="29"/>
  <c r="AR6" i="29"/>
  <c r="AR16" i="29"/>
  <c r="AR89" i="29"/>
  <c r="AR57" i="29"/>
  <c r="AR118" i="29"/>
  <c r="AP32" i="29"/>
  <c r="AP44" i="29"/>
  <c r="AP65" i="29"/>
  <c r="AP83" i="29"/>
  <c r="AP100" i="29"/>
  <c r="AP106" i="29"/>
  <c r="AP122" i="29"/>
  <c r="AP158" i="29"/>
  <c r="AP154" i="29"/>
  <c r="E42" i="79" s="1"/>
  <c r="AP132" i="29"/>
  <c r="AP141" i="29"/>
  <c r="AN6" i="29"/>
  <c r="AN16" i="29"/>
  <c r="AN77" i="29"/>
  <c r="AN83" i="29"/>
  <c r="AN65" i="29"/>
  <c r="AN100" i="29"/>
  <c r="AN106" i="29"/>
  <c r="AN122" i="29"/>
  <c r="AN132" i="29"/>
  <c r="AN141" i="29"/>
  <c r="AN158" i="29"/>
  <c r="AN154" i="29"/>
  <c r="E40" i="79" s="1"/>
  <c r="AL32" i="29"/>
  <c r="AL44" i="29"/>
  <c r="AL65" i="29"/>
  <c r="AL83" i="29"/>
  <c r="AL118" i="29"/>
  <c r="AL132" i="29"/>
  <c r="AL141" i="29"/>
  <c r="AJ6" i="29"/>
  <c r="AJ16" i="29"/>
  <c r="AJ77" i="29"/>
  <c r="AJ57" i="29"/>
  <c r="AJ100" i="29"/>
  <c r="AJ106" i="29"/>
  <c r="AJ122" i="29"/>
  <c r="AJ132" i="29"/>
  <c r="AJ141" i="29"/>
  <c r="AJ158" i="29"/>
  <c r="AJ154" i="29"/>
  <c r="E36" i="79" s="1"/>
  <c r="AH28" i="29"/>
  <c r="AH40" i="29"/>
  <c r="AH6" i="29"/>
  <c r="AH16" i="29"/>
  <c r="AH57" i="29"/>
  <c r="AH77" i="29"/>
  <c r="AH89" i="29"/>
  <c r="AH100" i="29"/>
  <c r="AH106" i="29"/>
  <c r="AH122" i="29"/>
  <c r="AF6" i="29"/>
  <c r="AF16" i="29"/>
  <c r="AF77" i="29"/>
  <c r="AF57" i="29"/>
  <c r="AF100" i="29"/>
  <c r="AF106" i="29"/>
  <c r="AF122" i="29"/>
  <c r="AF132" i="29"/>
  <c r="AF141" i="29"/>
  <c r="AF158" i="29"/>
  <c r="AF154" i="29"/>
  <c r="E32" i="79" s="1"/>
  <c r="AD28" i="29"/>
  <c r="AD40" i="29"/>
  <c r="AD6" i="29"/>
  <c r="AD16" i="29"/>
  <c r="AD158" i="29"/>
  <c r="AD154" i="29"/>
  <c r="E30" i="79" s="1"/>
  <c r="AD57" i="29"/>
  <c r="AD77" i="29"/>
  <c r="AD89" i="29"/>
  <c r="AD100" i="29"/>
  <c r="AD106" i="29"/>
  <c r="AD122" i="29"/>
  <c r="AD132" i="29"/>
  <c r="AD141" i="29"/>
  <c r="AB6" i="29"/>
  <c r="AB16" i="29"/>
  <c r="AB77" i="29"/>
  <c r="AB57" i="29"/>
  <c r="AB100" i="29"/>
  <c r="AB106" i="29"/>
  <c r="AB122" i="29"/>
  <c r="AB132" i="29"/>
  <c r="AB141" i="29"/>
  <c r="AB158" i="29"/>
  <c r="AB154" i="29"/>
  <c r="E28" i="79" s="1"/>
  <c r="Z6" i="29"/>
  <c r="Z16" i="29"/>
  <c r="Z65" i="29"/>
  <c r="Z179" i="29" s="1"/>
  <c r="Z83" i="29"/>
  <c r="Z100" i="29"/>
  <c r="Z106" i="29"/>
  <c r="Z122" i="29"/>
  <c r="X6" i="29"/>
  <c r="BH7" i="29"/>
  <c r="X16" i="29"/>
  <c r="X77" i="29"/>
  <c r="BH78" i="29"/>
  <c r="BH98" i="29"/>
  <c r="BH13" i="29"/>
  <c r="BH23" i="29"/>
  <c r="BH70" i="29"/>
  <c r="BH94" i="29"/>
  <c r="BH110" i="29"/>
  <c r="BH12" i="29"/>
  <c r="BH18" i="29"/>
  <c r="BH22" i="29"/>
  <c r="BH26" i="29"/>
  <c r="BH34" i="29"/>
  <c r="BH38" i="29"/>
  <c r="BH46" i="29"/>
  <c r="BH50" i="29"/>
  <c r="BH58" i="29"/>
  <c r="X57" i="29"/>
  <c r="BH62" i="29"/>
  <c r="BH68" i="29"/>
  <c r="BH80" i="29"/>
  <c r="BH92" i="29"/>
  <c r="BH112" i="29"/>
  <c r="BH124" i="29"/>
  <c r="BH85" i="29"/>
  <c r="BH101" i="29"/>
  <c r="X100" i="29"/>
  <c r="X106" i="29"/>
  <c r="X122" i="29"/>
  <c r="BH134" i="29"/>
  <c r="BH143" i="29"/>
  <c r="X132" i="29"/>
  <c r="BH136" i="29"/>
  <c r="X141" i="29"/>
  <c r="BH142" i="29"/>
  <c r="BH146" i="29"/>
  <c r="X158" i="29"/>
  <c r="X154" i="29"/>
  <c r="E24" i="79" s="1"/>
  <c r="BH155" i="29"/>
  <c r="V6" i="29"/>
  <c r="V16" i="29"/>
  <c r="V65" i="29"/>
  <c r="V83" i="29"/>
  <c r="V118" i="29"/>
  <c r="V132" i="29"/>
  <c r="V141" i="29"/>
  <c r="T6" i="29"/>
  <c r="T16" i="29"/>
  <c r="T77" i="29"/>
  <c r="T57" i="29"/>
  <c r="T100" i="29"/>
  <c r="T106" i="29"/>
  <c r="T122" i="29"/>
  <c r="T132" i="29"/>
  <c r="T141" i="29"/>
  <c r="T158" i="29"/>
  <c r="T154" i="29"/>
  <c r="E20" i="79" s="1"/>
  <c r="R6" i="29"/>
  <c r="R16" i="29"/>
  <c r="R65" i="29"/>
  <c r="R83" i="29"/>
  <c r="R100" i="29"/>
  <c r="R106" i="29"/>
  <c r="R122" i="29"/>
  <c r="P6" i="29"/>
  <c r="P16" i="29"/>
  <c r="P77" i="29"/>
  <c r="P57" i="29"/>
  <c r="P100" i="29"/>
  <c r="P106" i="29"/>
  <c r="P122" i="29"/>
  <c r="P132" i="29"/>
  <c r="P141" i="29"/>
  <c r="P158" i="29"/>
  <c r="P154" i="29"/>
  <c r="E16" i="79" s="1"/>
  <c r="N28" i="29"/>
  <c r="N40" i="29"/>
  <c r="N6" i="29"/>
  <c r="N16" i="29"/>
  <c r="N158" i="29"/>
  <c r="N154" i="29"/>
  <c r="E14" i="79" s="1"/>
  <c r="N57" i="29"/>
  <c r="N77" i="29"/>
  <c r="N89" i="29"/>
  <c r="N118" i="29"/>
  <c r="L6" i="29"/>
  <c r="L16" i="29"/>
  <c r="L77" i="29"/>
  <c r="L57" i="29"/>
  <c r="L118" i="29"/>
  <c r="J28" i="29"/>
  <c r="J40" i="29"/>
  <c r="J6" i="29"/>
  <c r="J16" i="29"/>
  <c r="J57" i="29"/>
  <c r="J77" i="29"/>
  <c r="J89" i="29"/>
  <c r="J118" i="29"/>
  <c r="J158" i="29"/>
  <c r="J154" i="29"/>
  <c r="E10" i="79" s="1"/>
  <c r="J132" i="29"/>
  <c r="J141" i="29"/>
  <c r="H6" i="29"/>
  <c r="H16" i="29"/>
  <c r="H77" i="29"/>
  <c r="H57" i="29"/>
  <c r="H100" i="29"/>
  <c r="H106" i="29"/>
  <c r="H122" i="29"/>
  <c r="F28" i="29"/>
  <c r="F40" i="29"/>
  <c r="F6" i="29"/>
  <c r="F16" i="29"/>
  <c r="F57" i="29"/>
  <c r="F77" i="29"/>
  <c r="F89" i="29"/>
  <c r="F158" i="29"/>
  <c r="F154" i="29"/>
  <c r="E6" i="79" s="1"/>
  <c r="F118" i="29"/>
  <c r="BE100" i="29"/>
  <c r="BE122" i="29"/>
  <c r="BE141" i="29"/>
  <c r="BE6" i="29"/>
  <c r="BE16" i="29"/>
  <c r="BE32" i="29"/>
  <c r="BE44" i="29"/>
  <c r="BE77" i="29"/>
  <c r="BE83" i="29"/>
  <c r="BE89" i="29"/>
  <c r="BE154" i="29"/>
  <c r="E57" i="79" s="1"/>
  <c r="BC65" i="29"/>
  <c r="BC28" i="29"/>
  <c r="BC40" i="29"/>
  <c r="BC100" i="29"/>
  <c r="BC122" i="29"/>
  <c r="BC158" i="29"/>
  <c r="BA100" i="29"/>
  <c r="BA122" i="29"/>
  <c r="BA6" i="29"/>
  <c r="BA16" i="29"/>
  <c r="BA32" i="29"/>
  <c r="BA44" i="29"/>
  <c r="BA118" i="29"/>
  <c r="BA141" i="29"/>
  <c r="BA158" i="29"/>
  <c r="AY65" i="29"/>
  <c r="AY28" i="29"/>
  <c r="AY40" i="29"/>
  <c r="AY100" i="29"/>
  <c r="AY122" i="29"/>
  <c r="AY77" i="29"/>
  <c r="AY83" i="29"/>
  <c r="AY89" i="29"/>
  <c r="AY132" i="29"/>
  <c r="AY141" i="29"/>
  <c r="AY158" i="29"/>
  <c r="AY161" i="29" s="1"/>
  <c r="AW100" i="29"/>
  <c r="AW122" i="29"/>
  <c r="AW141" i="29"/>
  <c r="AW28" i="29"/>
  <c r="AW40" i="29"/>
  <c r="AW132" i="29"/>
  <c r="AU65" i="29"/>
  <c r="AU28" i="29"/>
  <c r="AU40" i="29"/>
  <c r="AU100" i="29"/>
  <c r="AU122" i="29"/>
  <c r="AU158" i="29"/>
  <c r="AS100" i="29"/>
  <c r="AS122" i="29"/>
  <c r="AS6" i="29"/>
  <c r="AS16" i="29"/>
  <c r="AS32" i="29"/>
  <c r="AS44" i="29"/>
  <c r="AS118" i="29"/>
  <c r="AS141" i="29"/>
  <c r="AS158" i="29"/>
  <c r="AS161" i="29" s="1"/>
  <c r="AQ65" i="29"/>
  <c r="AQ6" i="29"/>
  <c r="AQ16" i="29"/>
  <c r="AQ32" i="29"/>
  <c r="AQ44" i="29"/>
  <c r="AQ106" i="29"/>
  <c r="AQ77" i="29"/>
  <c r="AQ83" i="29"/>
  <c r="AQ89" i="29"/>
  <c r="AQ132" i="29"/>
  <c r="AQ141" i="29"/>
  <c r="AQ158" i="29"/>
  <c r="AQ161" i="29" s="1"/>
  <c r="AO100" i="29"/>
  <c r="AO122" i="29"/>
  <c r="AO141" i="29"/>
  <c r="AO6" i="29"/>
  <c r="AO16" i="29"/>
  <c r="AO32" i="29"/>
  <c r="AO44" i="29"/>
  <c r="AO77" i="29"/>
  <c r="AO83" i="29"/>
  <c r="AO89" i="29"/>
  <c r="AO154" i="29"/>
  <c r="E41" i="79" s="1"/>
  <c r="AM65" i="29"/>
  <c r="AM28" i="29"/>
  <c r="AM40" i="29"/>
  <c r="AM100" i="29"/>
  <c r="AM122" i="29"/>
  <c r="AM77" i="29"/>
  <c r="AM83" i="29"/>
  <c r="AM89" i="29"/>
  <c r="AM132" i="29"/>
  <c r="AM141" i="29"/>
  <c r="AM158" i="29"/>
  <c r="AM161" i="29" s="1"/>
  <c r="BI8" i="29"/>
  <c r="BI18" i="29"/>
  <c r="BI26" i="29"/>
  <c r="BI38" i="29"/>
  <c r="BI50" i="29"/>
  <c r="BI62" i="29"/>
  <c r="BI79" i="29"/>
  <c r="BI101" i="29"/>
  <c r="AK100" i="29"/>
  <c r="BI14" i="29"/>
  <c r="BI24" i="29"/>
  <c r="BI36" i="29"/>
  <c r="BI48" i="29"/>
  <c r="BI60" i="29"/>
  <c r="BI71" i="29"/>
  <c r="BI95" i="29"/>
  <c r="BI111" i="29"/>
  <c r="BI123" i="29"/>
  <c r="AK122" i="29"/>
  <c r="BI136" i="29"/>
  <c r="BI7" i="29"/>
  <c r="AK6" i="29"/>
  <c r="BI11" i="29"/>
  <c r="BI17" i="29"/>
  <c r="AK16" i="29"/>
  <c r="BI21" i="29"/>
  <c r="BI25" i="29"/>
  <c r="BI33" i="29"/>
  <c r="AK32" i="29"/>
  <c r="BI37" i="29"/>
  <c r="BI45" i="29"/>
  <c r="AK44" i="29"/>
  <c r="BI49" i="29"/>
  <c r="BI55" i="29"/>
  <c r="BI54" i="29" s="1"/>
  <c r="AK54" i="29"/>
  <c r="BI61" i="29"/>
  <c r="BI67" i="29"/>
  <c r="BI73" i="29"/>
  <c r="BI87" i="29"/>
  <c r="BI97" i="29"/>
  <c r="BI109" i="29"/>
  <c r="BI119" i="29"/>
  <c r="AK118" i="29"/>
  <c r="BI142" i="29"/>
  <c r="AK141" i="29"/>
  <c r="BI70" i="29"/>
  <c r="BI78" i="29"/>
  <c r="AK77" i="29"/>
  <c r="BI84" i="29"/>
  <c r="AK83" i="29"/>
  <c r="BI90" i="29"/>
  <c r="AK89" i="29"/>
  <c r="BI94" i="29"/>
  <c r="BI98" i="29"/>
  <c r="BI104" i="29"/>
  <c r="BI110" i="29"/>
  <c r="BI114" i="29"/>
  <c r="BI120" i="29"/>
  <c r="BI135" i="29"/>
  <c r="BI144" i="29"/>
  <c r="BI126" i="29"/>
  <c r="BI134" i="29"/>
  <c r="BI139" i="29"/>
  <c r="BI145" i="29"/>
  <c r="BI149" i="29"/>
  <c r="BI155" i="29"/>
  <c r="AK158" i="29"/>
  <c r="AI65" i="29"/>
  <c r="AI6" i="29"/>
  <c r="AI16" i="29"/>
  <c r="AI32" i="29"/>
  <c r="AI44" i="29"/>
  <c r="AI100" i="29"/>
  <c r="AI122" i="29"/>
  <c r="AI77" i="29"/>
  <c r="AI83" i="29"/>
  <c r="AI89" i="29"/>
  <c r="AI132" i="29"/>
  <c r="AI141" i="29"/>
  <c r="AI158" i="29"/>
  <c r="AG100" i="29"/>
  <c r="AG122" i="29"/>
  <c r="AG141" i="29"/>
  <c r="AG28" i="29"/>
  <c r="AG40" i="29"/>
  <c r="AG132" i="29"/>
  <c r="AG77" i="29"/>
  <c r="AG83" i="29"/>
  <c r="AG89" i="29"/>
  <c r="AE65" i="29"/>
  <c r="AE57" i="29"/>
  <c r="AE28" i="29"/>
  <c r="AE40" i="29"/>
  <c r="AE106" i="29"/>
  <c r="AE77" i="29"/>
  <c r="AE83" i="29"/>
  <c r="AE89" i="29"/>
  <c r="AE132" i="29"/>
  <c r="AE141" i="29"/>
  <c r="AE158" i="29"/>
  <c r="AE161" i="29" s="1"/>
  <c r="AC100" i="29"/>
  <c r="AC122" i="29"/>
  <c r="AC28" i="29"/>
  <c r="AC40" i="29"/>
  <c r="AC77" i="29"/>
  <c r="AC83" i="29"/>
  <c r="AC89" i="29"/>
  <c r="AC158" i="29"/>
  <c r="AA65" i="29"/>
  <c r="AA28" i="29"/>
  <c r="AA40" i="29"/>
  <c r="AA106" i="29"/>
  <c r="AA77" i="29"/>
  <c r="AA83" i="29"/>
  <c r="AA89" i="29"/>
  <c r="AA132" i="29"/>
  <c r="AA141" i="29"/>
  <c r="AA158" i="29"/>
  <c r="AA161" i="29" s="1"/>
  <c r="BH8" i="29"/>
  <c r="BH71" i="29"/>
  <c r="BH95" i="29"/>
  <c r="BH14" i="29"/>
  <c r="BH79" i="29"/>
  <c r="Y100" i="29"/>
  <c r="BH111" i="29"/>
  <c r="BH123" i="29"/>
  <c r="Y122" i="29"/>
  <c r="Y141" i="29"/>
  <c r="Y6" i="29"/>
  <c r="BH11" i="29"/>
  <c r="BH17" i="29"/>
  <c r="Y16" i="29"/>
  <c r="BH21" i="29"/>
  <c r="BH25" i="29"/>
  <c r="BH33" i="29"/>
  <c r="Y32" i="29"/>
  <c r="BH37" i="29"/>
  <c r="BH45" i="29"/>
  <c r="Y44" i="29"/>
  <c r="BH49" i="29"/>
  <c r="BH61" i="29"/>
  <c r="BH73" i="29"/>
  <c r="BH109" i="29"/>
  <c r="Y77" i="29"/>
  <c r="BH84" i="29"/>
  <c r="Y83" i="29"/>
  <c r="Y89" i="29"/>
  <c r="BH104" i="29"/>
  <c r="BH120" i="29"/>
  <c r="BH135" i="29"/>
  <c r="BH130" i="29"/>
  <c r="BH129" i="29" s="1"/>
  <c r="Y129" i="29"/>
  <c r="BH156" i="29"/>
  <c r="W65" i="29"/>
  <c r="W57" i="29"/>
  <c r="W6" i="29"/>
  <c r="W16" i="29"/>
  <c r="W32" i="29"/>
  <c r="W44" i="29"/>
  <c r="W100" i="29"/>
  <c r="W122" i="29"/>
  <c r="W77" i="29"/>
  <c r="W83" i="29"/>
  <c r="W89" i="29"/>
  <c r="W132" i="29"/>
  <c r="W141" i="29"/>
  <c r="W158" i="29"/>
  <c r="W161" i="29" s="1"/>
  <c r="U100" i="29"/>
  <c r="U122" i="29"/>
  <c r="U6" i="29"/>
  <c r="U16" i="29"/>
  <c r="U32" i="29"/>
  <c r="U44" i="29"/>
  <c r="U118" i="29"/>
  <c r="U141" i="29"/>
  <c r="U158" i="29"/>
  <c r="U161" i="29" s="1"/>
  <c r="S65" i="29"/>
  <c r="S6" i="29"/>
  <c r="S16" i="29"/>
  <c r="S32" i="29"/>
  <c r="S44" i="29"/>
  <c r="S100" i="29"/>
  <c r="S122" i="29"/>
  <c r="S77" i="29"/>
  <c r="S83" i="29"/>
  <c r="S89" i="29"/>
  <c r="S132" i="29"/>
  <c r="S141" i="29"/>
  <c r="S158" i="29"/>
  <c r="S161" i="29" s="1"/>
  <c r="Q100" i="29"/>
  <c r="Q122" i="29"/>
  <c r="Q141" i="29"/>
  <c r="Q6" i="29"/>
  <c r="Q16" i="29"/>
  <c r="Q32" i="29"/>
  <c r="Q44" i="29"/>
  <c r="Q118" i="29"/>
  <c r="Q158" i="29"/>
  <c r="O65" i="29"/>
  <c r="O57" i="29"/>
  <c r="O28" i="29"/>
  <c r="O40" i="29"/>
  <c r="O106" i="29"/>
  <c r="O77" i="29"/>
  <c r="O83" i="29"/>
  <c r="O89" i="29"/>
  <c r="O132" i="29"/>
  <c r="O141" i="29"/>
  <c r="O158" i="29"/>
  <c r="O161" i="29" s="1"/>
  <c r="M100" i="29"/>
  <c r="M122" i="29"/>
  <c r="M6" i="29"/>
  <c r="M16" i="29"/>
  <c r="M32" i="29"/>
  <c r="M44" i="29"/>
  <c r="M118" i="29"/>
  <c r="M141" i="29"/>
  <c r="M158" i="29"/>
  <c r="M161" i="29" s="1"/>
  <c r="K65" i="29"/>
  <c r="K28" i="29"/>
  <c r="K40" i="29"/>
  <c r="K106" i="29"/>
  <c r="K77" i="29"/>
  <c r="K83" i="29"/>
  <c r="K89" i="29"/>
  <c r="K132" i="29"/>
  <c r="K141" i="29"/>
  <c r="K154" i="29"/>
  <c r="E11" i="79" s="1"/>
  <c r="K158" i="29"/>
  <c r="I100" i="29"/>
  <c r="I122" i="29"/>
  <c r="I141" i="29"/>
  <c r="I6" i="29"/>
  <c r="I16" i="29"/>
  <c r="I32" i="29"/>
  <c r="I44" i="29"/>
  <c r="I118" i="29"/>
  <c r="I158" i="29"/>
  <c r="I154" i="29"/>
  <c r="E9" i="79" s="1"/>
  <c r="BG20" i="29"/>
  <c r="BF30" i="29"/>
  <c r="BF42" i="29"/>
  <c r="BG52" i="29"/>
  <c r="BF66" i="29"/>
  <c r="G65" i="29"/>
  <c r="BF81" i="29"/>
  <c r="BG103" i="29"/>
  <c r="BF12" i="29"/>
  <c r="BG22" i="29"/>
  <c r="BG34" i="29"/>
  <c r="BG46" i="29"/>
  <c r="BG58" i="29"/>
  <c r="G57" i="29"/>
  <c r="BG68" i="29"/>
  <c r="BG87" i="29"/>
  <c r="BF109" i="29"/>
  <c r="BG119" i="29"/>
  <c r="G118" i="29"/>
  <c r="BF138" i="29"/>
  <c r="BG7" i="29"/>
  <c r="G6" i="29"/>
  <c r="BF11" i="29"/>
  <c r="BF17" i="29"/>
  <c r="G16" i="29"/>
  <c r="BF21" i="29"/>
  <c r="BF25" i="29"/>
  <c r="BF33" i="29"/>
  <c r="G32" i="29"/>
  <c r="BF37" i="29"/>
  <c r="BF45" i="29"/>
  <c r="G44" i="29"/>
  <c r="BG55" i="29"/>
  <c r="BG54" i="29" s="1"/>
  <c r="G54" i="29"/>
  <c r="BF61" i="29"/>
  <c r="BG67" i="29"/>
  <c r="BF79" i="29"/>
  <c r="BF91" i="29"/>
  <c r="BG101" i="29"/>
  <c r="G100" i="29"/>
  <c r="BF111" i="29"/>
  <c r="BF123" i="29"/>
  <c r="G122" i="29"/>
  <c r="BG144" i="29"/>
  <c r="BG70" i="29"/>
  <c r="BG78" i="29"/>
  <c r="G77" i="29"/>
  <c r="BF84" i="29"/>
  <c r="G83" i="29"/>
  <c r="BG90" i="29"/>
  <c r="G89" i="29"/>
  <c r="BG94" i="29"/>
  <c r="BG98" i="29"/>
  <c r="BF104" i="29"/>
  <c r="BG110" i="29"/>
  <c r="BG114" i="29"/>
  <c r="BF120" i="29"/>
  <c r="BF133" i="29"/>
  <c r="G132" i="29"/>
  <c r="BG142" i="29"/>
  <c r="G141" i="29"/>
  <c r="BF156" i="29"/>
  <c r="BG126" i="29"/>
  <c r="BG134" i="29"/>
  <c r="BG139" i="29"/>
  <c r="BF145" i="29"/>
  <c r="G158" i="29"/>
  <c r="G154" i="29"/>
  <c r="E7" i="79" s="1"/>
  <c r="BG19" i="29"/>
  <c r="E28" i="29"/>
  <c r="BF29" i="29"/>
  <c r="E40" i="29"/>
  <c r="BF41" i="29"/>
  <c r="BG51" i="29"/>
  <c r="BG63" i="29"/>
  <c r="BF80" i="29"/>
  <c r="BG102" i="29"/>
  <c r="BG11" i="29"/>
  <c r="BG21" i="29"/>
  <c r="BG33" i="29"/>
  <c r="E32" i="29"/>
  <c r="BG45" i="29"/>
  <c r="E44" i="29"/>
  <c r="E54" i="29"/>
  <c r="BF55" i="29"/>
  <c r="BF54" i="29" s="1"/>
  <c r="BF67" i="29"/>
  <c r="BG86" i="29"/>
  <c r="BF108" i="29"/>
  <c r="BF116" i="29"/>
  <c r="BF134" i="29"/>
  <c r="BF147" i="29"/>
  <c r="BG147" i="29"/>
  <c r="BF8" i="29"/>
  <c r="BG12" i="29"/>
  <c r="BF18" i="29"/>
  <c r="BF22" i="29"/>
  <c r="BF26" i="29"/>
  <c r="BF34" i="29"/>
  <c r="BF38" i="29"/>
  <c r="BF46" i="29"/>
  <c r="BF50" i="29"/>
  <c r="BF58" i="29"/>
  <c r="E57" i="29"/>
  <c r="BF62" i="29"/>
  <c r="BF68" i="29"/>
  <c r="BF78" i="29"/>
  <c r="E77" i="29"/>
  <c r="BF90" i="29"/>
  <c r="E89" i="29"/>
  <c r="BF98" i="29"/>
  <c r="BF110" i="29"/>
  <c r="BG120" i="29"/>
  <c r="BF143" i="29"/>
  <c r="BG143" i="29"/>
  <c r="BG71" i="29"/>
  <c r="BG79" i="29"/>
  <c r="BF85" i="29"/>
  <c r="BG91" i="29"/>
  <c r="BG95" i="29"/>
  <c r="E100" i="29"/>
  <c r="BF101" i="29"/>
  <c r="BG107" i="29"/>
  <c r="E106" i="29"/>
  <c r="BG111" i="29"/>
  <c r="BG115" i="29"/>
  <c r="BG123" i="29"/>
  <c r="E122" i="29"/>
  <c r="BG136" i="29"/>
  <c r="BG145" i="29"/>
  <c r="E158" i="29"/>
  <c r="BG155" i="29"/>
  <c r="E154" i="29"/>
  <c r="E5" i="79" s="1"/>
  <c r="BF155" i="29"/>
  <c r="BG125" i="29"/>
  <c r="BG133" i="29"/>
  <c r="E132" i="29"/>
  <c r="BG138" i="29"/>
  <c r="BF144" i="29"/>
  <c r="BF148" i="29"/>
  <c r="BF122" i="23"/>
  <c r="B22" i="80" s="1"/>
  <c r="BF132" i="23"/>
  <c r="C31" i="26"/>
  <c r="D55" i="27"/>
  <c r="C56" i="25"/>
  <c r="D77" i="27"/>
  <c r="C43" i="26"/>
  <c r="BF77" i="23"/>
  <c r="B16" i="80" s="1"/>
  <c r="BF154" i="23"/>
  <c r="BF158" i="23"/>
  <c r="D31" i="27"/>
  <c r="C19" i="26"/>
  <c r="D9" i="27"/>
  <c r="BF141" i="23"/>
  <c r="B25" i="80" s="1"/>
  <c r="BF106" i="23"/>
  <c r="BF100" i="23"/>
  <c r="B19" i="80" s="1"/>
  <c r="M76" i="23"/>
  <c r="BF89" i="23"/>
  <c r="B18" i="80" s="1"/>
  <c r="BF83" i="23"/>
  <c r="B17" i="80" s="1"/>
  <c r="C31" i="25"/>
  <c r="BF65" i="23"/>
  <c r="B13" i="80" s="1"/>
  <c r="BF57" i="23"/>
  <c r="BF44" i="23"/>
  <c r="B10" i="80" s="1"/>
  <c r="BF40" i="23"/>
  <c r="B9" i="80" s="1"/>
  <c r="BF32" i="23"/>
  <c r="B8" i="80" s="1"/>
  <c r="BF28" i="23"/>
  <c r="B7" i="80" s="1"/>
  <c r="BF16" i="23"/>
  <c r="B6" i="80" s="1"/>
  <c r="BI76" i="23"/>
  <c r="BH76" i="23"/>
  <c r="BG76" i="23"/>
  <c r="F6" i="23"/>
  <c r="F172" i="23" s="1"/>
  <c r="G6" i="23"/>
  <c r="G172" i="23" s="1"/>
  <c r="H6" i="23"/>
  <c r="H172" i="23" s="1"/>
  <c r="I6" i="23"/>
  <c r="I172" i="23" s="1"/>
  <c r="J6" i="23"/>
  <c r="J172" i="23" s="1"/>
  <c r="K6" i="23"/>
  <c r="K172" i="23" s="1"/>
  <c r="L6" i="23"/>
  <c r="L172" i="23" s="1"/>
  <c r="M6" i="23"/>
  <c r="M172" i="23" s="1"/>
  <c r="N6" i="23"/>
  <c r="N172" i="23" s="1"/>
  <c r="O6" i="23"/>
  <c r="O172" i="23" s="1"/>
  <c r="P6" i="23"/>
  <c r="P172" i="23" s="1"/>
  <c r="Q6" i="23"/>
  <c r="Q172" i="23" s="1"/>
  <c r="R6" i="23"/>
  <c r="R172" i="23" s="1"/>
  <c r="S6" i="23"/>
  <c r="S172" i="23" s="1"/>
  <c r="T6" i="23"/>
  <c r="T172" i="23" s="1"/>
  <c r="U6" i="23"/>
  <c r="U172" i="23" s="1"/>
  <c r="V6" i="23"/>
  <c r="V172" i="23" s="1"/>
  <c r="W6" i="23"/>
  <c r="W5" i="23" s="1"/>
  <c r="X6" i="23"/>
  <c r="X172" i="23" s="1"/>
  <c r="Y6" i="23"/>
  <c r="Y172" i="23" s="1"/>
  <c r="Z6" i="23"/>
  <c r="Z172" i="23" s="1"/>
  <c r="AA6" i="23"/>
  <c r="AA172" i="23" s="1"/>
  <c r="AB6" i="23"/>
  <c r="AB172" i="23" s="1"/>
  <c r="AC6" i="23"/>
  <c r="AC172" i="23" s="1"/>
  <c r="AD6" i="23"/>
  <c r="AD172" i="23" s="1"/>
  <c r="AE6" i="23"/>
  <c r="AE172" i="23" s="1"/>
  <c r="AF6" i="23"/>
  <c r="AF172" i="23" s="1"/>
  <c r="AG6" i="23"/>
  <c r="AG172" i="23" s="1"/>
  <c r="AH6" i="23"/>
  <c r="AH172" i="23" s="1"/>
  <c r="AI6" i="23"/>
  <c r="AI172" i="23" s="1"/>
  <c r="AJ6" i="23"/>
  <c r="AJ172" i="23" s="1"/>
  <c r="AK6" i="23"/>
  <c r="AK172" i="23" s="1"/>
  <c r="AL6" i="23"/>
  <c r="AL172" i="23" s="1"/>
  <c r="AM6" i="23"/>
  <c r="AM172" i="23" s="1"/>
  <c r="AN6" i="23"/>
  <c r="AN172" i="23" s="1"/>
  <c r="AO6" i="23"/>
  <c r="AO172" i="23" s="1"/>
  <c r="AP6" i="23"/>
  <c r="AP172" i="23" s="1"/>
  <c r="AQ6" i="23"/>
  <c r="AQ172" i="23" s="1"/>
  <c r="AR6" i="23"/>
  <c r="AR172" i="23" s="1"/>
  <c r="AS6" i="23"/>
  <c r="AS172" i="23" s="1"/>
  <c r="AT6" i="23"/>
  <c r="AT172" i="23" s="1"/>
  <c r="AU6" i="23"/>
  <c r="AU172" i="23" s="1"/>
  <c r="AV6" i="23"/>
  <c r="AV172" i="23" s="1"/>
  <c r="AW6" i="23"/>
  <c r="AW172" i="23" s="1"/>
  <c r="AX6" i="23"/>
  <c r="AX172" i="23" s="1"/>
  <c r="AY6" i="23"/>
  <c r="AY172" i="23" s="1"/>
  <c r="AZ6" i="23"/>
  <c r="AZ172" i="23" s="1"/>
  <c r="BA6" i="23"/>
  <c r="BA172" i="23" s="1"/>
  <c r="BB6" i="23"/>
  <c r="BB172" i="23" s="1"/>
  <c r="BC6" i="23"/>
  <c r="BC172" i="23" s="1"/>
  <c r="BD6" i="23"/>
  <c r="BD172" i="23" s="1"/>
  <c r="BE6" i="23"/>
  <c r="BE172" i="23" s="1"/>
  <c r="BF6" i="23"/>
  <c r="B5" i="80" s="1"/>
  <c r="BH6" i="23"/>
  <c r="BH5" i="23" s="1"/>
  <c r="BI6" i="23"/>
  <c r="H5" i="23"/>
  <c r="I5" i="23"/>
  <c r="N5" i="23"/>
  <c r="O5" i="23"/>
  <c r="P5" i="23"/>
  <c r="Q5" i="23"/>
  <c r="R5" i="23"/>
  <c r="R160" i="23" s="1"/>
  <c r="R161" i="23" s="1"/>
  <c r="S5" i="23"/>
  <c r="T5" i="23"/>
  <c r="U5" i="23"/>
  <c r="X5" i="23"/>
  <c r="Y5" i="23"/>
  <c r="AD5" i="23"/>
  <c r="AE5" i="23"/>
  <c r="AF5" i="23"/>
  <c r="AG5" i="23"/>
  <c r="AH5" i="23"/>
  <c r="AI5" i="23"/>
  <c r="AJ5" i="23"/>
  <c r="AK5" i="23"/>
  <c r="AN5" i="23"/>
  <c r="AO5" i="23"/>
  <c r="AT5" i="23"/>
  <c r="AU5" i="23"/>
  <c r="AV5" i="23"/>
  <c r="AW5" i="23"/>
  <c r="AX5" i="23"/>
  <c r="AY5" i="23"/>
  <c r="AZ5" i="23"/>
  <c r="BA5" i="23"/>
  <c r="BD5" i="23"/>
  <c r="BE5" i="23"/>
  <c r="E154" i="23"/>
  <c r="D5" i="79" s="1"/>
  <c r="E158" i="23"/>
  <c r="E161" i="48" s="1"/>
  <c r="E141" i="23"/>
  <c r="E132" i="23"/>
  <c r="E129" i="23"/>
  <c r="E122" i="23"/>
  <c r="E118" i="23"/>
  <c r="E106" i="23"/>
  <c r="E100" i="23"/>
  <c r="E89" i="23"/>
  <c r="E83" i="23"/>
  <c r="E77" i="23"/>
  <c r="E65" i="23"/>
  <c r="E57" i="23"/>
  <c r="E54" i="23"/>
  <c r="E44" i="23"/>
  <c r="E40" i="23"/>
  <c r="E32" i="23"/>
  <c r="E28" i="23"/>
  <c r="E16" i="23"/>
  <c r="AY160" i="23" l="1"/>
  <c r="AY161" i="23" s="1"/>
  <c r="E121" i="49"/>
  <c r="AC5" i="23"/>
  <c r="K5" i="23"/>
  <c r="AP5" i="23"/>
  <c r="Z5" i="23"/>
  <c r="Z160" i="23" s="1"/>
  <c r="Z161" i="23" s="1"/>
  <c r="J5" i="23"/>
  <c r="AU161" i="29"/>
  <c r="AQ5" i="23"/>
  <c r="AQ160" i="23" s="1"/>
  <c r="AQ161" i="23" s="1"/>
  <c r="AA5" i="23"/>
  <c r="AA160" i="23" s="1"/>
  <c r="AA161" i="23" s="1"/>
  <c r="I160" i="23"/>
  <c r="I161" i="23" s="1"/>
  <c r="M5" i="23"/>
  <c r="L5" i="23"/>
  <c r="L160" i="23" s="1"/>
  <c r="L161" i="23" s="1"/>
  <c r="BC5" i="23"/>
  <c r="BC160" i="23" s="1"/>
  <c r="BC161" i="23" s="1"/>
  <c r="C10" i="45"/>
  <c r="E43" i="49"/>
  <c r="AQ179" i="29"/>
  <c r="AS5" i="23"/>
  <c r="AR5" i="23"/>
  <c r="AB5" i="23"/>
  <c r="C9" i="45"/>
  <c r="AM5" i="23"/>
  <c r="G5" i="23"/>
  <c r="BG158" i="29"/>
  <c r="BB5" i="23"/>
  <c r="AL5" i="23"/>
  <c r="AL160" i="23" s="1"/>
  <c r="AL161" i="23" s="1"/>
  <c r="V5" i="23"/>
  <c r="F5" i="23"/>
  <c r="E157" i="49"/>
  <c r="E68" i="49"/>
  <c r="E103" i="49"/>
  <c r="E92" i="49"/>
  <c r="E80" i="49"/>
  <c r="E86" i="49"/>
  <c r="E170" i="23"/>
  <c r="E125" i="49"/>
  <c r="C67" i="25"/>
  <c r="D42" i="27"/>
  <c r="D46" i="27" s="1"/>
  <c r="C42" i="25"/>
  <c r="E47" i="49"/>
  <c r="E144" i="49"/>
  <c r="E135" i="49"/>
  <c r="E60" i="49"/>
  <c r="E19" i="49"/>
  <c r="E9" i="49"/>
  <c r="E109" i="49"/>
  <c r="AX160" i="23"/>
  <c r="AX161" i="23" s="1"/>
  <c r="AH160" i="23"/>
  <c r="AH161" i="23" s="1"/>
  <c r="E35" i="49"/>
  <c r="D34" i="43"/>
  <c r="BE161" i="29"/>
  <c r="B12" i="80"/>
  <c r="D58" i="79"/>
  <c r="B24" i="80"/>
  <c r="B20" i="80"/>
  <c r="C36" i="25"/>
  <c r="C61" i="25"/>
  <c r="BB160" i="23"/>
  <c r="BB161" i="23" s="1"/>
  <c r="V160" i="23"/>
  <c r="V161" i="23" s="1"/>
  <c r="BC161" i="29"/>
  <c r="D66" i="27"/>
  <c r="D70" i="27" s="1"/>
  <c r="C15" i="45"/>
  <c r="C82" i="25"/>
  <c r="D88" i="27"/>
  <c r="D92" i="27" s="1"/>
  <c r="C21" i="45"/>
  <c r="C21" i="73"/>
  <c r="C15" i="73"/>
  <c r="C11" i="73"/>
  <c r="C11" i="74"/>
  <c r="C17" i="74" s="1"/>
  <c r="C23" i="74" s="1"/>
  <c r="E20" i="46"/>
  <c r="E24" i="46" s="1"/>
  <c r="P161" i="29"/>
  <c r="T161" i="29"/>
  <c r="AX161" i="29"/>
  <c r="BB161" i="29"/>
  <c r="AZ161" i="29"/>
  <c r="C88" i="25"/>
  <c r="AM160" i="23"/>
  <c r="AM161" i="23" s="1"/>
  <c r="C19" i="25"/>
  <c r="C7" i="26"/>
  <c r="D12" i="27"/>
  <c r="AZ160" i="23"/>
  <c r="AZ161" i="23" s="1"/>
  <c r="AT160" i="23"/>
  <c r="AT161" i="23" s="1"/>
  <c r="C14" i="25"/>
  <c r="C20" i="25"/>
  <c r="E20" i="62"/>
  <c r="E24" i="62" s="1"/>
  <c r="W172" i="23"/>
  <c r="E9" i="48"/>
  <c r="AI160" i="23"/>
  <c r="AI161" i="23" s="1"/>
  <c r="AF161" i="29"/>
  <c r="Y161" i="29"/>
  <c r="AR161" i="29"/>
  <c r="AR160" i="23"/>
  <c r="AR161" i="23" s="1"/>
  <c r="AP160" i="23"/>
  <c r="AP161" i="23" s="1"/>
  <c r="AW161" i="29"/>
  <c r="N161" i="29"/>
  <c r="T160" i="23"/>
  <c r="T161" i="23" s="1"/>
  <c r="AJ160" i="23"/>
  <c r="AJ161" i="23" s="1"/>
  <c r="AB160" i="23"/>
  <c r="AB161" i="23" s="1"/>
  <c r="V161" i="29"/>
  <c r="AU160" i="23"/>
  <c r="AU161" i="23" s="1"/>
  <c r="AD161" i="29"/>
  <c r="BH118" i="29"/>
  <c r="AD160" i="23"/>
  <c r="AD161" i="23" s="1"/>
  <c r="C55" i="25"/>
  <c r="C57" i="25" s="1"/>
  <c r="BH172" i="23"/>
  <c r="AK161" i="29"/>
  <c r="E161" i="49"/>
  <c r="H160" i="23"/>
  <c r="H161" i="23" s="1"/>
  <c r="K161" i="29"/>
  <c r="G160" i="23"/>
  <c r="G161" i="23" s="1"/>
  <c r="BD161" i="29"/>
  <c r="C76" i="25"/>
  <c r="C78" i="25" s="1"/>
  <c r="BI172" i="23"/>
  <c r="N160" i="23"/>
  <c r="N161" i="23" s="1"/>
  <c r="E173" i="23"/>
  <c r="BF173" i="23"/>
  <c r="BF172" i="23"/>
  <c r="E172" i="23"/>
  <c r="C30" i="25"/>
  <c r="C32" i="25" s="1"/>
  <c r="BG172" i="23"/>
  <c r="E161" i="29"/>
  <c r="AO161" i="29"/>
  <c r="G161" i="29"/>
  <c r="I161" i="29"/>
  <c r="Q161" i="29"/>
  <c r="AC161" i="29"/>
  <c r="AI161" i="29"/>
  <c r="BA161" i="29"/>
  <c r="F161" i="29"/>
  <c r="J161" i="29"/>
  <c r="X161" i="29"/>
  <c r="AB161" i="29"/>
  <c r="AJ161" i="29"/>
  <c r="AN161" i="29"/>
  <c r="AP161" i="29"/>
  <c r="H161" i="29"/>
  <c r="L161" i="29"/>
  <c r="R161" i="29"/>
  <c r="AH161" i="29"/>
  <c r="AL161" i="29"/>
  <c r="AT161" i="29"/>
  <c r="AV161" i="29"/>
  <c r="Z161" i="29"/>
  <c r="BF77" i="29"/>
  <c r="AU179" i="29"/>
  <c r="BE160" i="23"/>
  <c r="BE161" i="23" s="1"/>
  <c r="BA160" i="23"/>
  <c r="BA161" i="23" s="1"/>
  <c r="AW160" i="23"/>
  <c r="AW161" i="23" s="1"/>
  <c r="AS160" i="23"/>
  <c r="AS161" i="23" s="1"/>
  <c r="AO160" i="23"/>
  <c r="AO161" i="23" s="1"/>
  <c r="AK160" i="23"/>
  <c r="AK161" i="23" s="1"/>
  <c r="AE160" i="23"/>
  <c r="AE161" i="23" s="1"/>
  <c r="W160" i="23"/>
  <c r="W161" i="23" s="1"/>
  <c r="S160" i="23"/>
  <c r="S161" i="23" s="1"/>
  <c r="O160" i="23"/>
  <c r="O161" i="23" s="1"/>
  <c r="K160" i="23"/>
  <c r="K161" i="23" s="1"/>
  <c r="BD160" i="23"/>
  <c r="BD161" i="23" s="1"/>
  <c r="AV160" i="23"/>
  <c r="AV161" i="23" s="1"/>
  <c r="AN160" i="23"/>
  <c r="AN161" i="23" s="1"/>
  <c r="AF160" i="23"/>
  <c r="AF161" i="23" s="1"/>
  <c r="X160" i="23"/>
  <c r="X161" i="23" s="1"/>
  <c r="P160" i="23"/>
  <c r="P161" i="23" s="1"/>
  <c r="J160" i="23"/>
  <c r="J161" i="23" s="1"/>
  <c r="F160" i="23"/>
  <c r="F161" i="23" s="1"/>
  <c r="BH122" i="29"/>
  <c r="AI179" i="29"/>
  <c r="BI122" i="29"/>
  <c r="BI100" i="29"/>
  <c r="AY179" i="29"/>
  <c r="BC179" i="29"/>
  <c r="H5" i="29"/>
  <c r="AB5" i="29"/>
  <c r="AJ5" i="29"/>
  <c r="AT179" i="29"/>
  <c r="BH28" i="29"/>
  <c r="AC179" i="29"/>
  <c r="AK179" i="29"/>
  <c r="AS179" i="29"/>
  <c r="AW76" i="29"/>
  <c r="X179" i="29"/>
  <c r="BG44" i="29"/>
  <c r="BG32" i="29"/>
  <c r="BF118" i="29"/>
  <c r="BG100" i="29"/>
  <c r="BG57" i="29"/>
  <c r="BF40" i="29"/>
  <c r="L5" i="29"/>
  <c r="BH141" i="29"/>
  <c r="AF5" i="29"/>
  <c r="AN179" i="29"/>
  <c r="AP76" i="29"/>
  <c r="BD76" i="29"/>
  <c r="V76" i="29"/>
  <c r="AD179" i="29"/>
  <c r="AH179" i="29"/>
  <c r="AR76" i="29"/>
  <c r="C13" i="25"/>
  <c r="BG122" i="29"/>
  <c r="BG106" i="29"/>
  <c r="BF89" i="29"/>
  <c r="BF57" i="29"/>
  <c r="G76" i="29"/>
  <c r="BF44" i="29"/>
  <c r="BF65" i="29"/>
  <c r="K76" i="29"/>
  <c r="K179" i="29"/>
  <c r="O76" i="29"/>
  <c r="Q5" i="29"/>
  <c r="S76" i="29"/>
  <c r="S5" i="29"/>
  <c r="U5" i="29"/>
  <c r="Y76" i="29"/>
  <c r="BH44" i="29"/>
  <c r="AA76" i="29"/>
  <c r="AA179" i="29"/>
  <c r="AE76" i="29"/>
  <c r="AG76" i="29"/>
  <c r="AK76" i="29"/>
  <c r="BI141" i="29"/>
  <c r="BI118" i="29"/>
  <c r="BI32" i="29"/>
  <c r="BI16" i="29"/>
  <c r="AK5" i="29"/>
  <c r="AM76" i="29"/>
  <c r="AQ5" i="29"/>
  <c r="AS5" i="29"/>
  <c r="AY76" i="29"/>
  <c r="BA5" i="29"/>
  <c r="F76" i="29"/>
  <c r="H76" i="29"/>
  <c r="J76" i="29"/>
  <c r="L76" i="29"/>
  <c r="N76" i="29"/>
  <c r="V179" i="29"/>
  <c r="V5" i="29"/>
  <c r="BH158" i="29"/>
  <c r="BH154" i="29"/>
  <c r="E60" i="79" s="1"/>
  <c r="BH57" i="29"/>
  <c r="X76" i="29"/>
  <c r="BH6" i="29"/>
  <c r="Z5" i="29"/>
  <c r="AB76" i="29"/>
  <c r="AD5" i="29"/>
  <c r="AF76" i="29"/>
  <c r="AH5" i="29"/>
  <c r="AJ76" i="29"/>
  <c r="AN76" i="29"/>
  <c r="AN5" i="29"/>
  <c r="AX76" i="29"/>
  <c r="BB76" i="29"/>
  <c r="BD5" i="29"/>
  <c r="BG65" i="29"/>
  <c r="BF106" i="29"/>
  <c r="BG28" i="29"/>
  <c r="I179" i="29"/>
  <c r="K5" i="29"/>
  <c r="M76" i="29"/>
  <c r="Q76" i="29"/>
  <c r="U76" i="29"/>
  <c r="BH65" i="29"/>
  <c r="AE5" i="29"/>
  <c r="AG179" i="29"/>
  <c r="BI106" i="29"/>
  <c r="BI57" i="29"/>
  <c r="AU76" i="29"/>
  <c r="AW5" i="29"/>
  <c r="AY5" i="29"/>
  <c r="BA76" i="29"/>
  <c r="BC5" i="29"/>
  <c r="BE179" i="29"/>
  <c r="H179" i="29"/>
  <c r="N179" i="29"/>
  <c r="AJ179" i="29"/>
  <c r="AL76" i="29"/>
  <c r="AT5" i="29"/>
  <c r="AZ179" i="29"/>
  <c r="BB179" i="29"/>
  <c r="BB5" i="29"/>
  <c r="E5" i="23"/>
  <c r="E8" i="48" s="1"/>
  <c r="AG160" i="23"/>
  <c r="AG161" i="23" s="1"/>
  <c r="AC160" i="23"/>
  <c r="AC161" i="23" s="1"/>
  <c r="Y160" i="23"/>
  <c r="Y161" i="23" s="1"/>
  <c r="U160" i="23"/>
  <c r="U161" i="23" s="1"/>
  <c r="Q160" i="23"/>
  <c r="Q161" i="23" s="1"/>
  <c r="D10" i="27"/>
  <c r="D11" i="27"/>
  <c r="BG132" i="29"/>
  <c r="BF154" i="29"/>
  <c r="E58" i="79" s="1"/>
  <c r="BF158" i="29"/>
  <c r="BF100" i="29"/>
  <c r="E76" i="29"/>
  <c r="BG141" i="29"/>
  <c r="BF132" i="29"/>
  <c r="BG89" i="29"/>
  <c r="BF83" i="29"/>
  <c r="BG77" i="29"/>
  <c r="BF122" i="29"/>
  <c r="BF32" i="29"/>
  <c r="BF16" i="29"/>
  <c r="G5" i="29"/>
  <c r="BG118" i="29"/>
  <c r="G179" i="29"/>
  <c r="BF28" i="29"/>
  <c r="I5" i="29"/>
  <c r="M5" i="29"/>
  <c r="O179" i="29"/>
  <c r="S179" i="29"/>
  <c r="W76" i="29"/>
  <c r="W5" i="29"/>
  <c r="W179" i="29"/>
  <c r="BH83" i="29"/>
  <c r="BH32" i="29"/>
  <c r="BH16" i="29"/>
  <c r="Y5" i="29"/>
  <c r="AC76" i="29"/>
  <c r="AE179" i="29"/>
  <c r="AI76" i="29"/>
  <c r="AI5" i="29"/>
  <c r="BI158" i="29"/>
  <c r="BI154" i="29"/>
  <c r="E61" i="79" s="1"/>
  <c r="BI89" i="29"/>
  <c r="BI83" i="29"/>
  <c r="BI77" i="29"/>
  <c r="BI44" i="29"/>
  <c r="BI6" i="29"/>
  <c r="AM179" i="29"/>
  <c r="AO76" i="29"/>
  <c r="AO5" i="29"/>
  <c r="AQ76" i="29"/>
  <c r="BE76" i="29"/>
  <c r="BE5" i="29"/>
  <c r="F5" i="29"/>
  <c r="J5" i="29"/>
  <c r="N5" i="29"/>
  <c r="P76" i="29"/>
  <c r="P5" i="29"/>
  <c r="R179" i="29"/>
  <c r="R5" i="29"/>
  <c r="T76" i="29"/>
  <c r="T5" i="29"/>
  <c r="BH100" i="29"/>
  <c r="BH77" i="29"/>
  <c r="X5" i="29"/>
  <c r="AD76" i="29"/>
  <c r="AH76" i="29"/>
  <c r="AL179" i="29"/>
  <c r="AP179" i="29"/>
  <c r="AR5" i="29"/>
  <c r="AV76" i="29"/>
  <c r="AV5" i="29"/>
  <c r="AZ76" i="29"/>
  <c r="AZ5" i="29"/>
  <c r="BG154" i="29"/>
  <c r="E59" i="79" s="1"/>
  <c r="BF141" i="29"/>
  <c r="BG83" i="29"/>
  <c r="E179" i="29"/>
  <c r="BG16" i="29"/>
  <c r="BG40" i="29"/>
  <c r="I76" i="29"/>
  <c r="M179" i="29"/>
  <c r="O5" i="29"/>
  <c r="Q179" i="29"/>
  <c r="U179" i="29"/>
  <c r="BH132" i="29"/>
  <c r="BH106" i="29"/>
  <c r="Y179" i="29"/>
  <c r="AA5" i="29"/>
  <c r="AC5" i="29"/>
  <c r="AG5" i="29"/>
  <c r="BI132" i="29"/>
  <c r="BI65" i="29"/>
  <c r="BI179" i="29" s="1"/>
  <c r="AM5" i="29"/>
  <c r="AO179" i="29"/>
  <c r="AS76" i="29"/>
  <c r="AU5" i="29"/>
  <c r="AW179" i="29"/>
  <c r="BA179" i="29"/>
  <c r="BC76" i="29"/>
  <c r="F179" i="29"/>
  <c r="J179" i="29"/>
  <c r="L179" i="29"/>
  <c r="P179" i="29"/>
  <c r="R76" i="29"/>
  <c r="T179" i="29"/>
  <c r="BH89" i="29"/>
  <c r="Z76" i="29"/>
  <c r="AB179" i="29"/>
  <c r="AF179" i="29"/>
  <c r="AL5" i="29"/>
  <c r="AP5" i="29"/>
  <c r="AR179" i="29"/>
  <c r="AT76" i="29"/>
  <c r="AX179" i="29"/>
  <c r="AX5" i="29"/>
  <c r="C10" i="25"/>
  <c r="BI5" i="23"/>
  <c r="BI160" i="23" s="1"/>
  <c r="BI161" i="23" s="1"/>
  <c r="BG5" i="23"/>
  <c r="BG160" i="23" s="1"/>
  <c r="BG161" i="23" s="1"/>
  <c r="BF170" i="23"/>
  <c r="BF76" i="23"/>
  <c r="M160" i="23"/>
  <c r="M161" i="23" s="1"/>
  <c r="BF5" i="23"/>
  <c r="C9" i="25"/>
  <c r="BH160" i="23"/>
  <c r="BH161" i="23" s="1"/>
  <c r="E76" i="23"/>
  <c r="E79" i="48" s="1"/>
  <c r="C63" i="25" l="1"/>
  <c r="C69" i="25" s="1"/>
  <c r="E8" i="49"/>
  <c r="E79" i="49"/>
  <c r="C38" i="25"/>
  <c r="C44" i="25" s="1"/>
  <c r="C84" i="25"/>
  <c r="C90" i="25" s="1"/>
  <c r="C21" i="25"/>
  <c r="C21" i="59"/>
  <c r="C15" i="59"/>
  <c r="C17" i="73"/>
  <c r="C23" i="73" s="1"/>
  <c r="C15" i="25"/>
  <c r="C11" i="45"/>
  <c r="C17" i="45" s="1"/>
  <c r="C23" i="45" s="1"/>
  <c r="C11" i="60"/>
  <c r="C17" i="60" s="1"/>
  <c r="C23" i="60" s="1"/>
  <c r="C11" i="59"/>
  <c r="D20" i="61"/>
  <c r="D24" i="61" s="1"/>
  <c r="BF160" i="23"/>
  <c r="BF161" i="23" s="1"/>
  <c r="D20" i="27"/>
  <c r="D24" i="27" s="1"/>
  <c r="C11" i="25"/>
  <c r="BF76" i="29"/>
  <c r="BH179" i="29"/>
  <c r="BF179" i="29"/>
  <c r="BH5" i="29"/>
  <c r="E160" i="23"/>
  <c r="E161" i="23" s="1"/>
  <c r="BH76" i="29"/>
  <c r="BI5" i="29"/>
  <c r="BI76" i="29"/>
  <c r="BG76" i="29"/>
  <c r="BG179" i="29"/>
  <c r="BH161" i="29" l="1"/>
  <c r="C17" i="59"/>
  <c r="C23" i="59" s="1"/>
  <c r="C17" i="25"/>
  <c r="C23" i="25" s="1"/>
  <c r="BI161" i="29"/>
  <c r="F17" i="1"/>
  <c r="F18" i="1" s="1"/>
  <c r="C13" i="1" l="1"/>
  <c r="C14" i="1" s="1"/>
  <c r="I18" i="1"/>
  <c r="L17" i="1"/>
  <c r="L18" i="1" s="1"/>
  <c r="R11" i="1"/>
  <c r="O26" i="1"/>
  <c r="O54" i="13" l="1"/>
  <c r="O53" i="13"/>
  <c r="O52" i="13"/>
  <c r="O51" i="13"/>
  <c r="O50" i="13"/>
  <c r="O49" i="13"/>
  <c r="O48" i="13"/>
  <c r="O47" i="13"/>
  <c r="O46" i="13"/>
  <c r="O45" i="13"/>
  <c r="O44" i="13"/>
  <c r="O43" i="13"/>
  <c r="O42" i="13"/>
  <c r="O41" i="13"/>
  <c r="O40" i="13"/>
  <c r="O39" i="13"/>
  <c r="O38" i="13"/>
  <c r="O37" i="13"/>
  <c r="O36" i="13"/>
  <c r="O35" i="13"/>
  <c r="O34" i="13"/>
  <c r="O33" i="13"/>
  <c r="O32" i="13"/>
  <c r="O31" i="13"/>
  <c r="O30" i="13"/>
  <c r="O29" i="13"/>
  <c r="O28" i="13"/>
  <c r="O27" i="13"/>
  <c r="O26" i="13"/>
  <c r="O25" i="13"/>
  <c r="O24" i="13"/>
  <c r="O23" i="13"/>
  <c r="O22" i="13"/>
  <c r="O21" i="13"/>
  <c r="O20" i="13"/>
  <c r="O19" i="13"/>
  <c r="O18" i="13"/>
  <c r="O17" i="13"/>
  <c r="O16" i="13"/>
  <c r="O15" i="13"/>
  <c r="O14" i="13"/>
  <c r="O13" i="13"/>
  <c r="O12" i="13"/>
  <c r="O11" i="13"/>
  <c r="O10" i="13"/>
  <c r="O9" i="13"/>
  <c r="O8" i="13"/>
  <c r="O7" i="13"/>
  <c r="O6" i="13"/>
  <c r="O5" i="13"/>
  <c r="O4" i="13"/>
  <c r="O3" i="13"/>
  <c r="O2" i="13"/>
  <c r="O55" i="13" l="1"/>
  <c r="H8" i="13"/>
  <c r="H7" i="13"/>
  <c r="H6" i="13"/>
  <c r="H9" i="13" l="1"/>
  <c r="C26" i="1" l="1"/>
  <c r="O8" i="1" l="1"/>
  <c r="S14" i="1" s="1"/>
  <c r="S15" i="1" l="1"/>
  <c r="U17" i="1"/>
  <c r="B21" i="1"/>
  <c r="E26" i="1" l="1"/>
  <c r="C25" i="1" l="1"/>
  <c r="E25" i="1" s="1"/>
  <c r="C28" i="1"/>
  <c r="E28" i="1" s="1"/>
  <c r="R12" i="1"/>
  <c r="C29" i="1" l="1"/>
  <c r="E29" i="1" s="1"/>
  <c r="O9" i="1"/>
  <c r="C24" i="1"/>
  <c r="E24" i="1" s="1"/>
  <c r="F25" i="1" s="1"/>
  <c r="C27" i="1"/>
  <c r="E27" i="1" s="1"/>
  <c r="C30" i="1" l="1"/>
  <c r="E30" i="1" s="1"/>
  <c r="BG14" i="29"/>
  <c r="BF14" i="29"/>
  <c r="BF10" i="29"/>
  <c r="BG10" i="29"/>
  <c r="BF13" i="29"/>
  <c r="BG13" i="29"/>
  <c r="BF9" i="29"/>
  <c r="E6" i="29"/>
  <c r="E5" i="29" s="1"/>
  <c r="BG9" i="29"/>
  <c r="BF6" i="29" l="1"/>
  <c r="BF5" i="29" s="1"/>
  <c r="BF161" i="29" s="1"/>
  <c r="BG6" i="29"/>
  <c r="BG5" i="29" s="1"/>
  <c r="BG161" i="29" s="1"/>
</calcChain>
</file>

<file path=xl/sharedStrings.xml><?xml version="1.0" encoding="utf-8"?>
<sst xmlns="http://schemas.openxmlformats.org/spreadsheetml/2006/main" count="5442" uniqueCount="871">
  <si>
    <t>moins de 200 habitants</t>
  </si>
  <si>
    <t>201 à 500 habitants</t>
  </si>
  <si>
    <t>501 à 1'000 habitants</t>
  </si>
  <si>
    <t>1'001 à 2'000 habitants</t>
  </si>
  <si>
    <t>2001 à 3'000 habitant</t>
  </si>
  <si>
    <t>plus de 3'000 habitant</t>
  </si>
  <si>
    <t>Saint-Brais</t>
  </si>
  <si>
    <t>Muriaux</t>
  </si>
  <si>
    <t>Cornol</t>
  </si>
  <si>
    <t>Courgenay</t>
  </si>
  <si>
    <t>Courroux</t>
  </si>
  <si>
    <t>La Chaux</t>
  </si>
  <si>
    <t>Saulcy</t>
  </si>
  <si>
    <t>Mervelier</t>
  </si>
  <si>
    <t>La Baroche</t>
  </si>
  <si>
    <t>Courtételle</t>
  </si>
  <si>
    <t>Porrentruy</t>
  </si>
  <si>
    <t>Mettembert</t>
  </si>
  <si>
    <t>Bourrignon</t>
  </si>
  <si>
    <t>Les Genevez</t>
  </si>
  <si>
    <t>Les Bois</t>
  </si>
  <si>
    <t>Saignelégier</t>
  </si>
  <si>
    <t>Haute-Sorne</t>
  </si>
  <si>
    <t>Ederswiler</t>
  </si>
  <si>
    <t>Courchavon</t>
  </si>
  <si>
    <t>Vendlincourt</t>
  </si>
  <si>
    <t>Boncourt</t>
  </si>
  <si>
    <t>Val Terbi</t>
  </si>
  <si>
    <t>Delémont</t>
  </si>
  <si>
    <t>Beurnevésin</t>
  </si>
  <si>
    <t>Le Bémont</t>
  </si>
  <si>
    <t>Rossemaison</t>
  </si>
  <si>
    <t>Basse-Allaine</t>
  </si>
  <si>
    <t>Courrendlin</t>
  </si>
  <si>
    <t>Soubey</t>
  </si>
  <si>
    <t>Fahy</t>
  </si>
  <si>
    <t>Montfaucon</t>
  </si>
  <si>
    <t>Clos du Doubs</t>
  </si>
  <si>
    <t>moyenne</t>
  </si>
  <si>
    <t>Les Enfers</t>
  </si>
  <si>
    <t>Pleigne</t>
  </si>
  <si>
    <t>Lajoux</t>
  </si>
  <si>
    <t>Develier</t>
  </si>
  <si>
    <t>Movelier</t>
  </si>
  <si>
    <t>Bure</t>
  </si>
  <si>
    <t>Les Breuleux</t>
  </si>
  <si>
    <t>Damphreux</t>
  </si>
  <si>
    <t>Grandfontaine</t>
  </si>
  <si>
    <t>Bonfol</t>
  </si>
  <si>
    <t>Fontenais</t>
  </si>
  <si>
    <t>Lugnez</t>
  </si>
  <si>
    <t>Coeuve</t>
  </si>
  <si>
    <t>Alle</t>
  </si>
  <si>
    <t>Courchapoix</t>
  </si>
  <si>
    <t>Courdedoux</t>
  </si>
  <si>
    <t>Le Noirmont</t>
  </si>
  <si>
    <t>Boécourt</t>
  </si>
  <si>
    <t>Châtillon</t>
  </si>
  <si>
    <t>Haute-Ajoie</t>
  </si>
  <si>
    <t>Soyhières</t>
  </si>
  <si>
    <t>Charges</t>
  </si>
  <si>
    <t>Charges du personnel</t>
  </si>
  <si>
    <t>Courtedoux</t>
  </si>
  <si>
    <t>Par Disctrict</t>
  </si>
  <si>
    <t>Franches-Montagnes</t>
  </si>
  <si>
    <t>Total</t>
  </si>
  <si>
    <t>MOINS DE 1000 HABITANTS</t>
  </si>
  <si>
    <t>Communes</t>
  </si>
  <si>
    <t>Contrôle</t>
  </si>
  <si>
    <t>Variation de fortune</t>
  </si>
  <si>
    <t>N°</t>
  </si>
  <si>
    <t>La Chaux-B.</t>
  </si>
  <si>
    <t>Population par district</t>
  </si>
  <si>
    <t>13 communes de 200 à 500 habitants</t>
  </si>
  <si>
    <t>12 communes de 1'001 à 2'000 habitants</t>
  </si>
  <si>
    <t>3 communes de 2'001 à 3'000 habitants</t>
  </si>
  <si>
    <t>6 communes de plus 3'000 habitants</t>
  </si>
  <si>
    <t>8 communes de moins 200 habitants</t>
  </si>
  <si>
    <t>11 communes de 501 à 1'000 habitants</t>
  </si>
  <si>
    <t>Revenus fiscaux</t>
  </si>
  <si>
    <t>Autorités et commissions</t>
  </si>
  <si>
    <t>Personnel administratif et d'exploitation</t>
  </si>
  <si>
    <t>Enseignants</t>
  </si>
  <si>
    <t>Personnel temporaire administratif et d'exploitation</t>
  </si>
  <si>
    <t>Charges de l'employeur</t>
  </si>
  <si>
    <t>Prestations sociales de l'employeur</t>
  </si>
  <si>
    <t>Autres charges du personnel</t>
  </si>
  <si>
    <t>Charges de biens et de services et autres charges d'exploitation</t>
  </si>
  <si>
    <t>Charges de matériel et de marchandises</t>
  </si>
  <si>
    <t>Immobilisation ne pouvant être portées à l'actif</t>
  </si>
  <si>
    <t>Alimentations et éliminations des biens-fonds du PA</t>
  </si>
  <si>
    <t>Prestations de services et honoraires</t>
  </si>
  <si>
    <t>Entretien des biens mobiliers et des immobilisations corporelles du PA</t>
  </si>
  <si>
    <t>Loyers - crédits-bails (leasing) - baux à fermes - taxes d'utilisation</t>
  </si>
  <si>
    <t>Indemnités et dédommagements</t>
  </si>
  <si>
    <t>Réévaluations de créances</t>
  </si>
  <si>
    <t>Divers charges d'exploitation</t>
  </si>
  <si>
    <t>Amortissements du patrimoine administratif</t>
  </si>
  <si>
    <t>Amortissements des immobilisations incorporelles du PA</t>
  </si>
  <si>
    <t>Amortissements des immobilisations corporelles du PA</t>
  </si>
  <si>
    <t>Charges financières</t>
  </si>
  <si>
    <t>Charges d'intérets</t>
  </si>
  <si>
    <t>Pertes sur les placements financiers et les immobilisations du PF</t>
  </si>
  <si>
    <t>Frais d'acquisitions des capitaux et frais administratifs</t>
  </si>
  <si>
    <t>Charges pour les biens-fonds du PF</t>
  </si>
  <si>
    <t>Réévaluations des immobilisations du PF</t>
  </si>
  <si>
    <t>Autres charges financières</t>
  </si>
  <si>
    <t>Attributions aux financements spéciaux du capital propres</t>
  </si>
  <si>
    <t>Attributions aux financements spéciaux des capitaux de tiers</t>
  </si>
  <si>
    <t>Charges de transferts</t>
  </si>
  <si>
    <t>Parts de revenus destinés à des collectivités publiques</t>
  </si>
  <si>
    <t>Dédommagements aux collectivités publiques</t>
  </si>
  <si>
    <t>Péréquation financière et compensation de charges</t>
  </si>
  <si>
    <t>Subventions à des collectivités publiques et des tiers</t>
  </si>
  <si>
    <t>Réévaluations des prets du PA</t>
  </si>
  <si>
    <t>Réévaluations des participations du PA</t>
  </si>
  <si>
    <t>Amortissements des subventions des investissements</t>
  </si>
  <si>
    <t>Différentes charges de transfert à des collectivités publiques et tiers</t>
  </si>
  <si>
    <t>Subventions à redistribuer</t>
  </si>
  <si>
    <t>Subventions à redistribuer à des collectivités publiques et des tiers</t>
  </si>
  <si>
    <t>Charges extraordinaires</t>
  </si>
  <si>
    <t>Charges extraordinaires du personnel administratif et d'exploitation</t>
  </si>
  <si>
    <t>charges extraordinaires de biens et de services d'exploitation</t>
  </si>
  <si>
    <t>Charges extraordinaires financières et comptables</t>
  </si>
  <si>
    <t>Attributions extraordinaires aux financements spéciaux</t>
  </si>
  <si>
    <t>Charges de transfert extraordinaires au collectivités et aux tiers</t>
  </si>
  <si>
    <t>Attributions au captial propre</t>
  </si>
  <si>
    <t>Imputations internes</t>
  </si>
  <si>
    <t>Approvisionnement en matériel et en marchandises</t>
  </si>
  <si>
    <t>Prestations de services</t>
  </si>
  <si>
    <t>Loyer, baux à ferme et frais d'utilisation</t>
  </si>
  <si>
    <t>Frais administratifs et d'exploitation</t>
  </si>
  <si>
    <t>Intérêts et charges financières théoriques</t>
  </si>
  <si>
    <t>Amortissements planifiés et non planifiés du PA</t>
  </si>
  <si>
    <t>Virements comptabiles</t>
  </si>
  <si>
    <t>Autres imputations internes</t>
  </si>
  <si>
    <t>Revenus</t>
  </si>
  <si>
    <t>Impôts directs des personnes physiques</t>
  </si>
  <si>
    <t>Impôts directs des personnes morales</t>
  </si>
  <si>
    <t>Autres impôts directs</t>
  </si>
  <si>
    <t>Impôts sur la possession et les dépenses</t>
  </si>
  <si>
    <t>Revenus de patentes et de concessions</t>
  </si>
  <si>
    <t xml:space="preserve">Revenus de patentes  </t>
  </si>
  <si>
    <t>Revenus de la Banque Nationale</t>
  </si>
  <si>
    <t>Revenus des concessions</t>
  </si>
  <si>
    <t>Parts des revenus de loterie et paris</t>
  </si>
  <si>
    <t>Taxes</t>
  </si>
  <si>
    <t>Taxes d'exemption et de compensation</t>
  </si>
  <si>
    <t>Emoluments administratif</t>
  </si>
  <si>
    <t>Taxes et émoluments hospitaliers et médico-sociaux et foyers</t>
  </si>
  <si>
    <t>Frais d'écolage</t>
  </si>
  <si>
    <t>Taxes d'utilisation et de prestation de services</t>
  </si>
  <si>
    <t>Revenus des ventes</t>
  </si>
  <si>
    <t>remboursements</t>
  </si>
  <si>
    <t>Amendes</t>
  </si>
  <si>
    <t>Autres taxes et compensations</t>
  </si>
  <si>
    <t>Revenus divers</t>
  </si>
  <si>
    <t>Revenus divers d'exploitation</t>
  </si>
  <si>
    <t>Inscriptions de prestations propres portées à l'actif</t>
  </si>
  <si>
    <t>Variation de stock</t>
  </si>
  <si>
    <t>Autres revenus divers</t>
  </si>
  <si>
    <t>Revenus financiers</t>
  </si>
  <si>
    <t>Revenus des intérets</t>
  </si>
  <si>
    <t>Gains réalisés du PF</t>
  </si>
  <si>
    <t>Revenus de participations du PF</t>
  </si>
  <si>
    <t>Revenus des biens-fonds, des bâtiments et immeubles du PF</t>
  </si>
  <si>
    <t>Revenus financiers de prêts et de participation du PA</t>
  </si>
  <si>
    <t>Revenus financiers d'entreprises publiques</t>
  </si>
  <si>
    <t>Revenus des biens-fonds, des bâtiments et immeubles du PA</t>
  </si>
  <si>
    <t>Revenus des biens-fonds loués</t>
  </si>
  <si>
    <t>Autres revenus financiers</t>
  </si>
  <si>
    <t>Prélèvements sur les financements spéciaux des capitaux de tiers</t>
  </si>
  <si>
    <t>Prélèvements sur les financements spéciaux du capital propre</t>
  </si>
  <si>
    <t>Prélèvements sur les financements spéciaux</t>
  </si>
  <si>
    <t>Revenus de transfert</t>
  </si>
  <si>
    <t>Parts à des revenus des collectivités publiques</t>
  </si>
  <si>
    <t>Dédommagements des collectivités publiques</t>
  </si>
  <si>
    <t>Subventions de collectivités publiques et de tiers</t>
  </si>
  <si>
    <t>Différents revenus et transferts de collectivités publiques et de tiers</t>
  </si>
  <si>
    <t>Subventions à redistribuer des collectivités publiques et de tiers</t>
  </si>
  <si>
    <t>Revenus extraordinaires</t>
  </si>
  <si>
    <t>Revenus extraordinaires de patentes et de concessions</t>
  </si>
  <si>
    <t>Contributions extraordinaires</t>
  </si>
  <si>
    <t>Revenus divers extraordinaires</t>
  </si>
  <si>
    <t>Revenus financiers extraordinaires</t>
  </si>
  <si>
    <t>Prélèvements extraordinaires sur les financements spéciaux</t>
  </si>
  <si>
    <t>Parts aux revenus extraordinaires de transferts des collectivités et tiers</t>
  </si>
  <si>
    <t>Prélèvement sur le capital propre</t>
  </si>
  <si>
    <t>Fermages, loyers et frais d'utilisation</t>
  </si>
  <si>
    <t>Frais administratifs et d'exploitations</t>
  </si>
  <si>
    <t>Amortissements planifiés et non planifiés</t>
  </si>
  <si>
    <t>Virements comptables</t>
  </si>
  <si>
    <t>Dépenses d'investissements</t>
  </si>
  <si>
    <t>Comptes de clôture</t>
  </si>
  <si>
    <t>Clôture du compte de résultats</t>
  </si>
  <si>
    <t>Compte général (+ / -)</t>
  </si>
  <si>
    <t>Financements spéciaux (+ / -)</t>
  </si>
  <si>
    <t>Résultat global</t>
  </si>
  <si>
    <t>Ensemble des communes jurassiennes</t>
  </si>
  <si>
    <t xml:space="preserve">Comptes  </t>
  </si>
  <si>
    <t>Libellés</t>
  </si>
  <si>
    <t>CHF</t>
  </si>
  <si>
    <t>Charges d'exploitation</t>
  </si>
  <si>
    <t>Revenus d'exploitation</t>
  </si>
  <si>
    <t>Résultat de l'activité d'exploitation</t>
  </si>
  <si>
    <t>Résultat opérationnel</t>
  </si>
  <si>
    <t>Résultat extraordinaire</t>
  </si>
  <si>
    <t>Résultat total, compte de résultats</t>
  </si>
  <si>
    <t>30, 31 33, 35, 36, 37</t>
  </si>
  <si>
    <t>40, 41, 42, 43, 45, 46, 47</t>
  </si>
  <si>
    <t>District de Delémont</t>
  </si>
  <si>
    <t>District des Franches-Montagnes</t>
  </si>
  <si>
    <t>District de Porrentruy</t>
  </si>
  <si>
    <t>Impôts fonciers</t>
  </si>
  <si>
    <t>Revalorisation du PF</t>
  </si>
  <si>
    <t>Comptes</t>
  </si>
  <si>
    <t>5 ./. 6</t>
  </si>
  <si>
    <t>Clôture du compte général</t>
  </si>
  <si>
    <t>Compte général</t>
  </si>
  <si>
    <t>Clôture des financements spéciaux</t>
  </si>
  <si>
    <t>Investissements nets</t>
  </si>
  <si>
    <t>Résultat du financement (autofinancement)</t>
  </si>
  <si>
    <t>comptes</t>
  </si>
  <si>
    <t>690 ./. 590</t>
  </si>
  <si>
    <t>+</t>
  </si>
  <si>
    <t>-</t>
  </si>
  <si>
    <t>Attributions aux financements spéciaux</t>
  </si>
  <si>
    <t>Attributions aux capitaux propres</t>
  </si>
  <si>
    <t>Autofinancement (Cash flow)</t>
  </si>
  <si>
    <t>Résultat du compte d'investissements</t>
  </si>
  <si>
    <t>Résultat de financement (+ = excédent / - = découvert de financement)</t>
  </si>
  <si>
    <t>Amortissements des subventions d'investissements</t>
  </si>
  <si>
    <t>Prélèvements sur les capitaux propres</t>
  </si>
  <si>
    <t>Réévaluations des prêts du patrimoine administratif</t>
  </si>
  <si>
    <t>Réévaluations des participations du patrimoine administratif</t>
  </si>
  <si>
    <t>Revalorisations du patrimoine financier</t>
  </si>
  <si>
    <t>Contrôle des imputations internes</t>
  </si>
  <si>
    <t>Résultat provenant du financement</t>
  </si>
  <si>
    <t>Actif</t>
  </si>
  <si>
    <t>Patrimoine financier</t>
  </si>
  <si>
    <t>Disponibilité et placements à court terme</t>
  </si>
  <si>
    <t>Créances</t>
  </si>
  <si>
    <t>Placements financiers à court terme</t>
  </si>
  <si>
    <t>Actifs de régularisation</t>
  </si>
  <si>
    <t>Marchandises, fournitures et travaux en cours</t>
  </si>
  <si>
    <t>Immobilisation corporelles du PF</t>
  </si>
  <si>
    <t>Patrimoine administratif</t>
  </si>
  <si>
    <t>Immobilisation incorporelles du PA</t>
  </si>
  <si>
    <t>Immobilisation corporelles du PA</t>
  </si>
  <si>
    <t>Prêts</t>
  </si>
  <si>
    <t>Passif</t>
  </si>
  <si>
    <t>Capitaux de tiers</t>
  </si>
  <si>
    <t>Engagements courants</t>
  </si>
  <si>
    <t>Engagements financiers à court terme</t>
  </si>
  <si>
    <t>Passifs de régularisation</t>
  </si>
  <si>
    <t>Provisions à court terme</t>
  </si>
  <si>
    <t>Engagements financiers à long terme</t>
  </si>
  <si>
    <t>Provisions à long terme</t>
  </si>
  <si>
    <t>Engagements envers les financements spéciaux et capitaux de tiers</t>
  </si>
  <si>
    <t>Capital propre</t>
  </si>
  <si>
    <t>Financement spéciaux du capital propre</t>
  </si>
  <si>
    <t>Fonds du capital propres</t>
  </si>
  <si>
    <t>Réserves des domaines de l'enveloppe budgétaire</t>
  </si>
  <si>
    <t>Préfinancements</t>
  </si>
  <si>
    <t>Réserves de politique budgétaire</t>
  </si>
  <si>
    <t>Réserves liées à la réévaluation (introduction MCH2)</t>
  </si>
  <si>
    <t>Réserves liées à la réévaluation du PF</t>
  </si>
  <si>
    <t>Autres capitaux propres</t>
  </si>
  <si>
    <t>Instruments financiers dérivés</t>
  </si>
  <si>
    <t>Clôture du compte de résultats / excédent de produits</t>
  </si>
  <si>
    <t>Péréquation financière horizontal</t>
  </si>
  <si>
    <t>Contributions des communes-centres</t>
  </si>
  <si>
    <t>Prélèvement sur la réserve liée à la réévaluation</t>
  </si>
  <si>
    <t>Clôture d'autres capitaux propres / excédent de produits</t>
  </si>
  <si>
    <t>Indicateurs financiers</t>
  </si>
  <si>
    <t>Charges de personnel</t>
  </si>
  <si>
    <t>Charges de biens et services et autres charges d'exploitation</t>
  </si>
  <si>
    <t>Impôts directs, personnes physiques</t>
  </si>
  <si>
    <t>Réévaluation de créances</t>
  </si>
  <si>
    <t>Impôts directs, personnes morales</t>
  </si>
  <si>
    <t>Revenus des intérêts</t>
  </si>
  <si>
    <t>Charges d'intérêts</t>
  </si>
  <si>
    <t>Gains réalisés du patrimoine financier</t>
  </si>
  <si>
    <t>Revenus de participations du patrimoine financier</t>
  </si>
  <si>
    <t>Revenus des biens fonds, bâtiments et immeubles du PF</t>
  </si>
  <si>
    <t>Charges de transfert</t>
  </si>
  <si>
    <t>Péréquation financière horizontale</t>
  </si>
  <si>
    <t>Contributions aux communes-centres</t>
  </si>
  <si>
    <t>Prélèvement sur les financements spéciaux</t>
  </si>
  <si>
    <t>Attributions au capital propre</t>
  </si>
  <si>
    <t>Prélèvement sur les capitaux propres</t>
  </si>
  <si>
    <t>Attributions aux autres capitaux propres</t>
  </si>
  <si>
    <t>Clôture d'autres capitaux propres / excédent de charges</t>
  </si>
  <si>
    <t>Dépenses</t>
  </si>
  <si>
    <t>Recettes</t>
  </si>
  <si>
    <t>Réévalutation de créances</t>
  </si>
  <si>
    <t>Clôtures du compte de résultats / excédent de charge</t>
  </si>
  <si>
    <t>Administration générale</t>
  </si>
  <si>
    <t>1</t>
  </si>
  <si>
    <t>Ordre et sécurité publics - Défense</t>
  </si>
  <si>
    <t>Formation</t>
  </si>
  <si>
    <t>Culture - Sports - Loisirs - Eglises</t>
  </si>
  <si>
    <t>Santé</t>
  </si>
  <si>
    <t>Prévoyance sociale</t>
  </si>
  <si>
    <t>Protection de l'environnement - Aménagement du territoire</t>
  </si>
  <si>
    <t>Economie publique</t>
  </si>
  <si>
    <t>Finances - Impôts</t>
  </si>
  <si>
    <t>dont charges</t>
  </si>
  <si>
    <t>dont revenus</t>
  </si>
  <si>
    <t>Récapitulation générale</t>
  </si>
  <si>
    <t>Caisse</t>
  </si>
  <si>
    <t>Poste</t>
  </si>
  <si>
    <t>Placement à court terme sur le marché monétaire</t>
  </si>
  <si>
    <t>Carte de débit ou crédit</t>
  </si>
  <si>
    <t>Autres disponibilité</t>
  </si>
  <si>
    <t>Créances résultant de liraison et de prestations envers des tiers</t>
  </si>
  <si>
    <t>Créances fiscales</t>
  </si>
  <si>
    <t>Acomptes à des tiers</t>
  </si>
  <si>
    <t>Créances sur transferts</t>
  </si>
  <si>
    <t>Banques</t>
  </si>
  <si>
    <t>Comptes courants internes</t>
  </si>
  <si>
    <t>Avances pour les frais administratifs</t>
  </si>
  <si>
    <t>Autres créances et TVA</t>
  </si>
  <si>
    <t>Prêts à court terme</t>
  </si>
  <si>
    <t>Placements à intérêts à court terme</t>
  </si>
  <si>
    <t>Dépôts à terme</t>
  </si>
  <si>
    <t>Autres placements financiers à court terme</t>
  </si>
  <si>
    <t>Charges de biens et de services et autres charges d'exploitations</t>
  </si>
  <si>
    <t>Impôts</t>
  </si>
  <si>
    <t>Transferts du compte de résultats</t>
  </si>
  <si>
    <t>Charges financiers / revenus financiers</t>
  </si>
  <si>
    <t>Autres revenus d'exploitations</t>
  </si>
  <si>
    <t>Actifs de régularisation du comptes des investissements</t>
  </si>
  <si>
    <t>Autres actifs de régularisation du comptes de résultats</t>
  </si>
  <si>
    <t>Articles de commerces</t>
  </si>
  <si>
    <t>Matières premières et auxiliaires</t>
  </si>
  <si>
    <t>Produits semi-finis et finis</t>
  </si>
  <si>
    <t>Travaux en cours</t>
  </si>
  <si>
    <t>Avances et acomptes versés</t>
  </si>
  <si>
    <t>Actions et parts sociales</t>
  </si>
  <si>
    <t>Placements à intérêts à long terme</t>
  </si>
  <si>
    <t>Cérances à long terme</t>
  </si>
  <si>
    <t>Autres placements financiers à long terme</t>
  </si>
  <si>
    <t>Placements financiers</t>
  </si>
  <si>
    <t>Terrains du PF</t>
  </si>
  <si>
    <t>Bâtiments, locaux et équipement du PF</t>
  </si>
  <si>
    <t>Biens mobiliers du PF</t>
  </si>
  <si>
    <t>Installations et constructions du PF</t>
  </si>
  <si>
    <t>Avances terrains, bâtiments, mobilier du PF</t>
  </si>
  <si>
    <t>Autres immobilisations corporelles du PF</t>
  </si>
  <si>
    <t>Créances envers les financements spéciaux et fonds du capital de tiers</t>
  </si>
  <si>
    <t>Créances envres les fonds des capitaux de tiers</t>
  </si>
  <si>
    <t xml:space="preserve">Créances envers les legs et fondations </t>
  </si>
  <si>
    <t>Créances envers d'autres capitaux de tiers</t>
  </si>
  <si>
    <t>Terrains non bâtis et terrains bâtis du PA</t>
  </si>
  <si>
    <t>Routes et voies de communications du PA</t>
  </si>
  <si>
    <t>Aménagement des plans d'eau et cours d'eau du PA</t>
  </si>
  <si>
    <t>Autres ouvrages de génie civil du PA - Collecteurs, canalisations</t>
  </si>
  <si>
    <t>Bâtiments, locaux et équipement du PA</t>
  </si>
  <si>
    <t>Forêts du PA</t>
  </si>
  <si>
    <t>Biens mobilier du PA</t>
  </si>
  <si>
    <t>Immobilisations en construction du PA</t>
  </si>
  <si>
    <t>Autres immobilisations corporelles du PA</t>
  </si>
  <si>
    <t>Logiciels</t>
  </si>
  <si>
    <t>Brevets et licenses</t>
  </si>
  <si>
    <t>Prêts à la Confédération</t>
  </si>
  <si>
    <t>Prêts aux communes et associations intercommunales</t>
  </si>
  <si>
    <t>Prêts aux cantons et concordats</t>
  </si>
  <si>
    <t>Prêts aux assurances sociales publiques</t>
  </si>
  <si>
    <t>Prêts aux entreprises publiques</t>
  </si>
  <si>
    <t>Prêts aux entreprises privées</t>
  </si>
  <si>
    <t>Prêts aux organisations privées à but non lucratif</t>
  </si>
  <si>
    <t>Prêts aux ménages privés</t>
  </si>
  <si>
    <t>Prêts à l'étranger</t>
  </si>
  <si>
    <t>Participations aux cantons et concordats</t>
  </si>
  <si>
    <t>Participations à la Confédération</t>
  </si>
  <si>
    <t>Participations et capital social</t>
  </si>
  <si>
    <t>Participations aux communes et associations intercommunales</t>
  </si>
  <si>
    <t>Participations aux assurances sociales publiques</t>
  </si>
  <si>
    <t>Participations aux entreprises publiques</t>
  </si>
  <si>
    <t>Participations aux entreprises privées</t>
  </si>
  <si>
    <t>Participations aux organisations privées à but non lucratif</t>
  </si>
  <si>
    <t>Participations aux ménages privés</t>
  </si>
  <si>
    <t>Participations à l'étranger</t>
  </si>
  <si>
    <t>Subventions d'investissements aux communes et associations</t>
  </si>
  <si>
    <t>Subventions d'investissements aux assurances sociales publiques</t>
  </si>
  <si>
    <t>Subventions d'investissements aux entreprises publiques</t>
  </si>
  <si>
    <t>Subventions d'investissements aux entreprises privées</t>
  </si>
  <si>
    <t>Subventions d'investissements aux ménages privés</t>
  </si>
  <si>
    <t>Subventions d'investissements à l'étranger</t>
  </si>
  <si>
    <t>Subventions d'investissements aux immobilisations en construction</t>
  </si>
  <si>
    <t>Subventions d'investissements à la Confédération</t>
  </si>
  <si>
    <t>Subventions d'investissements aux cantons et concordats</t>
  </si>
  <si>
    <t>Subventions d'investissements aux organisations privées à but non luc.</t>
  </si>
  <si>
    <t>Subventions d'investissements</t>
  </si>
  <si>
    <t>Engagements courants provenant de livraison et de prestations de tiers</t>
  </si>
  <si>
    <t>Comptes courants avec des tiers</t>
  </si>
  <si>
    <t>Impôts et TVA</t>
  </si>
  <si>
    <t>Acomptes de tiers</t>
  </si>
  <si>
    <t>Engagements de transferts</t>
  </si>
  <si>
    <t>Dépôts et caution</t>
  </si>
  <si>
    <t>Autres engagements courants</t>
  </si>
  <si>
    <t>Engagements à court terme envers la Poste</t>
  </si>
  <si>
    <t>Engagements à court terme envers les collectivités et associations</t>
  </si>
  <si>
    <t>Engagements à court terme envers des entités consolidées</t>
  </si>
  <si>
    <t>Engagements à court terme envers des entités indépendantes</t>
  </si>
  <si>
    <t>Parts à court terme des dettes de locations (leasing) à long terme</t>
  </si>
  <si>
    <t>Parts à court terme d'engagement à long terme</t>
  </si>
  <si>
    <t>Autres engagements financiers à court terme</t>
  </si>
  <si>
    <t>Charges financières / revenus financiers</t>
  </si>
  <si>
    <t>Passifs de régularisation du compte des investissements</t>
  </si>
  <si>
    <t>Autres passifs de régularisation et du compte de résultats</t>
  </si>
  <si>
    <t>Provisions à court terme pour les prestations supp. du personnel</t>
  </si>
  <si>
    <t>Provisions à court terme pour les autres droits du personnel</t>
  </si>
  <si>
    <t>Provisions à court terme pour les procès</t>
  </si>
  <si>
    <t>Provisions à court terme pour les autres activités d'exploitation</t>
  </si>
  <si>
    <t>Provisions à court terme pour les cautions et garantie</t>
  </si>
  <si>
    <t>Provisions à court terme pour les engagements de prévoyance</t>
  </si>
  <si>
    <t>Provisions à court terme pour les dommages non assurés</t>
  </si>
  <si>
    <t>Provisions à court terme pour les charges financières</t>
  </si>
  <si>
    <t>Provisions à court terme du compte des investissements</t>
  </si>
  <si>
    <t>Autres provisions à court terme</t>
  </si>
  <si>
    <t>Hypothèques</t>
  </si>
  <si>
    <t>Bons de caisse</t>
  </si>
  <si>
    <t>Emprunts</t>
  </si>
  <si>
    <t>Emprunts et reconnaissance de dettes</t>
  </si>
  <si>
    <t>Contrats de location</t>
  </si>
  <si>
    <t>Autres engagements financiers à long terme</t>
  </si>
  <si>
    <t>Provisions à long terme pour les prétentions du personnel</t>
  </si>
  <si>
    <t>Provisions à long terme pour les procès</t>
  </si>
  <si>
    <t>Provisions à long terme pour les dommages non assurés</t>
  </si>
  <si>
    <t>Provisions à long terme pour les cautions et garanties</t>
  </si>
  <si>
    <t>Provisions à long terme pour les engagements de prévoyance</t>
  </si>
  <si>
    <t>Provisions à long terme pour les autres activités d'exploitation</t>
  </si>
  <si>
    <t>Provisions à long terme pour les charges financières</t>
  </si>
  <si>
    <t>Provisions à long terme du compte des investissements</t>
  </si>
  <si>
    <t>Autres provisions à long terme du compte de résultats</t>
  </si>
  <si>
    <t>Engagements envers les fonds des capitaux de tiers</t>
  </si>
  <si>
    <t>Engagements envers les legs et fondations des capitaux de tiers</t>
  </si>
  <si>
    <t>Engagements envrers d'autres capitaux de tiers affectés</t>
  </si>
  <si>
    <t>Legs et fondations sans personnalité juridique du capital propre</t>
  </si>
  <si>
    <t>Résultat annuel (excédent de charges ou produits)</t>
  </si>
  <si>
    <t>Résultats cumulés (fortune nette ou découvert)</t>
  </si>
  <si>
    <t>Jura</t>
  </si>
  <si>
    <t>Dépôts et cautions</t>
  </si>
  <si>
    <t>Emprunts et reconnaissances de dettes</t>
  </si>
  <si>
    <t>Par habitant</t>
  </si>
  <si>
    <t>Ensemble des communes</t>
  </si>
  <si>
    <t>Engagements courant</t>
  </si>
  <si>
    <t>Immobilisations ne pouvant être portées à l'actif</t>
  </si>
  <si>
    <t>Comptes supplémentaires pour les indicateurs financiers</t>
  </si>
  <si>
    <t>Immobilisations corporelles</t>
  </si>
  <si>
    <t>Investissement pour le compte de tiers</t>
  </si>
  <si>
    <t>Terrains</t>
  </si>
  <si>
    <t>Routes et voies de communications</t>
  </si>
  <si>
    <t>Aménagements des cours d'eau</t>
  </si>
  <si>
    <t>Autres travaux et ouvrages de génie civil</t>
  </si>
  <si>
    <t>Bâtiments</t>
  </si>
  <si>
    <t>Forêts</t>
  </si>
  <si>
    <t>Biens mobiliers</t>
  </si>
  <si>
    <t>Autres immobilisation corporelles</t>
  </si>
  <si>
    <t>Immobilisations incorporelles</t>
  </si>
  <si>
    <t>Autres immobilisations incorporelles</t>
  </si>
  <si>
    <t>Confédération</t>
  </si>
  <si>
    <t>Cantons et concordats</t>
  </si>
  <si>
    <t>Communes et associations intercommunales</t>
  </si>
  <si>
    <t>Assurances sociales publiques</t>
  </si>
  <si>
    <t>Entreprises publiques</t>
  </si>
  <si>
    <t>Entreprises privées</t>
  </si>
  <si>
    <t>Organisations privées à but non lucratif</t>
  </si>
  <si>
    <t>Ménages privés</t>
  </si>
  <si>
    <t>Etrangers</t>
  </si>
  <si>
    <t>Propres suventions des investissements</t>
  </si>
  <si>
    <t>Subventions des investissements à redistribuer</t>
  </si>
  <si>
    <t>Investissements extraordinaires</t>
  </si>
  <si>
    <t>Subventions</t>
  </si>
  <si>
    <t>Autres investissements extraordinaires</t>
  </si>
  <si>
    <t>Report au bilan des recettes d'investissement</t>
  </si>
  <si>
    <t>Recettes des investissements</t>
  </si>
  <si>
    <t>Transferts d'immobilisation corporelles dans le patrimoine financier</t>
  </si>
  <si>
    <t>Remboursement de tiers</t>
  </si>
  <si>
    <t>Transferts d'immobilisation incorporelles dans le patrimoin financier</t>
  </si>
  <si>
    <t>Subventions acquiss des investissements</t>
  </si>
  <si>
    <t>Remboursement de prêts</t>
  </si>
  <si>
    <t>Transferts de participations et de capital social dans le PF</t>
  </si>
  <si>
    <t>Remboursements de propres subventions des investissements</t>
  </si>
  <si>
    <t>Recettes extraordinaires des investissements</t>
  </si>
  <si>
    <t>Subventions exraordinaires acquises des investissements</t>
  </si>
  <si>
    <t>Propres subventions des investissements</t>
  </si>
  <si>
    <t>Autres recettes extraordinaires des investissements</t>
  </si>
  <si>
    <t>Report au bilan des dépenses d'investissements</t>
  </si>
  <si>
    <t>Annexe aux comptes annuels H - Les indicateurs financiers</t>
  </si>
  <si>
    <t>I. Quotient d'endettement net</t>
  </si>
  <si>
    <t>Groupe</t>
  </si>
  <si>
    <t>Montant</t>
  </si>
  <si>
    <t>Endettement net</t>
  </si>
  <si>
    <t>Péréquation financière</t>
  </si>
  <si>
    <t>+/-</t>
  </si>
  <si>
    <t>4622/3622</t>
  </si>
  <si>
    <t>Compensation communes-centres</t>
  </si>
  <si>
    <t>Impôts directs PP et PM et péréquation financière</t>
  </si>
  <si>
    <t>Quotient d'endettement net</t>
  </si>
  <si>
    <t>(Endettement net / impôts directs PP et PM et PF*100)</t>
  </si>
  <si>
    <t>II. Degré d'autofinancement</t>
  </si>
  <si>
    <t>Résultat global du compte de résultat</t>
  </si>
  <si>
    <t>Réévaluation, prêts du patrimoine administratif</t>
  </si>
  <si>
    <t>Réévaluations, participations du patrimoine administratif</t>
  </si>
  <si>
    <t>Amortissements, subventions d'investissement</t>
  </si>
  <si>
    <t>Attributions aux captiaux propres</t>
  </si>
  <si>
    <t>Revalorisations PA</t>
  </si>
  <si>
    <t>Autofiancement</t>
  </si>
  <si>
    <t>Dépenses reportées au bilan</t>
  </si>
  <si>
    <t>Recettes reportées au bilan</t>
  </si>
  <si>
    <t>Degré d'autofiancement</t>
  </si>
  <si>
    <t>(Autofinancement/Investissements nets*100)</t>
  </si>
  <si>
    <t>III. Quotité de la charge des intérets</t>
  </si>
  <si>
    <t>Charge nette des intérêts</t>
  </si>
  <si>
    <t>Prélèvements sur la réserves liée à la réévaluation</t>
  </si>
  <si>
    <t>Revenus courants</t>
  </si>
  <si>
    <t>Quotité de la charge des intérêts</t>
  </si>
  <si>
    <t>(Charge nette des intérêts / revenus courants*100)</t>
  </si>
  <si>
    <t>IV. Dette brute par rapport aux revenus</t>
  </si>
  <si>
    <t>Dette brute</t>
  </si>
  <si>
    <t>Dette brute par rapports au revenus</t>
  </si>
  <si>
    <t>Dette brute/revenus courants*100)</t>
  </si>
  <si>
    <t>V. Quotité d'investissement</t>
  </si>
  <si>
    <t>Charges de biens et services et autres charges exploitation</t>
  </si>
  <si>
    <t>Réévaluations des prêts du PA</t>
  </si>
  <si>
    <t>Amortissements des subventions d'investissement</t>
  </si>
  <si>
    <t>Charges globales</t>
  </si>
  <si>
    <t>Quotité d'investissement</t>
  </si>
  <si>
    <t>(Investissements burts / charges globales*100)</t>
  </si>
  <si>
    <t>VI. Quotité de la charge fiancière</t>
  </si>
  <si>
    <t>Amortissement du patrimoine administratif</t>
  </si>
  <si>
    <t>Amortissement des subventions d'investissement</t>
  </si>
  <si>
    <t>Charge financière</t>
  </si>
  <si>
    <t>Quotité de la charge financière</t>
  </si>
  <si>
    <t>(charge financière / revenus courants*100)</t>
  </si>
  <si>
    <t>VII. Endettement net en francs par habitant</t>
  </si>
  <si>
    <t xml:space="preserve">Population </t>
  </si>
  <si>
    <t>Endettement net en francs par habitant</t>
  </si>
  <si>
    <t>(Endettement net / population)</t>
  </si>
  <si>
    <t>VIII. Quotité d'autofinancement (capacité)</t>
  </si>
  <si>
    <t>Autofinancement</t>
  </si>
  <si>
    <t>Quotité d'autofinancement (capacité)</t>
  </si>
  <si>
    <t>(Autofinancement/revenus courants*100)</t>
  </si>
  <si>
    <t>IX. Quotité de la charge des intérêts nets</t>
  </si>
  <si>
    <t>Gains réalisés PF</t>
  </si>
  <si>
    <t>Revenus de participations PF</t>
  </si>
  <si>
    <t>Revenus des biens fonds PF</t>
  </si>
  <si>
    <t>Réévaluations des immobilisation du PF</t>
  </si>
  <si>
    <t>Charges financières nettes</t>
  </si>
  <si>
    <t>Impôts sur le revenu des personnes physiques</t>
  </si>
  <si>
    <t>Impôts directs,personnes morales</t>
  </si>
  <si>
    <t>Revenus fiscaux (impôts directs)=</t>
  </si>
  <si>
    <t>Quotité de la charge des intérêts nets</t>
  </si>
  <si>
    <t>(Charges financières nettes / revenus fiscaux*100)</t>
  </si>
  <si>
    <t>X. Quotient excédent du bilan</t>
  </si>
  <si>
    <t>Excendent / Découvert du bilan</t>
  </si>
  <si>
    <t>Excédent / découvert au bilan</t>
  </si>
  <si>
    <t>Quotient de l'excédent du bilan</t>
  </si>
  <si>
    <t>(Excédent, découvert au bilan/impôts directs PP et PM et PF*100)</t>
  </si>
  <si>
    <t>RECAPITULATIF</t>
  </si>
  <si>
    <t>Endettement brut</t>
  </si>
  <si>
    <t>Degré d'autofinancement</t>
  </si>
  <si>
    <t>III. Quotité de la charge des intérêts</t>
  </si>
  <si>
    <t>IV. Dettes brutes par rapport aux revenus</t>
  </si>
  <si>
    <t>VI. Quotité de la charge financière</t>
  </si>
  <si>
    <t>X. Quotient de l'excédent du bilan</t>
  </si>
  <si>
    <t>Commune de :</t>
  </si>
  <si>
    <t>Excédent (+) / découvert (-)</t>
  </si>
  <si>
    <t>Réévaluations des immobilisation du patrimoine financier</t>
  </si>
  <si>
    <t>Produits</t>
  </si>
  <si>
    <t>Réévaluation des immobilisation du patrimoine financier</t>
  </si>
  <si>
    <t>Rééavaluation du patrimoine administratif</t>
  </si>
  <si>
    <t>Prélèvement sur la réserve liée de réévaluation</t>
  </si>
  <si>
    <t>Immobilisations incorporalles en cours de développement</t>
  </si>
  <si>
    <t>Immobilisations incorporelles du PA</t>
  </si>
  <si>
    <t>Allocations et indemnités</t>
  </si>
  <si>
    <t>Résutlats des financements spéciaux</t>
  </si>
  <si>
    <t>Contrôle de la variation de fortune</t>
  </si>
  <si>
    <t>Contrôle général</t>
  </si>
  <si>
    <t>Réslutat final du compte de résultats global</t>
  </si>
  <si>
    <t>Résutlats annuel du compte de résultats général</t>
  </si>
  <si>
    <t>690-590</t>
  </si>
  <si>
    <t>Charges d'exploitation (30, 31, 33, 35, 36, 37)</t>
  </si>
  <si>
    <t>Revenus d'exploitation (40, 41, 42, 43, 45, 46, 47)</t>
  </si>
  <si>
    <t>Veuillez choisir votre commune ci-dessous</t>
  </si>
  <si>
    <t>Population</t>
  </si>
  <si>
    <t>Vue d'ensemble</t>
  </si>
  <si>
    <t>Vue d'ensemble par commune</t>
  </si>
  <si>
    <t>Autofinancement par commune</t>
  </si>
  <si>
    <t>Compte de résultat</t>
  </si>
  <si>
    <t>Compte de résultats par fonction</t>
  </si>
  <si>
    <t>Compte de résultats par fonction par commune</t>
  </si>
  <si>
    <t>Bilan</t>
  </si>
  <si>
    <t>Tableau de l'endettement</t>
  </si>
  <si>
    <t>Tableau de l'endettement par commune</t>
  </si>
  <si>
    <t>Sommaire</t>
  </si>
  <si>
    <t>Compte de résultats par nature par commune</t>
  </si>
  <si>
    <t>Compte de résultats pas nature en Fr. par habitant</t>
  </si>
  <si>
    <t>Investissements</t>
  </si>
  <si>
    <t>Bilan par commune</t>
  </si>
  <si>
    <t>Bilan de l'ensemble des communes</t>
  </si>
  <si>
    <t>Investissements de l'ensemble des communes</t>
  </si>
  <si>
    <t>Comptes des investissements</t>
  </si>
  <si>
    <t>Récapitulatif de l'ensemble des communes</t>
  </si>
  <si>
    <t>Récapitulatif par commune</t>
  </si>
  <si>
    <t>Quotité de la charge des intérêts et dette brute par rapport aux revenus</t>
  </si>
  <si>
    <t>Quotité d'investissement et quotité de la charge financière</t>
  </si>
  <si>
    <t xml:space="preserve">Quotité d'autofinancement et quotité de la charge des intérêts nets </t>
  </si>
  <si>
    <t>Quotient de l'excédent au bilan</t>
  </si>
  <si>
    <t>Quotient de l'endettement net et degré d'autofinancement</t>
  </si>
  <si>
    <t>Compte de résultats</t>
  </si>
  <si>
    <t>Compte de résultats en Fr. par habitant</t>
  </si>
  <si>
    <t>Résultats à 3 niveaux</t>
  </si>
  <si>
    <t>Résultats à 3 nivaux par commune</t>
  </si>
  <si>
    <t>Résultats à 3 niveaux par commune</t>
  </si>
  <si>
    <t>Compte de résultats fonctionnel par commune</t>
  </si>
  <si>
    <t>Endettement</t>
  </si>
  <si>
    <t>Dette brute par rapport aux revenus</t>
  </si>
  <si>
    <t>Quotités d'investissement et charges financière</t>
  </si>
  <si>
    <t>Quotité d''autofinancement</t>
  </si>
  <si>
    <t>Quotient excédent du bilan</t>
  </si>
  <si>
    <t>Récapitulatif</t>
  </si>
  <si>
    <t>Report au bilan des recettes</t>
  </si>
  <si>
    <t>Report au bilan des dépenses</t>
  </si>
  <si>
    <t>Communes :</t>
  </si>
  <si>
    <t>Commune :</t>
  </si>
  <si>
    <t>Endettement brut y compris les financements spéciaux</t>
  </si>
  <si>
    <t>Endettement net y compris les financements spéciaux</t>
  </si>
  <si>
    <t>Compte de résultats par nature en Fr. par habitant par commune</t>
  </si>
  <si>
    <t>Investissements par commune</t>
  </si>
  <si>
    <t>Compte de résultats en Fr. par commune</t>
  </si>
  <si>
    <t>Définition :</t>
  </si>
  <si>
    <t>Le quotient d'endettement net indique la part des revenus fiscaux (impôts directs des personnes physiques et des personnes morales) ainsi que des prestations de la péréquation financière qui serait nécessaire pour amortir la dette nette. Une valeur négative atteste de l'existence d'une fortune nette.</t>
  </si>
  <si>
    <t xml:space="preserve">Echelle : </t>
  </si>
  <si>
    <t>&lt; 0%</t>
  </si>
  <si>
    <t>Très faible endettement net</t>
  </si>
  <si>
    <t>1% à 50%</t>
  </si>
  <si>
    <t>Faible endettement net</t>
  </si>
  <si>
    <t>51% à 100%</t>
  </si>
  <si>
    <t>Endettement net moyen</t>
  </si>
  <si>
    <t>101% à 150%</t>
  </si>
  <si>
    <t>Endettement net élevé</t>
  </si>
  <si>
    <t>&gt; 150%</t>
  </si>
  <si>
    <t>Endettement net très élevé</t>
  </si>
  <si>
    <t>Le degré d'autofinancement détermine la part des revenus affectée au financement des investissements nouveaux. S'il est de supérieur à 100%, il permet le financement d'investissements ou conduit à un désendettement, tandis que s'il est inférieur à 100%, il entraîne un nouvel endettement ou emprunt. Cet indicateur peut considérablement varier d'une année à l'autre, en particulier dans les petites corporations dès lors qu'elles investissent à intervalles irréguliers. Il ne peut donc être apprécié que sur plusieurs années.</t>
  </si>
  <si>
    <t>Echelle :</t>
  </si>
  <si>
    <t>Idéal</t>
  </si>
  <si>
    <t>70% à 100%</t>
  </si>
  <si>
    <t>acceptable à bon</t>
  </si>
  <si>
    <t>&lt; 70%</t>
  </si>
  <si>
    <t>Problématique</t>
  </si>
  <si>
    <t>La quotité de la charge des intérêts indique la part des revenus qui est absorbée par les intérets nets. Plus elle est élevée et plus l'endettement est important. A l'inverse, moins elle est élevée et plus grande est la marge de  manœuvre financière de la collectivité. Une quotité de la charge des intérêts négative signifie que les revenus du patrimoine sont supérieurs au montant des intérêts de la dette.</t>
  </si>
  <si>
    <t>&lt; -1%</t>
  </si>
  <si>
    <t>Charge extrêmement faible</t>
  </si>
  <si>
    <t>-1% à 0%</t>
  </si>
  <si>
    <t>Charge très faible</t>
  </si>
  <si>
    <t>0% à 1%</t>
  </si>
  <si>
    <t>Charge faible</t>
  </si>
  <si>
    <t>1% à 2%</t>
  </si>
  <si>
    <t>Charge moyenne</t>
  </si>
  <si>
    <t>Charge élevée</t>
  </si>
  <si>
    <t>La dette brute par rapport aux revenus permet d'évaluer la situation d'endettement, et en particulier de déterminer si l'endettement est proportionné compte tenu des revenus obtenus. Cet indicateur renseigne sur le pourcentage des revenus qui est nécessaire au remboursement de la dette brute en une seule fois.</t>
  </si>
  <si>
    <t>Très bon</t>
  </si>
  <si>
    <t>50,1% à 100%</t>
  </si>
  <si>
    <t>Bon</t>
  </si>
  <si>
    <t>100,1% à 150%</t>
  </si>
  <si>
    <t>Moyen</t>
  </si>
  <si>
    <t>150,1% à 200%</t>
  </si>
  <si>
    <t>Mauvais</t>
  </si>
  <si>
    <t>&gt; 200%</t>
  </si>
  <si>
    <t>Critique</t>
  </si>
  <si>
    <t>La quotité d'investissement renseigne sur le rapport entre les activitéss d'investissement et les charges annuelles globales. Cet indicateur ne permet toutefois pas à lui seul de tirer des conclusions sur la situation financière de la commune.</t>
  </si>
  <si>
    <t>Peu important</t>
  </si>
  <si>
    <t>10,1% à 20%</t>
  </si>
  <si>
    <t>Importance moyenne</t>
  </si>
  <si>
    <t>20,1% à 30%</t>
  </si>
  <si>
    <t>Importantes</t>
  </si>
  <si>
    <t>&gt; 30%</t>
  </si>
  <si>
    <t>Très importante</t>
  </si>
  <si>
    <t>La quotité de la charge financière indique l'incidence des frais financiers sur le budget. On entend par charge financière la somme des intérêts nets, des amortissements et des réévaluations. Cet indicateur permet de constater dans quelle mesure les revenus courants sont absorbés par le service de la dette et les amortissements planifiés. Une hausse de ce taux équivaut à une réduction de la marge budgétaire.</t>
  </si>
  <si>
    <t>&lt; 5%</t>
  </si>
  <si>
    <t>Faible charge</t>
  </si>
  <si>
    <t>5% à 15%</t>
  </si>
  <si>
    <t>Charge supportable</t>
  </si>
  <si>
    <t>15% à 25%</t>
  </si>
  <si>
    <t>Charge élevée à très élevée</t>
  </si>
  <si>
    <t>&gt; 25%</t>
  </si>
  <si>
    <t>Charge à peine supportable</t>
  </si>
  <si>
    <t>L'endettement net en francs par habitant sert à mesurer l'importance de la dette et doit être apprécié en même temps que la capacité financière de la commune (quotité d'autofinancement). Une valeur négative reflète l'existence d'une fortune nette par habitant.</t>
  </si>
  <si>
    <t>&lt; 0</t>
  </si>
  <si>
    <t>Fortune nette</t>
  </si>
  <si>
    <t>0 à 1'000</t>
  </si>
  <si>
    <t xml:space="preserve">Endettement faible </t>
  </si>
  <si>
    <t xml:space="preserve">1'001 à 3'000 </t>
  </si>
  <si>
    <t>Endettement moyen</t>
  </si>
  <si>
    <t>3'001 à 5'000</t>
  </si>
  <si>
    <t>Endettement haut</t>
  </si>
  <si>
    <t>&gt; 5'000</t>
  </si>
  <si>
    <t>Endettement critique</t>
  </si>
  <si>
    <t>VIII. Quotité d'autofinancement (capacité d'autofinancement)</t>
  </si>
  <si>
    <t>La quotité d'autofinancement, également appelée capacité d'autofinancement, reflète la capacité d'une commune ainsi que sa marge de manœuvre budgétaire. Cet indicateur renseigne sur la part des revenus pouvant être affectée au financement d'investissements ou au désendettement.</t>
  </si>
  <si>
    <t>&gt; 20 %</t>
  </si>
  <si>
    <t>Bonne</t>
  </si>
  <si>
    <t>10% à 20%</t>
  </si>
  <si>
    <t>Moyenne</t>
  </si>
  <si>
    <t>&lt; 10%</t>
  </si>
  <si>
    <t>Faible</t>
  </si>
  <si>
    <t>La quotité de la charge des intérêts indique la part de revenus qui est absorbée par les intérêts nets. Plus elle est élevée et plus l'endettement est important. A l'inverse, moins elle est élevée et plus grande est la marge de manœuvre financière de la collectivité. Une quotité de la charge des intérêts négative signifie que les revenus du patrimoine sont supérieurs au montant des intérêts de la dette. Cet indicateur reflète donc la situation financière de la commune.</t>
  </si>
  <si>
    <t>&lt; 2%</t>
  </si>
  <si>
    <t>2% à 5%</t>
  </si>
  <si>
    <t>5% à 8%</t>
  </si>
  <si>
    <t>Forte</t>
  </si>
  <si>
    <t>&gt; 8%</t>
  </si>
  <si>
    <t>Très forte</t>
  </si>
  <si>
    <t>X. Quotient de l'excédent au bilan</t>
  </si>
  <si>
    <t>Le quotient de l'excédent du bilan est en quelque sorte le thermomètre renseignant sur l'état de santé des capitaux propres. Une valeur négative signifie un découvert au bilan. L'évolution de cet indicateur doit être observée sur plusieurs années.</t>
  </si>
  <si>
    <t>Elevé</t>
  </si>
  <si>
    <t>30% à 60%</t>
  </si>
  <si>
    <t>&lt; 30%</t>
  </si>
  <si>
    <t>Endettement par commune</t>
  </si>
  <si>
    <t>Tableau du bilan</t>
  </si>
  <si>
    <t>Définition des indicateurs financiers</t>
  </si>
  <si>
    <t>Ne pas effectuer de tri avec cette feuille, c'est la base de donnée.</t>
  </si>
  <si>
    <t>Résultat du financement (autofinancement) par commune</t>
  </si>
  <si>
    <t>Récapitulation générale ( - = excédent de revenus )</t>
  </si>
  <si>
    <t>Subventions acquis des investissements</t>
  </si>
  <si>
    <t>Commune de : Ensemble des communes jurassiennes</t>
  </si>
  <si>
    <t>Taxe des chiens</t>
  </si>
  <si>
    <t>Bourgeoisies</t>
  </si>
  <si>
    <t>Syndicats</t>
  </si>
  <si>
    <t>Syndicat :</t>
  </si>
  <si>
    <t>Bourgeoisie :</t>
  </si>
  <si>
    <t>Corban</t>
  </si>
  <si>
    <t>Montavon</t>
  </si>
  <si>
    <t>Les Riedes-Dessus</t>
  </si>
  <si>
    <t>Sceut</t>
  </si>
  <si>
    <t>Undervelier</t>
  </si>
  <si>
    <t>2ème section Les Bois</t>
  </si>
  <si>
    <t>Ensemble des Bourgeoisies</t>
  </si>
  <si>
    <t>Ensemble des bourgeoisies</t>
  </si>
  <si>
    <t>Veuillez choisir votre bourgeoisie ci-dessous</t>
  </si>
  <si>
    <t>Clôture du compte de résutlats global par commune (90)</t>
  </si>
  <si>
    <t>Compte 90</t>
  </si>
  <si>
    <t>Compte 90 par hab.</t>
  </si>
  <si>
    <t>30 Charges du personnel</t>
  </si>
  <si>
    <t>31 Charges de biens et de services et autres charges d'exploitation</t>
  </si>
  <si>
    <t>33 Amortissements du patrimoine administratif</t>
  </si>
  <si>
    <t>34 Charges financières</t>
  </si>
  <si>
    <t>35 Attributions aux financements spéciaux des capitaux de tiers</t>
  </si>
  <si>
    <t>36 Charges de transferts</t>
  </si>
  <si>
    <t>37 Subventions à redistribuer</t>
  </si>
  <si>
    <t>38 Charges extraordinaires</t>
  </si>
  <si>
    <t>39 Imputations internes</t>
  </si>
  <si>
    <t>40 Revenus fiscaux</t>
  </si>
  <si>
    <t>41 Revenus de patentes et de concessions</t>
  </si>
  <si>
    <t>42 Taxes</t>
  </si>
  <si>
    <t>43 Revenus divers</t>
  </si>
  <si>
    <t>44 Revenus financiers</t>
  </si>
  <si>
    <t>45 Prélèvements sur les financements spéciaux</t>
  </si>
  <si>
    <t>46 Revenus de transfert</t>
  </si>
  <si>
    <t>47 Subventions à redistribuer</t>
  </si>
  <si>
    <t>48 Revenus extraordinaires</t>
  </si>
  <si>
    <t>49 Imputations internes</t>
  </si>
  <si>
    <t>0 Administration générale</t>
  </si>
  <si>
    <t>1 Ordre et sécurité publics - Défense</t>
  </si>
  <si>
    <t>2 Formation</t>
  </si>
  <si>
    <t>3 Culture - Sports - Loisirs - Eglises</t>
  </si>
  <si>
    <t>4 Santé</t>
  </si>
  <si>
    <t>5 Prévoyance sociale</t>
  </si>
  <si>
    <t>6 Traffic - Transports - Télécommunications</t>
  </si>
  <si>
    <t>7 Protection de l'environnement - Aménagement du territoire</t>
  </si>
  <si>
    <t>8 Economie publique</t>
  </si>
  <si>
    <t>9 Finances - Impôts</t>
  </si>
  <si>
    <t>Clôture globale</t>
  </si>
  <si>
    <t>Brut</t>
  </si>
  <si>
    <t>Net</t>
  </si>
  <si>
    <t>Brut par habitant</t>
  </si>
  <si>
    <t>Net par habitant</t>
  </si>
  <si>
    <t>Comptes consolidés de l'ensemble des communes et par district</t>
  </si>
  <si>
    <t>Veuillez cliquer sur la cellule ci-dessous pour choisir la commune :</t>
  </si>
  <si>
    <t>Clôture du compte global</t>
  </si>
  <si>
    <t>Clôture du compte de résultats (global)</t>
  </si>
  <si>
    <t>Résultat du financement (autofinancement) par bourgeoisie</t>
  </si>
  <si>
    <t>ESVT</t>
  </si>
  <si>
    <t>SEDE</t>
  </si>
  <si>
    <t>Sépulture Courren</t>
  </si>
  <si>
    <t>SEOD</t>
  </si>
  <si>
    <t>ZAM</t>
  </si>
  <si>
    <t>ESHS</t>
  </si>
  <si>
    <t>Collège Delémont</t>
  </si>
  <si>
    <t>Collège Courren.</t>
  </si>
  <si>
    <t>Agglo.</t>
  </si>
  <si>
    <t>SEF</t>
  </si>
  <si>
    <t>Sépult. Breuleux</t>
  </si>
  <si>
    <t>Sépult. Montfaucon</t>
  </si>
  <si>
    <t>Sépulture Saigne.</t>
  </si>
  <si>
    <t>Sépulture Saint-Brais</t>
  </si>
  <si>
    <t>SCFM</t>
  </si>
  <si>
    <t>GLM</t>
  </si>
  <si>
    <t>Ecole Les Bois</t>
  </si>
  <si>
    <t>Ecole FM</t>
  </si>
  <si>
    <t>SEHA</t>
  </si>
  <si>
    <t>SIDP</t>
  </si>
  <si>
    <t>SEV</t>
  </si>
  <si>
    <t>SEPE</t>
  </si>
  <si>
    <t>SEVEBO</t>
  </si>
  <si>
    <t>SEBA</t>
  </si>
  <si>
    <t>Ecole Ajoie</t>
  </si>
  <si>
    <t>SECO</t>
  </si>
  <si>
    <t>Ensemble des syndicats</t>
  </si>
  <si>
    <t>Veuillez choisir votre syndicat ci-dessous</t>
  </si>
  <si>
    <t>Syndicat</t>
  </si>
  <si>
    <t>Eaux Val Terbi</t>
  </si>
  <si>
    <t>Créances résultant de livraison et de prestations envers des tiers</t>
  </si>
  <si>
    <t>Résultats des financements spéciaux</t>
  </si>
  <si>
    <t>Résultats annuel du compte de résultats général</t>
  </si>
  <si>
    <t>Résultat final du compte de résultats global</t>
  </si>
  <si>
    <t>Rapport sur les finances communales - exercice 2021</t>
  </si>
  <si>
    <t>Tableau de l'endettement 2022 par syndicat</t>
  </si>
  <si>
    <t>Tableau de l'endettement 2022</t>
  </si>
  <si>
    <t>Bilan 2022 par syndicat</t>
  </si>
  <si>
    <t>Bilan 2022</t>
  </si>
  <si>
    <t>Comptes de résultats par natures à trois niveaux 2022</t>
  </si>
  <si>
    <t>Vue d'ensemble 2022 par syndicat</t>
  </si>
  <si>
    <t>Comptes de résultats par natures 2022</t>
  </si>
  <si>
    <t>Vue d'ensemble 2022</t>
  </si>
  <si>
    <t>Comptes des investissements 2022</t>
  </si>
  <si>
    <t>Tableau de l'endettement 2022 par Bourgeoisie</t>
  </si>
  <si>
    <t>Annexe aux comptes annuels H - Les indicateurs financiers 2022</t>
  </si>
  <si>
    <t>Exercice 2022</t>
  </si>
  <si>
    <t>Comptes des investissements 2022 par commune</t>
  </si>
  <si>
    <t>Tableau de l'endettement 2022 par commune</t>
  </si>
  <si>
    <t>Bilan 2022 par commune</t>
  </si>
  <si>
    <t>Comptes de résultats par fonctions 2022</t>
  </si>
  <si>
    <t>Comptes de résultats par fonction 2022 par commune</t>
  </si>
  <si>
    <t>Comptes de résultats par fonction 2022</t>
  </si>
  <si>
    <t>Vue d'ensemble 2022 par commune</t>
  </si>
  <si>
    <t>Comptes de résultats par natures 2022 en Fr. par habitant</t>
  </si>
  <si>
    <t>Gros entretien et entretien courant du PA</t>
  </si>
  <si>
    <r>
      <t xml:space="preserve">Résultats cumulés (fortune nette ou </t>
    </r>
    <r>
      <rPr>
        <sz val="11"/>
        <color rgb="FFFF0000"/>
        <rFont val="Arial"/>
        <family val="2"/>
      </rPr>
      <t>découvert</t>
    </r>
    <r>
      <rPr>
        <sz val="11"/>
        <color theme="1"/>
        <rFont val="Arial"/>
        <family val="2"/>
      </rPr>
      <t>)</t>
    </r>
  </si>
  <si>
    <r>
      <rPr>
        <u/>
        <sz val="11"/>
        <color theme="1"/>
        <rFont val="Arial"/>
        <family val="2"/>
      </rPr>
      <t xml:space="preserve">&gt; </t>
    </r>
    <r>
      <rPr>
        <sz val="11"/>
        <color theme="1"/>
        <rFont val="Arial"/>
        <family val="2"/>
      </rPr>
      <t>100%</t>
    </r>
  </si>
  <si>
    <r>
      <rPr>
        <u/>
        <sz val="11"/>
        <color theme="1"/>
        <rFont val="Arial"/>
        <family val="2"/>
      </rPr>
      <t>&gt;</t>
    </r>
    <r>
      <rPr>
        <sz val="11"/>
        <color theme="1"/>
        <rFont val="Arial"/>
        <family val="2"/>
      </rPr>
      <t xml:space="preserve"> 2%</t>
    </r>
  </si>
  <si>
    <r>
      <rPr>
        <u/>
        <sz val="11"/>
        <color theme="1"/>
        <rFont val="Arial"/>
        <family val="2"/>
      </rPr>
      <t xml:space="preserve">&lt; </t>
    </r>
    <r>
      <rPr>
        <sz val="11"/>
        <color theme="1"/>
        <rFont val="Arial"/>
        <family val="2"/>
      </rPr>
      <t>50%</t>
    </r>
  </si>
  <si>
    <r>
      <rPr>
        <u/>
        <sz val="11"/>
        <color theme="1"/>
        <rFont val="Arial"/>
        <family val="2"/>
      </rPr>
      <t xml:space="preserve">&lt; </t>
    </r>
    <r>
      <rPr>
        <sz val="11"/>
        <color theme="1"/>
        <rFont val="Arial"/>
        <family val="2"/>
      </rPr>
      <t>10%</t>
    </r>
  </si>
  <si>
    <r>
      <rPr>
        <u/>
        <sz val="11"/>
        <color theme="1"/>
        <rFont val="Arial"/>
        <family val="2"/>
      </rPr>
      <t>&gt;</t>
    </r>
    <r>
      <rPr>
        <sz val="11"/>
        <color theme="1"/>
        <rFont val="Arial"/>
        <family val="2"/>
      </rPr>
      <t xml:space="preserve"> 60&amp;</t>
    </r>
  </si>
  <si>
    <r>
      <t xml:space="preserve">Clôture du compte de résultats / </t>
    </r>
    <r>
      <rPr>
        <b/>
        <sz val="11"/>
        <color rgb="FFFF0000"/>
        <rFont val="Arial"/>
        <family val="2"/>
      </rPr>
      <t>excédent de charges</t>
    </r>
  </si>
  <si>
    <r>
      <t>Investissements bruts (</t>
    </r>
    <r>
      <rPr>
        <b/>
        <sz val="9"/>
        <color theme="1"/>
        <rFont val="Arial"/>
        <family val="2"/>
      </rPr>
      <t>total des dépenses d'investissement</t>
    </r>
    <r>
      <rPr>
        <b/>
        <sz val="11"/>
        <color theme="1"/>
        <rFont val="Arial"/>
        <family val="2"/>
      </rPr>
      <t>)</t>
    </r>
  </si>
  <si>
    <r>
      <t xml:space="preserve">Endettement brut </t>
    </r>
    <r>
      <rPr>
        <sz val="9"/>
        <rFont val="Arial"/>
        <family val="2"/>
      </rPr>
      <t>(sans les financements spéciaux)</t>
    </r>
  </si>
  <si>
    <r>
      <t xml:space="preserve">Endettement net </t>
    </r>
    <r>
      <rPr>
        <sz val="9"/>
        <rFont val="Arial"/>
        <family val="2"/>
      </rPr>
      <t>(sans les financements spéciaux)</t>
    </r>
  </si>
  <si>
    <t>comptes 2022</t>
  </si>
  <si>
    <t>Comptes 2022 à trois niveaux</t>
  </si>
  <si>
    <t>Autofinancement 2022</t>
  </si>
  <si>
    <r>
      <t xml:space="preserve">Clôture du compte de résultats / </t>
    </r>
    <r>
      <rPr>
        <b/>
        <sz val="11"/>
        <color theme="1"/>
        <rFont val="Arial"/>
        <family val="2"/>
      </rPr>
      <t>excédent de produits</t>
    </r>
  </si>
  <si>
    <r>
      <t>Clôture d'autres capitaux propres /</t>
    </r>
    <r>
      <rPr>
        <b/>
        <sz val="11"/>
        <color theme="1"/>
        <rFont val="Arial"/>
        <family val="2"/>
      </rPr>
      <t xml:space="preserve"> </t>
    </r>
    <r>
      <rPr>
        <sz val="11"/>
        <color theme="1"/>
        <rFont val="Arial"/>
        <family val="2"/>
      </rPr>
      <t>excédent de produits</t>
    </r>
  </si>
  <si>
    <t>Ok, contrôlé le 26.06.2023</t>
  </si>
  <si>
    <t>Comptes des investissements 2022 par Bourgeoisie</t>
  </si>
  <si>
    <t>Bilan 2022 par Bourgeoisie</t>
  </si>
  <si>
    <t>Vue d'ensemble 2022 par Bourgeoisie</t>
  </si>
  <si>
    <t>Trafic - Transports - Télécommunications</t>
  </si>
  <si>
    <t>Compte 900</t>
  </si>
  <si>
    <t>Compte 901</t>
  </si>
  <si>
    <t>Compte 389</t>
  </si>
  <si>
    <t>Attribution R.P.B</t>
  </si>
  <si>
    <t>Résultat général</t>
  </si>
  <si>
    <t>Résultat FS</t>
  </si>
  <si>
    <t>Prélèvement R.P.B</t>
  </si>
  <si>
    <t>Compte 489</t>
  </si>
  <si>
    <t>Résultat par hab.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</si>
</sst>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Red]\-#,##0.00\ "/>
    <numFmt numFmtId="165" formatCode="dd/mm/yyyy;@"/>
  </numFmts>
  <fonts count="36" x14ac:knownFonts="1">
    <font>
      <sz val="11"/>
      <color theme="1"/>
      <name val="Calibri"/>
      <family val="2"/>
      <scheme val="minor"/>
    </font>
    <font>
      <b/>
      <sz val="11"/>
      <color theme="1"/>
      <name val="Calibri"/>
      <family val="2"/>
      <scheme val="minor"/>
    </font>
    <font>
      <b/>
      <sz val="10"/>
      <name val="Arial"/>
      <family val="2"/>
    </font>
    <font>
      <sz val="10"/>
      <color indexed="10"/>
      <name val="Arial"/>
      <family val="2"/>
    </font>
    <font>
      <u/>
      <sz val="11"/>
      <color theme="10"/>
      <name val="Calibri"/>
      <family val="2"/>
      <scheme val="minor"/>
    </font>
    <font>
      <b/>
      <sz val="20"/>
      <color theme="1"/>
      <name val="Arial"/>
      <family val="2"/>
    </font>
    <font>
      <b/>
      <sz val="11"/>
      <color theme="1"/>
      <name val="Arial"/>
      <family val="2"/>
    </font>
    <font>
      <sz val="11"/>
      <color theme="1"/>
      <name val="Arial"/>
      <family val="2"/>
    </font>
    <font>
      <sz val="10"/>
      <color theme="1"/>
      <name val="Arial"/>
      <family val="2"/>
    </font>
    <font>
      <sz val="10"/>
      <color theme="8" tint="-0.249977111117893"/>
      <name val="Arial"/>
      <family val="2"/>
    </font>
    <font>
      <sz val="10"/>
      <color theme="7" tint="-0.249977111117893"/>
      <name val="Arial"/>
      <family val="2"/>
    </font>
    <font>
      <sz val="10"/>
      <color rgb="FFFF0000"/>
      <name val="Arial"/>
      <family val="2"/>
    </font>
    <font>
      <sz val="10"/>
      <color rgb="FF00B050"/>
      <name val="Arial"/>
      <family val="2"/>
    </font>
    <font>
      <b/>
      <sz val="16"/>
      <color theme="1"/>
      <name val="Arial"/>
      <family val="2"/>
    </font>
    <font>
      <sz val="11"/>
      <name val="Arial"/>
      <family val="2"/>
    </font>
    <font>
      <sz val="11"/>
      <color rgb="FFFF0000"/>
      <name val="Arial"/>
      <family val="2"/>
    </font>
    <font>
      <b/>
      <sz val="18"/>
      <color theme="1"/>
      <name val="Arial"/>
      <family val="2"/>
    </font>
    <font>
      <u/>
      <sz val="11"/>
      <color theme="10"/>
      <name val="Arial"/>
      <family val="2"/>
    </font>
    <font>
      <u/>
      <sz val="11"/>
      <name val="Arial"/>
      <family val="2"/>
    </font>
    <font>
      <b/>
      <sz val="10"/>
      <color theme="1"/>
      <name val="Arial"/>
      <family val="2"/>
    </font>
    <font>
      <sz val="10"/>
      <name val="Arial"/>
      <family val="2"/>
    </font>
    <font>
      <sz val="10"/>
      <color theme="4" tint="-0.499984740745262"/>
      <name val="Arial"/>
      <family val="2"/>
    </font>
    <font>
      <sz val="10"/>
      <color theme="7" tint="-0.499984740745262"/>
      <name val="Arial"/>
      <family val="2"/>
    </font>
    <font>
      <u/>
      <sz val="11"/>
      <color theme="1"/>
      <name val="Arial"/>
      <family val="2"/>
    </font>
    <font>
      <b/>
      <sz val="11"/>
      <color rgb="FFFF0000"/>
      <name val="Arial"/>
      <family val="2"/>
    </font>
    <font>
      <b/>
      <sz val="12"/>
      <color theme="1"/>
      <name val="Arial"/>
      <family val="2"/>
    </font>
    <font>
      <sz val="16"/>
      <color theme="1"/>
      <name val="Arial"/>
      <family val="2"/>
    </font>
    <font>
      <sz val="8"/>
      <color theme="1"/>
      <name val="Arial"/>
      <family val="2"/>
    </font>
    <font>
      <sz val="12"/>
      <color theme="1"/>
      <name val="Arial"/>
      <family val="2"/>
    </font>
    <font>
      <b/>
      <u/>
      <sz val="11"/>
      <color theme="1"/>
      <name val="Arial"/>
      <family val="2"/>
    </font>
    <font>
      <b/>
      <sz val="14"/>
      <color theme="1"/>
      <name val="Arial"/>
      <family val="2"/>
    </font>
    <font>
      <b/>
      <sz val="9"/>
      <color theme="1"/>
      <name val="Arial"/>
      <family val="2"/>
    </font>
    <font>
      <sz val="9"/>
      <color rgb="FFFF0000"/>
      <name val="Arial"/>
      <family val="2"/>
    </font>
    <font>
      <sz val="9"/>
      <name val="Arial"/>
      <family val="2"/>
    </font>
    <font>
      <b/>
      <sz val="11"/>
      <name val="Arial"/>
      <family val="2"/>
    </font>
    <font>
      <sz val="11"/>
      <color rgb="FFFF0000"/>
      <name val="Calibri"/>
      <family val="2"/>
      <scheme val="minor"/>
    </font>
  </fonts>
  <fills count="23">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rgb="FFFF66CC"/>
        <bgColor indexed="64"/>
      </patternFill>
    </fill>
    <fill>
      <patternFill patternType="solid">
        <fgColor theme="4" tint="0.39997558519241921"/>
        <bgColor indexed="64"/>
      </patternFill>
    </fill>
    <fill>
      <patternFill patternType="solid">
        <fgColor rgb="FF7030A0"/>
        <bgColor indexed="64"/>
      </patternFill>
    </fill>
    <fill>
      <patternFill patternType="solid">
        <fgColor rgb="FFC0000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s>
  <borders count="12">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99">
    <xf numFmtId="0" fontId="0" fillId="0" borderId="0" xfId="0"/>
    <xf numFmtId="3" fontId="2" fillId="0" borderId="0" xfId="0" applyNumberFormat="1" applyFont="1"/>
    <xf numFmtId="4" fontId="0" fillId="0" borderId="0" xfId="0" applyNumberFormat="1"/>
    <xf numFmtId="3" fontId="3" fillId="0" borderId="0" xfId="0" applyNumberFormat="1" applyFont="1"/>
    <xf numFmtId="0" fontId="1" fillId="0" borderId="0" xfId="0" applyFont="1"/>
    <xf numFmtId="0" fontId="5" fillId="0" borderId="0" xfId="0" applyFont="1"/>
    <xf numFmtId="0" fontId="6" fillId="0" borderId="0" xfId="0" applyFont="1"/>
    <xf numFmtId="0" fontId="7" fillId="0" borderId="0" xfId="0" applyFont="1"/>
    <xf numFmtId="3" fontId="8" fillId="0" borderId="0" xfId="0" applyNumberFormat="1" applyFont="1" applyAlignment="1">
      <alignment horizontal="center"/>
    </xf>
    <xf numFmtId="0" fontId="12" fillId="0" borderId="0" xfId="0" applyFont="1" applyAlignment="1">
      <alignment horizontal="center"/>
    </xf>
    <xf numFmtId="0" fontId="13" fillId="11" borderId="0" xfId="0" applyFont="1" applyFill="1"/>
    <xf numFmtId="4" fontId="6" fillId="11" borderId="0" xfId="0" applyNumberFormat="1" applyFont="1" applyFill="1"/>
    <xf numFmtId="4" fontId="7" fillId="0" borderId="0" xfId="0" applyNumberFormat="1" applyFont="1"/>
    <xf numFmtId="0" fontId="13" fillId="13" borderId="0" xfId="0" applyFont="1" applyFill="1"/>
    <xf numFmtId="4" fontId="6" fillId="13" borderId="0" xfId="0" applyNumberFormat="1" applyFont="1" applyFill="1"/>
    <xf numFmtId="164" fontId="7" fillId="0" borderId="0" xfId="0" applyNumberFormat="1" applyFont="1"/>
    <xf numFmtId="164" fontId="14" fillId="0" borderId="0" xfId="0" applyNumberFormat="1" applyFont="1"/>
    <xf numFmtId="0" fontId="13" fillId="8" borderId="0" xfId="0" applyFont="1" applyFill="1"/>
    <xf numFmtId="4" fontId="6" fillId="8" borderId="0" xfId="0" applyNumberFormat="1" applyFont="1" applyFill="1"/>
    <xf numFmtId="0" fontId="13" fillId="16" borderId="0" xfId="0" applyFont="1" applyFill="1"/>
    <xf numFmtId="4" fontId="6" fillId="16" borderId="0" xfId="0" applyNumberFormat="1" applyFont="1" applyFill="1"/>
    <xf numFmtId="4" fontId="15" fillId="0" borderId="0" xfId="0" applyNumberFormat="1" applyFont="1"/>
    <xf numFmtId="0" fontId="13" fillId="17" borderId="0" xfId="0" applyFont="1" applyFill="1"/>
    <xf numFmtId="4" fontId="6" fillId="17" borderId="0" xfId="0" applyNumberFormat="1" applyFont="1" applyFill="1"/>
    <xf numFmtId="0" fontId="13" fillId="18" borderId="0" xfId="0" applyFont="1" applyFill="1"/>
    <xf numFmtId="4" fontId="6" fillId="18" borderId="0" xfId="0" applyNumberFormat="1" applyFont="1" applyFill="1"/>
    <xf numFmtId="0" fontId="16" fillId="0" borderId="0" xfId="0" applyFont="1"/>
    <xf numFmtId="0" fontId="13" fillId="0" borderId="0" xfId="0" applyFont="1" applyAlignment="1">
      <alignment horizontal="center"/>
    </xf>
    <xf numFmtId="0" fontId="7" fillId="0" borderId="0" xfId="0" applyFont="1" applyAlignment="1">
      <alignment horizontal="center"/>
    </xf>
    <xf numFmtId="0" fontId="6" fillId="0" borderId="0" xfId="0" applyFont="1" applyAlignment="1">
      <alignment horizontal="center"/>
    </xf>
    <xf numFmtId="0" fontId="17" fillId="0" borderId="0" xfId="1" applyFont="1" applyFill="1" applyAlignment="1">
      <alignment horizontal="center"/>
    </xf>
    <xf numFmtId="0" fontId="18" fillId="21" borderId="0" xfId="1" applyFont="1" applyFill="1" applyAlignment="1">
      <alignment horizontal="center"/>
    </xf>
    <xf numFmtId="0" fontId="14" fillId="0" borderId="0" xfId="0" applyFont="1" applyAlignment="1">
      <alignment horizontal="center"/>
    </xf>
    <xf numFmtId="0" fontId="18" fillId="14" borderId="0" xfId="1" quotePrefix="1" applyFont="1" applyFill="1" applyAlignment="1">
      <alignment horizontal="center"/>
    </xf>
    <xf numFmtId="0" fontId="18" fillId="14" borderId="0" xfId="1" applyFont="1" applyFill="1" applyAlignment="1">
      <alignment horizontal="center"/>
    </xf>
    <xf numFmtId="2" fontId="7" fillId="0" borderId="0" xfId="0" applyNumberFormat="1" applyFont="1" applyAlignment="1">
      <alignment horizontal="center"/>
    </xf>
    <xf numFmtId="0" fontId="18" fillId="20" borderId="0" xfId="1" applyFont="1" applyFill="1" applyAlignment="1">
      <alignment horizontal="center"/>
    </xf>
    <xf numFmtId="0" fontId="18" fillId="3" borderId="0" xfId="1" applyFont="1" applyFill="1" applyAlignment="1">
      <alignment horizontal="center"/>
    </xf>
    <xf numFmtId="0" fontId="18" fillId="22" borderId="0" xfId="1" applyFont="1" applyFill="1" applyAlignment="1">
      <alignment horizontal="center"/>
    </xf>
    <xf numFmtId="0" fontId="18" fillId="22" borderId="0" xfId="1" quotePrefix="1" applyFont="1" applyFill="1" applyAlignment="1">
      <alignment horizontal="center"/>
    </xf>
    <xf numFmtId="0" fontId="19" fillId="0" borderId="0" xfId="0" applyFont="1" applyAlignment="1">
      <alignment horizontal="center"/>
    </xf>
    <xf numFmtId="0" fontId="8" fillId="0" borderId="0" xfId="0" applyFont="1"/>
    <xf numFmtId="0" fontId="9" fillId="0" borderId="0" xfId="0" applyFont="1"/>
    <xf numFmtId="3" fontId="9" fillId="0" borderId="0" xfId="0" applyNumberFormat="1" applyFont="1"/>
    <xf numFmtId="3" fontId="8" fillId="0" borderId="0" xfId="0" applyNumberFormat="1" applyFont="1"/>
    <xf numFmtId="0" fontId="20" fillId="0" borderId="0" xfId="0" applyFont="1"/>
    <xf numFmtId="0" fontId="11" fillId="0" borderId="0" xfId="0" applyFont="1"/>
    <xf numFmtId="3" fontId="11" fillId="0" borderId="0" xfId="0" applyNumberFormat="1" applyFont="1"/>
    <xf numFmtId="0" fontId="19" fillId="0" borderId="0" xfId="0" applyFont="1"/>
    <xf numFmtId="0" fontId="21" fillId="0" borderId="0" xfId="0" applyFont="1"/>
    <xf numFmtId="3" fontId="21" fillId="0" borderId="0" xfId="0" applyNumberFormat="1" applyFont="1"/>
    <xf numFmtId="0" fontId="22" fillId="0" borderId="0" xfId="0" applyFont="1"/>
    <xf numFmtId="3" fontId="22" fillId="0" borderId="0" xfId="0" applyNumberFormat="1" applyFont="1"/>
    <xf numFmtId="3" fontId="11" fillId="0" borderId="1" xfId="0" applyNumberFormat="1" applyFont="1" applyBorder="1"/>
    <xf numFmtId="3" fontId="19" fillId="0" borderId="0" xfId="0" applyNumberFormat="1" applyFont="1"/>
    <xf numFmtId="0" fontId="10" fillId="0" borderId="0" xfId="0" applyFont="1"/>
    <xf numFmtId="3" fontId="10" fillId="0" borderId="0" xfId="0" applyNumberFormat="1" applyFont="1"/>
    <xf numFmtId="3" fontId="8" fillId="0" borderId="1" xfId="0" applyNumberFormat="1" applyFont="1" applyBorder="1"/>
    <xf numFmtId="3" fontId="7" fillId="0" borderId="0" xfId="0" applyNumberFormat="1" applyFont="1"/>
    <xf numFmtId="0" fontId="7" fillId="0" borderId="0" xfId="0" applyFont="1" applyAlignment="1">
      <alignment horizontal="right"/>
    </xf>
    <xf numFmtId="3" fontId="6" fillId="0" borderId="0" xfId="0" applyNumberFormat="1" applyFont="1"/>
    <xf numFmtId="3" fontId="23" fillId="0" borderId="0" xfId="0" applyNumberFormat="1" applyFont="1"/>
    <xf numFmtId="4" fontId="7" fillId="0" borderId="0" xfId="0" applyNumberFormat="1" applyFont="1" applyAlignment="1">
      <alignment horizontal="right"/>
    </xf>
    <xf numFmtId="3" fontId="24" fillId="0" borderId="0" xfId="0" applyNumberFormat="1" applyFont="1"/>
    <xf numFmtId="2" fontId="7" fillId="0" borderId="0" xfId="0" applyNumberFormat="1" applyFont="1" applyAlignment="1">
      <alignment horizontal="right"/>
    </xf>
    <xf numFmtId="2" fontId="7" fillId="0" borderId="0" xfId="0" applyNumberFormat="1" applyFont="1"/>
    <xf numFmtId="0" fontId="6" fillId="12" borderId="0" xfId="0" applyFont="1" applyFill="1"/>
    <xf numFmtId="4" fontId="6" fillId="12" borderId="0" xfId="0" applyNumberFormat="1" applyFont="1" applyFill="1"/>
    <xf numFmtId="0" fontId="6" fillId="10" borderId="0" xfId="0" applyFont="1" applyFill="1"/>
    <xf numFmtId="4" fontId="6" fillId="10" borderId="0" xfId="0" applyNumberFormat="1" applyFont="1" applyFill="1"/>
    <xf numFmtId="0" fontId="6" fillId="15" borderId="0" xfId="0" applyFont="1" applyFill="1"/>
    <xf numFmtId="4" fontId="7" fillId="15" borderId="0" xfId="0" applyNumberFormat="1" applyFont="1" applyFill="1"/>
    <xf numFmtId="4" fontId="6" fillId="15" borderId="0" xfId="0" applyNumberFormat="1" applyFont="1" applyFill="1"/>
    <xf numFmtId="164" fontId="6" fillId="0" borderId="0" xfId="0" applyNumberFormat="1" applyFont="1"/>
    <xf numFmtId="0" fontId="24" fillId="0" borderId="0" xfId="0" applyFont="1" applyAlignment="1">
      <alignment horizontal="center"/>
    </xf>
    <xf numFmtId="4" fontId="6" fillId="0" borderId="0" xfId="0" applyNumberFormat="1" applyFont="1"/>
    <xf numFmtId="0" fontId="6" fillId="2" borderId="0" xfId="0" applyFont="1" applyFill="1"/>
    <xf numFmtId="0" fontId="15" fillId="0" borderId="0" xfId="0" applyFont="1" applyAlignment="1">
      <alignment horizontal="center"/>
    </xf>
    <xf numFmtId="164" fontId="15" fillId="0" borderId="0" xfId="0" applyNumberFormat="1" applyFont="1"/>
    <xf numFmtId="0" fontId="13" fillId="0" borderId="0" xfId="0" applyFont="1"/>
    <xf numFmtId="0" fontId="25" fillId="0" borderId="0" xfId="0" applyFont="1"/>
    <xf numFmtId="0" fontId="20" fillId="0" borderId="0" xfId="0" applyFont="1" applyAlignment="1">
      <alignment horizontal="center"/>
    </xf>
    <xf numFmtId="0" fontId="2" fillId="0" borderId="0" xfId="0" applyFont="1" applyAlignment="1">
      <alignment horizontal="center"/>
    </xf>
    <xf numFmtId="0" fontId="6" fillId="0" borderId="7" xfId="0" applyFont="1" applyBorder="1" applyAlignment="1">
      <alignment horizontal="center"/>
    </xf>
    <xf numFmtId="4" fontId="13" fillId="11" borderId="0" xfId="0" applyNumberFormat="1" applyFont="1" applyFill="1"/>
    <xf numFmtId="4" fontId="13" fillId="13" borderId="0" xfId="0" applyNumberFormat="1" applyFont="1" applyFill="1"/>
    <xf numFmtId="0" fontId="6" fillId="2" borderId="5" xfId="0" applyFont="1" applyFill="1" applyBorder="1" applyAlignment="1">
      <alignment horizontal="center"/>
    </xf>
    <xf numFmtId="0" fontId="7" fillId="0" borderId="5" xfId="0" applyFont="1" applyBorder="1" applyAlignment="1">
      <alignment horizontal="right"/>
    </xf>
    <xf numFmtId="0" fontId="7" fillId="0" borderId="5" xfId="0" applyFont="1" applyBorder="1"/>
    <xf numFmtId="4" fontId="7" fillId="0" borderId="5" xfId="0" applyNumberFormat="1" applyFont="1" applyBorder="1"/>
    <xf numFmtId="0" fontId="6" fillId="2" borderId="5" xfId="0" applyFont="1" applyFill="1" applyBorder="1"/>
    <xf numFmtId="164" fontId="6" fillId="2" borderId="5" xfId="0" applyNumberFormat="1" applyFont="1" applyFill="1" applyBorder="1"/>
    <xf numFmtId="0" fontId="7" fillId="0" borderId="5" xfId="0" applyFont="1" applyBorder="1" applyAlignment="1">
      <alignment horizontal="center"/>
    </xf>
    <xf numFmtId="0" fontId="7" fillId="2" borderId="5" xfId="0" applyFont="1" applyFill="1" applyBorder="1"/>
    <xf numFmtId="49" fontId="7" fillId="0" borderId="5" xfId="0" applyNumberFormat="1" applyFont="1" applyBorder="1" applyAlignment="1">
      <alignment horizontal="center"/>
    </xf>
    <xf numFmtId="49" fontId="6" fillId="2" borderId="0" xfId="0" applyNumberFormat="1" applyFont="1" applyFill="1" applyAlignment="1">
      <alignment horizontal="center"/>
    </xf>
    <xf numFmtId="4" fontId="6" fillId="2" borderId="0" xfId="0" applyNumberFormat="1" applyFont="1" applyFill="1"/>
    <xf numFmtId="49" fontId="6" fillId="0" borderId="0" xfId="0" applyNumberFormat="1" applyFont="1" applyAlignment="1">
      <alignment horizontal="center"/>
    </xf>
    <xf numFmtId="0" fontId="6" fillId="2" borderId="0" xfId="0" applyFont="1" applyFill="1" applyAlignment="1">
      <alignment horizontal="center"/>
    </xf>
    <xf numFmtId="0" fontId="26" fillId="0" borderId="0" xfId="0" applyFont="1" applyAlignment="1">
      <alignment horizontal="center"/>
    </xf>
    <xf numFmtId="0" fontId="26" fillId="0" borderId="0" xfId="0" applyFont="1"/>
    <xf numFmtId="164" fontId="6" fillId="2" borderId="0" xfId="0" applyNumberFormat="1" applyFont="1" applyFill="1"/>
    <xf numFmtId="0" fontId="13" fillId="5" borderId="0" xfId="0" applyFont="1" applyFill="1"/>
    <xf numFmtId="4" fontId="25" fillId="5" borderId="0" xfId="0" applyNumberFormat="1" applyFont="1" applyFill="1"/>
    <xf numFmtId="0" fontId="6" fillId="6" borderId="0" xfId="0" applyFont="1" applyFill="1"/>
    <xf numFmtId="4" fontId="6" fillId="6" borderId="0" xfId="0" applyNumberFormat="1" applyFont="1" applyFill="1"/>
    <xf numFmtId="0" fontId="6" fillId="7" borderId="0" xfId="0" applyFont="1" applyFill="1"/>
    <xf numFmtId="4" fontId="6" fillId="7" borderId="0" xfId="0" applyNumberFormat="1" applyFont="1" applyFill="1"/>
    <xf numFmtId="4" fontId="25" fillId="8" borderId="0" xfId="0" applyNumberFormat="1" applyFont="1" applyFill="1"/>
    <xf numFmtId="0" fontId="6" fillId="9" borderId="0" xfId="0" applyFont="1" applyFill="1"/>
    <xf numFmtId="4" fontId="6" fillId="9" borderId="0" xfId="0" applyNumberFormat="1" applyFont="1" applyFill="1"/>
    <xf numFmtId="0" fontId="6" fillId="4" borderId="0" xfId="0" applyFont="1" applyFill="1"/>
    <xf numFmtId="4" fontId="6" fillId="4" borderId="0" xfId="0" applyNumberFormat="1" applyFont="1" applyFill="1"/>
    <xf numFmtId="4" fontId="27" fillId="0" borderId="0" xfId="0" applyNumberFormat="1" applyFont="1" applyAlignment="1">
      <alignment horizontal="center"/>
    </xf>
    <xf numFmtId="0" fontId="6" fillId="19" borderId="0" xfId="0" applyFont="1" applyFill="1"/>
    <xf numFmtId="4" fontId="13" fillId="5" borderId="0" xfId="0" applyNumberFormat="1" applyFont="1" applyFill="1"/>
    <xf numFmtId="4" fontId="7" fillId="2" borderId="0" xfId="0" applyNumberFormat="1" applyFont="1" applyFill="1"/>
    <xf numFmtId="4" fontId="13" fillId="8" borderId="0" xfId="0" applyNumberFormat="1" applyFont="1" applyFill="1"/>
    <xf numFmtId="4" fontId="6" fillId="19" borderId="0" xfId="0" applyNumberFormat="1" applyFont="1" applyFill="1"/>
    <xf numFmtId="0" fontId="28" fillId="0" borderId="0" xfId="0" applyFont="1"/>
    <xf numFmtId="0" fontId="29" fillId="0" borderId="0" xfId="0" applyFont="1"/>
    <xf numFmtId="0" fontId="6" fillId="3" borderId="0" xfId="0" applyFont="1" applyFill="1"/>
    <xf numFmtId="164" fontId="6" fillId="3" borderId="0" xfId="0" applyNumberFormat="1" applyFont="1" applyFill="1"/>
    <xf numFmtId="4" fontId="6" fillId="3" borderId="0" xfId="0" applyNumberFormat="1" applyFont="1" applyFill="1"/>
    <xf numFmtId="0" fontId="6" fillId="0" borderId="7" xfId="0" applyFont="1" applyBorder="1" applyAlignment="1">
      <alignment horizontal="center" vertical="center"/>
    </xf>
    <xf numFmtId="0" fontId="6" fillId="0" borderId="0" xfId="0" applyFont="1" applyAlignment="1">
      <alignment horizontal="right"/>
    </xf>
    <xf numFmtId="0" fontId="13" fillId="3" borderId="0" xfId="0" applyFont="1" applyFill="1"/>
    <xf numFmtId="0" fontId="13" fillId="12" borderId="0" xfId="0" applyFont="1" applyFill="1"/>
    <xf numFmtId="0" fontId="6" fillId="14" borderId="0" xfId="0" applyFont="1" applyFill="1"/>
    <xf numFmtId="4" fontId="6" fillId="14" borderId="0" xfId="0" applyNumberFormat="1" applyFont="1" applyFill="1"/>
    <xf numFmtId="164" fontId="6" fillId="15" borderId="0" xfId="0" applyNumberFormat="1" applyFont="1" applyFill="1"/>
    <xf numFmtId="4" fontId="13" fillId="3" borderId="0" xfId="0" applyNumberFormat="1" applyFont="1" applyFill="1"/>
    <xf numFmtId="4" fontId="13" fillId="12" borderId="0" xfId="0" applyNumberFormat="1" applyFont="1" applyFill="1"/>
    <xf numFmtId="4" fontId="7" fillId="14" borderId="0" xfId="0" applyNumberFormat="1" applyFont="1" applyFill="1"/>
    <xf numFmtId="0" fontId="30" fillId="15" borderId="0" xfId="0" applyFont="1" applyFill="1"/>
    <xf numFmtId="4" fontId="30" fillId="15" borderId="0" xfId="0" applyNumberFormat="1" applyFont="1" applyFill="1"/>
    <xf numFmtId="0" fontId="30" fillId="0" borderId="0" xfId="0" applyFont="1"/>
    <xf numFmtId="49" fontId="7" fillId="0" borderId="0" xfId="0" applyNumberFormat="1" applyFont="1" applyAlignment="1">
      <alignment horizontal="right"/>
    </xf>
    <xf numFmtId="9" fontId="7" fillId="0" borderId="0" xfId="0" applyNumberFormat="1" applyFont="1" applyAlignment="1">
      <alignment horizontal="right"/>
    </xf>
    <xf numFmtId="49" fontId="7" fillId="0" borderId="0" xfId="0" applyNumberFormat="1" applyFont="1"/>
    <xf numFmtId="0" fontId="7" fillId="0" borderId="1" xfId="0" applyFont="1" applyBorder="1"/>
    <xf numFmtId="49" fontId="7" fillId="0" borderId="1" xfId="0" applyNumberFormat="1" applyFont="1" applyBorder="1" applyAlignment="1">
      <alignment horizontal="center"/>
    </xf>
    <xf numFmtId="4" fontId="7" fillId="0" borderId="1" xfId="0" applyNumberFormat="1" applyFont="1" applyBorder="1"/>
    <xf numFmtId="0" fontId="7" fillId="0" borderId="6" xfId="0" applyFont="1" applyBorder="1"/>
    <xf numFmtId="49" fontId="7" fillId="0" borderId="6" xfId="0" applyNumberFormat="1" applyFont="1" applyBorder="1" applyAlignment="1">
      <alignment horizontal="center"/>
    </xf>
    <xf numFmtId="4" fontId="7" fillId="0" borderId="6" xfId="0" applyNumberFormat="1" applyFont="1" applyBorder="1"/>
    <xf numFmtId="49" fontId="7" fillId="0" borderId="0" xfId="0" applyNumberFormat="1" applyFont="1" applyAlignment="1">
      <alignment horizontal="center"/>
    </xf>
    <xf numFmtId="4" fontId="6" fillId="0" borderId="7" xfId="0" applyNumberFormat="1" applyFont="1" applyBorder="1"/>
    <xf numFmtId="0" fontId="7" fillId="0" borderId="6" xfId="0" applyFont="1" applyBorder="1" applyAlignment="1">
      <alignment horizontal="right"/>
    </xf>
    <xf numFmtId="4" fontId="6" fillId="0" borderId="8" xfId="0" applyNumberFormat="1" applyFont="1" applyBorder="1"/>
    <xf numFmtId="0" fontId="27" fillId="0" borderId="0" xfId="0" applyFont="1"/>
    <xf numFmtId="0" fontId="14" fillId="0" borderId="1" xfId="0" applyFont="1" applyBorder="1"/>
    <xf numFmtId="4" fontId="7" fillId="0" borderId="8" xfId="0" applyNumberFormat="1" applyFont="1" applyBorder="1"/>
    <xf numFmtId="49" fontId="6" fillId="0" borderId="0" xfId="0" applyNumberFormat="1" applyFont="1"/>
    <xf numFmtId="3" fontId="20" fillId="0" borderId="0" xfId="0" applyNumberFormat="1" applyFont="1" applyAlignment="1">
      <alignment horizontal="center"/>
    </xf>
    <xf numFmtId="3" fontId="14" fillId="0" borderId="0" xfId="0" applyNumberFormat="1" applyFont="1" applyAlignment="1">
      <alignment horizontal="center"/>
    </xf>
    <xf numFmtId="3" fontId="14" fillId="0" borderId="0" xfId="0" applyNumberFormat="1" applyFont="1"/>
    <xf numFmtId="3" fontId="20" fillId="0" borderId="0" xfId="0" applyNumberFormat="1" applyFont="1"/>
    <xf numFmtId="4" fontId="7" fillId="0" borderId="7" xfId="0" applyNumberFormat="1" applyFont="1" applyBorder="1"/>
    <xf numFmtId="4" fontId="6" fillId="0" borderId="0" xfId="0" applyNumberFormat="1" applyFont="1" applyAlignment="1">
      <alignment horizontal="center"/>
    </xf>
    <xf numFmtId="0" fontId="7" fillId="0" borderId="1" xfId="0" applyFont="1" applyBorder="1" applyAlignment="1">
      <alignment horizontal="right"/>
    </xf>
    <xf numFmtId="3" fontId="6" fillId="0" borderId="7" xfId="0" applyNumberFormat="1" applyFont="1" applyBorder="1"/>
    <xf numFmtId="4" fontId="6" fillId="0" borderId="7" xfId="0" applyNumberFormat="1" applyFont="1" applyBorder="1" applyAlignment="1">
      <alignment horizontal="right"/>
    </xf>
    <xf numFmtId="4" fontId="6" fillId="0" borderId="0" xfId="0" applyNumberFormat="1" applyFont="1" applyAlignment="1">
      <alignment horizontal="right"/>
    </xf>
    <xf numFmtId="0" fontId="30" fillId="0" borderId="0" xfId="0" applyFont="1" applyAlignment="1">
      <alignment horizontal="center"/>
    </xf>
    <xf numFmtId="0" fontId="14" fillId="0" borderId="0" xfId="0" applyFont="1"/>
    <xf numFmtId="14" fontId="7" fillId="0" borderId="0" xfId="0" applyNumberFormat="1" applyFont="1"/>
    <xf numFmtId="14" fontId="7" fillId="0" borderId="0" xfId="0" applyNumberFormat="1" applyFont="1" applyAlignment="1">
      <alignment horizontal="center"/>
    </xf>
    <xf numFmtId="165" fontId="7" fillId="0" borderId="0" xfId="0" applyNumberFormat="1" applyFont="1" applyAlignment="1">
      <alignment horizontal="left"/>
    </xf>
    <xf numFmtId="164" fontId="6" fillId="4" borderId="0" xfId="0" applyNumberFormat="1" applyFont="1" applyFill="1"/>
    <xf numFmtId="164" fontId="34" fillId="0" borderId="0" xfId="0" applyNumberFormat="1" applyFont="1" applyAlignment="1">
      <alignment horizontal="right"/>
    </xf>
    <xf numFmtId="164" fontId="14" fillId="0" borderId="0" xfId="0" applyNumberFormat="1" applyFont="1" applyAlignment="1">
      <alignment horizontal="right"/>
    </xf>
    <xf numFmtId="0" fontId="25" fillId="0" borderId="0" xfId="0" applyFont="1" applyAlignment="1">
      <alignment horizontal="center"/>
    </xf>
    <xf numFmtId="164" fontId="34" fillId="4" borderId="0" xfId="0" applyNumberFormat="1" applyFont="1" applyFill="1"/>
    <xf numFmtId="164" fontId="6" fillId="12" borderId="0" xfId="0" applyNumberFormat="1" applyFont="1" applyFill="1"/>
    <xf numFmtId="164" fontId="6" fillId="14" borderId="0" xfId="0" applyNumberFormat="1" applyFont="1" applyFill="1"/>
    <xf numFmtId="0" fontId="35" fillId="0" borderId="0" xfId="0" applyFont="1" applyAlignment="1">
      <alignment horizontal="center"/>
    </xf>
    <xf numFmtId="164" fontId="13" fillId="11" borderId="0" xfId="0" applyNumberFormat="1" applyFont="1" applyFill="1"/>
    <xf numFmtId="164" fontId="13" fillId="13" borderId="0" xfId="0" applyNumberFormat="1" applyFont="1" applyFill="1"/>
    <xf numFmtId="164" fontId="6" fillId="10" borderId="0" xfId="0" applyNumberFormat="1" applyFont="1" applyFill="1"/>
    <xf numFmtId="164" fontId="7" fillId="15" borderId="0" xfId="0" applyNumberFormat="1" applyFont="1" applyFill="1"/>
    <xf numFmtId="0" fontId="11" fillId="0" borderId="2" xfId="0" applyFont="1" applyBorder="1" applyAlignment="1">
      <alignment horizontal="center"/>
    </xf>
    <xf numFmtId="0" fontId="11" fillId="0" borderId="3" xfId="0" applyFont="1" applyBorder="1" applyAlignment="1">
      <alignment horizontal="center"/>
    </xf>
    <xf numFmtId="0" fontId="11" fillId="0" borderId="4" xfId="0" applyFont="1"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7" fillId="2" borderId="10" xfId="0" applyFont="1" applyFill="1" applyBorder="1" applyAlignment="1">
      <alignment horizontal="justify" vertical="center" wrapText="1"/>
    </xf>
    <xf numFmtId="0" fontId="7" fillId="2" borderId="6" xfId="0" applyFont="1" applyFill="1" applyBorder="1" applyAlignment="1">
      <alignment horizontal="justify" vertical="center" wrapText="1"/>
    </xf>
    <xf numFmtId="0" fontId="7" fillId="2" borderId="11" xfId="0" applyFont="1" applyFill="1" applyBorder="1" applyAlignment="1">
      <alignment horizontal="justify" vertical="center" wrapText="1"/>
    </xf>
    <xf numFmtId="0" fontId="30" fillId="0" borderId="0" xfId="0" applyFont="1" applyAlignment="1">
      <alignment horizontal="center"/>
    </xf>
    <xf numFmtId="0" fontId="6" fillId="5" borderId="2" xfId="0" applyFont="1" applyFill="1" applyBorder="1" applyAlignment="1">
      <alignment horizontal="center"/>
    </xf>
    <xf numFmtId="0" fontId="6" fillId="5" borderId="3" xfId="0" applyFont="1" applyFill="1" applyBorder="1" applyAlignment="1">
      <alignment horizontal="center"/>
    </xf>
    <xf numFmtId="0" fontId="6" fillId="5" borderId="4" xfId="0" applyFont="1" applyFill="1" applyBorder="1" applyAlignment="1">
      <alignment horizontal="center"/>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30" fillId="0" borderId="0" xfId="0" applyFont="1" applyAlignment="1">
      <alignment horizontal="left"/>
    </xf>
    <xf numFmtId="0" fontId="32" fillId="0" borderId="9" xfId="0" applyFont="1" applyBorder="1" applyAlignment="1">
      <alignment horizontal="center"/>
    </xf>
  </cellXfs>
  <cellStyles count="2">
    <cellStyle name="Lien hypertexte" xfId="1" builtinId="8"/>
    <cellStyle name="Normal"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dLbls>
          <c:showLegendKey val="0"/>
          <c:showVal val="0"/>
          <c:showCatName val="0"/>
          <c:showSerName val="0"/>
          <c:showPercent val="0"/>
          <c:showBubbleSize val="0"/>
        </c:dLbls>
        <c:gapWidth val="83"/>
        <c:overlap val="-27"/>
        <c:axId val="197342464"/>
        <c:axId val="197342856"/>
      </c:barChart>
      <c:catAx>
        <c:axId val="19734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7342856"/>
        <c:crosses val="autoZero"/>
        <c:auto val="1"/>
        <c:lblAlgn val="ctr"/>
        <c:lblOffset val="100"/>
        <c:noMultiLvlLbl val="0"/>
      </c:catAx>
      <c:valAx>
        <c:axId val="197342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7342464"/>
        <c:crosses val="autoZero"/>
        <c:crossBetween val="between"/>
      </c:valAx>
      <c:spPr>
        <a:gradFill>
          <a:gsLst>
            <a:gs pos="0">
              <a:schemeClr val="bg1"/>
            </a:gs>
            <a:gs pos="57000">
              <a:schemeClr val="bg1">
                <a:lumMod val="95000"/>
              </a:schemeClr>
            </a:gs>
            <a:gs pos="100000">
              <a:schemeClr val="bg1">
                <a:lumMod val="85000"/>
              </a:schemeClr>
            </a:gs>
          </a:gsLst>
          <a:lin ang="5400000" scaled="1"/>
        </a:grad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dLbl>
              <c:idx val="0"/>
              <c:layout>
                <c:manualLayout>
                  <c:x val="-1.4690003093698E-17"/>
                  <c:y val="-2.336903363832332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1" baseline="0"/>
                      <a:t> </a:t>
                    </a:r>
                    <a:fld id="{B0EF056D-28D1-438B-BD96-0064906F0E48}" type="VALUE">
                      <a:rPr lang="en-US" b="1" baseline="0"/>
                      <a:pPr>
                        <a:defRPr/>
                      </a:pPr>
                      <a:t>[VALEUR]</a:t>
                    </a:fld>
                    <a:endParaRPr lang="en-US" b="1"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0470"/>
                        <a:gd name="adj2" fmla="val 129665"/>
                      </a:avLst>
                    </a:prstGeom>
                    <a:noFill/>
                    <a:ln>
                      <a:noFill/>
                    </a:ln>
                  </c15:spPr>
                  <c15:dlblFieldTable/>
                  <c15:showDataLabelsRange val="0"/>
                </c:ext>
                <c:ext xmlns:c16="http://schemas.microsoft.com/office/drawing/2014/chart" uri="{C3380CC4-5D6E-409C-BE32-E72D297353CC}">
                  <c16:uniqueId val="{00000000-8227-409C-AC63-931F59D2386B}"/>
                </c:ext>
              </c:extLst>
            </c:dLbl>
            <c:dLbl>
              <c:idx val="1"/>
              <c:layout>
                <c:manualLayout>
                  <c:x val="0"/>
                  <c:y val="-1.81759150520293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473B4AA-2BF4-4059-8419-EC5A376F5B8E}" type="VALUE">
                      <a:rPr lang="en-US" b="1" baseline="0"/>
                      <a:pPr>
                        <a:defRPr/>
                      </a:pPr>
                      <a:t>[VALEUR]</a:t>
                    </a:fld>
                    <a:endParaRPr lang="de-CH"/>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8497"/>
                        <a:gd name="adj2" fmla="val 121876"/>
                      </a:avLst>
                    </a:prstGeom>
                    <a:noFill/>
                    <a:ln>
                      <a:noFill/>
                    </a:ln>
                  </c15:spPr>
                  <c15:dlblFieldTable/>
                  <c15:showDataLabelsRange val="0"/>
                </c:ext>
                <c:ext xmlns:c16="http://schemas.microsoft.com/office/drawing/2014/chart" uri="{C3380CC4-5D6E-409C-BE32-E72D297353CC}">
                  <c16:uniqueId val="{00000001-8227-409C-AC63-931F59D2386B}"/>
                </c:ext>
              </c:extLst>
            </c:dLbl>
            <c:dLbl>
              <c:idx val="2"/>
              <c:layout>
                <c:manualLayout>
                  <c:x val="0"/>
                  <c:y val="-2.336903363832341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8027869-74BF-4B8D-8A25-8A912DF15477}" type="VALUE">
                      <a:rPr lang="en-US" b="1" baseline="0"/>
                      <a:pPr>
                        <a:defRPr/>
                      </a:pPr>
                      <a:t>[VALEUR]</a:t>
                    </a:fld>
                    <a:endParaRPr lang="de-CH"/>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1329"/>
                        <a:gd name="adj2" fmla="val 130728"/>
                      </a:avLst>
                    </a:prstGeom>
                    <a:noFill/>
                    <a:ln>
                      <a:noFill/>
                    </a:ln>
                  </c15:spPr>
                  <c15:dlblFieldTable/>
                  <c15:showDataLabelsRange val="0"/>
                </c:ext>
                <c:ext xmlns:c16="http://schemas.microsoft.com/office/drawing/2014/chart" uri="{C3380CC4-5D6E-409C-BE32-E72D297353CC}">
                  <c16:uniqueId val="{00000002-8227-409C-AC63-931F59D2386B}"/>
                </c:ext>
              </c:extLst>
            </c:dLbl>
            <c:dLbl>
              <c:idx val="3"/>
              <c:layout>
                <c:manualLayout>
                  <c:x val="0"/>
                  <c:y val="-3.375527081091159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14ACABF-C889-4253-B6EE-1C304D95F700}" type="VALUE">
                      <a:rPr lang="en-US" b="1" baseline="0"/>
                      <a:pPr>
                        <a:defRPr/>
                      </a:pPr>
                      <a:t>[VALEUR]</a:t>
                    </a:fld>
                    <a:endParaRPr lang="de-CH"/>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6916"/>
                        <a:gd name="adj2" fmla="val 159053"/>
                      </a:avLst>
                    </a:prstGeom>
                    <a:noFill/>
                    <a:ln>
                      <a:noFill/>
                    </a:ln>
                  </c15:spPr>
                  <c15:dlblFieldTable/>
                  <c15:showDataLabelsRange val="0"/>
                </c:ext>
                <c:ext xmlns:c16="http://schemas.microsoft.com/office/drawing/2014/chart" uri="{C3380CC4-5D6E-409C-BE32-E72D297353CC}">
                  <c16:uniqueId val="{00000003-8227-409C-AC63-931F59D2386B}"/>
                </c:ext>
              </c:extLst>
            </c:dLbl>
            <c:dLbl>
              <c:idx val="4"/>
              <c:layout>
                <c:manualLayout>
                  <c:x val="0"/>
                  <c:y val="-3.635183010405864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CB765B4-A9D6-43A7-A352-83F05219D6D0}" type="VALUE">
                      <a:rPr lang="en-US" b="1" baseline="0"/>
                      <a:pPr>
                        <a:defRPr/>
                      </a:pPr>
                      <a:t>[VALEUR]</a:t>
                    </a:fld>
                    <a:endParaRPr lang="de-CH"/>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4476"/>
                        <a:gd name="adj2" fmla="val 159052"/>
                      </a:avLst>
                    </a:prstGeom>
                    <a:noFill/>
                    <a:ln>
                      <a:noFill/>
                    </a:ln>
                  </c15:spPr>
                  <c15:dlblFieldTable/>
                  <c15:showDataLabelsRange val="0"/>
                </c:ext>
                <c:ext xmlns:c16="http://schemas.microsoft.com/office/drawing/2014/chart" uri="{C3380CC4-5D6E-409C-BE32-E72D297353CC}">
                  <c16:uniqueId val="{00000004-8227-409C-AC63-931F59D2386B}"/>
                </c:ext>
              </c:extLst>
            </c:dLbl>
            <c:dLbl>
              <c:idx val="5"/>
              <c:layout>
                <c:manualLayout>
                  <c:x val="6.4102572191420881E-3"/>
                  <c:y val="-4.673806727664685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CD0327D-B9D7-4F99-BC94-1B83AE60D9C9}" type="VALUE">
                      <a:rPr lang="en-US" b="1" baseline="0"/>
                      <a:pPr>
                        <a:defRPr/>
                      </a:pPr>
                      <a:t>[VALEUR]</a:t>
                    </a:fld>
                    <a:endParaRPr lang="de-CH"/>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6433"/>
                        <a:gd name="adj2" fmla="val 194460"/>
                      </a:avLst>
                    </a:prstGeom>
                    <a:noFill/>
                    <a:ln>
                      <a:noFill/>
                    </a:ln>
                  </c15:spPr>
                  <c15:dlblFieldTable/>
                  <c15:showDataLabelsRange val="0"/>
                </c:ext>
                <c:ext xmlns:c16="http://schemas.microsoft.com/office/drawing/2014/chart" uri="{C3380CC4-5D6E-409C-BE32-E72D297353CC}">
                  <c16:uniqueId val="{00000005-8227-409C-AC63-931F59D2386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Population!$B$24:$B$29</c:f>
              <c:strCache>
                <c:ptCount val="6"/>
                <c:pt idx="0">
                  <c:v>8 communes de moins 200 habitants</c:v>
                </c:pt>
                <c:pt idx="1">
                  <c:v>13 communes de 200 à 500 habitants</c:v>
                </c:pt>
                <c:pt idx="2">
                  <c:v>11 communes de 501 à 1'000 habitants</c:v>
                </c:pt>
                <c:pt idx="3">
                  <c:v>12 communes de 1'001 à 2'000 habitants</c:v>
                </c:pt>
                <c:pt idx="4">
                  <c:v>3 communes de 2'001 à 3'000 habitants</c:v>
                </c:pt>
                <c:pt idx="5">
                  <c:v>6 communes de plus 3'000 habitants</c:v>
                </c:pt>
              </c:strCache>
            </c:strRef>
          </c:cat>
          <c:val>
            <c:numRef>
              <c:f>Population!$C$24:$C$29</c:f>
              <c:numCache>
                <c:formatCode>#,##0</c:formatCode>
                <c:ptCount val="6"/>
                <c:pt idx="0">
                  <c:v>1066</c:v>
                </c:pt>
                <c:pt idx="1">
                  <c:v>4185</c:v>
                </c:pt>
                <c:pt idx="2">
                  <c:v>7789</c:v>
                </c:pt>
                <c:pt idx="3">
                  <c:v>16481</c:v>
                </c:pt>
                <c:pt idx="4">
                  <c:v>7664</c:v>
                </c:pt>
                <c:pt idx="5">
                  <c:v>36680</c:v>
                </c:pt>
              </c:numCache>
            </c:numRef>
          </c:val>
          <c:extLst>
            <c:ext xmlns:c16="http://schemas.microsoft.com/office/drawing/2014/chart" uri="{C3380CC4-5D6E-409C-BE32-E72D297353CC}">
              <c16:uniqueId val="{00000006-8227-409C-AC63-931F59D2386B}"/>
            </c:ext>
          </c:extLst>
        </c:ser>
        <c:dLbls>
          <c:showLegendKey val="0"/>
          <c:showVal val="0"/>
          <c:showCatName val="0"/>
          <c:showSerName val="0"/>
          <c:showPercent val="0"/>
          <c:showBubbleSize val="0"/>
        </c:dLbls>
        <c:gapWidth val="219"/>
        <c:overlap val="-27"/>
        <c:axId val="197343640"/>
        <c:axId val="197344032"/>
      </c:barChart>
      <c:catAx>
        <c:axId val="19734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7344032"/>
        <c:crosses val="autoZero"/>
        <c:auto val="1"/>
        <c:lblAlgn val="ctr"/>
        <c:lblOffset val="100"/>
        <c:noMultiLvlLbl val="0"/>
      </c:catAx>
      <c:valAx>
        <c:axId val="197344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7343640"/>
        <c:crosses val="autoZero"/>
        <c:crossBetween val="between"/>
      </c:valAx>
      <c:spPr>
        <a:noFill/>
        <a:ln>
          <a:noFill/>
        </a:ln>
        <a:effectLst/>
      </c:spPr>
    </c:plotArea>
    <c:plotVisOnly val="1"/>
    <c:dispBlanksAs val="gap"/>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Charges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473-4627-B6BF-1A2FAE0B92B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473-4627-B6BF-1A2FAE0B92B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473-4627-B6BF-1A2FAE0B92B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473-4627-B6BF-1A2FAE0B92B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473-4627-B6BF-1A2FAE0B92B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4473-4627-B6BF-1A2FAE0B92B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4473-4627-B6BF-1A2FAE0B92B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4473-4627-B6BF-1A2FAE0B92B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4473-4627-B6BF-1A2FAE0B92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'Graphique par nature'!$A$5:$A$13</c:f>
              <c:strCache>
                <c:ptCount val="9"/>
                <c:pt idx="0">
                  <c:v>30 Charges du personnel</c:v>
                </c:pt>
                <c:pt idx="1">
                  <c:v>31 Charges de biens et de services et autres charges d'exploitation</c:v>
                </c:pt>
                <c:pt idx="2">
                  <c:v>33 Amortissements du patrimoine administratif</c:v>
                </c:pt>
                <c:pt idx="3">
                  <c:v>34 Charges financières</c:v>
                </c:pt>
                <c:pt idx="4">
                  <c:v>35 Attributions aux financements spéciaux des capitaux de tiers</c:v>
                </c:pt>
                <c:pt idx="5">
                  <c:v>36 Charges de transferts</c:v>
                </c:pt>
                <c:pt idx="6">
                  <c:v>37 Subventions à redistribuer</c:v>
                </c:pt>
                <c:pt idx="7">
                  <c:v>38 Charges extraordinaires</c:v>
                </c:pt>
                <c:pt idx="8">
                  <c:v>39 Imputations internes</c:v>
                </c:pt>
              </c:strCache>
            </c:strRef>
          </c:cat>
          <c:val>
            <c:numRef>
              <c:f>'Graphique par nature'!$B$5:$B$13</c:f>
              <c:numCache>
                <c:formatCode>#,##0.00</c:formatCode>
                <c:ptCount val="9"/>
                <c:pt idx="0">
                  <c:v>72750465.75</c:v>
                </c:pt>
                <c:pt idx="1">
                  <c:v>86997834.980000004</c:v>
                </c:pt>
                <c:pt idx="2">
                  <c:v>25063351.139999997</c:v>
                </c:pt>
                <c:pt idx="3">
                  <c:v>8237138.9299999978</c:v>
                </c:pt>
                <c:pt idx="4">
                  <c:v>2809245.6700000009</c:v>
                </c:pt>
                <c:pt idx="5">
                  <c:v>196494126.72999996</c:v>
                </c:pt>
                <c:pt idx="6">
                  <c:v>2688304.3000000003</c:v>
                </c:pt>
                <c:pt idx="7">
                  <c:v>6661203.8000000007</c:v>
                </c:pt>
                <c:pt idx="8">
                  <c:v>6706821.9000000004</c:v>
                </c:pt>
              </c:numCache>
            </c:numRef>
          </c:val>
          <c:extLst>
            <c:ext xmlns:c16="http://schemas.microsoft.com/office/drawing/2014/chart" uri="{C3380CC4-5D6E-409C-BE32-E72D297353CC}">
              <c16:uniqueId val="{00000000-3BB9-40B9-B8A7-CD1A90FF119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Revenus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C0F-4DB5-B221-85C24E14FAB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C0F-4DB5-B221-85C24E14FAB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C0F-4DB5-B221-85C24E14FAB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C0F-4DB5-B221-85C24E14FAB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C0F-4DB5-B221-85C24E14FAB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C0F-4DB5-B221-85C24E14FAB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DC0F-4DB5-B221-85C24E14FAB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DC0F-4DB5-B221-85C24E14FAB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DC0F-4DB5-B221-85C24E14FAB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DC0F-4DB5-B221-85C24E14FA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'Graphique par nature'!$A$16:$A$25</c:f>
              <c:strCache>
                <c:ptCount val="10"/>
                <c:pt idx="0">
                  <c:v>40 Revenus fiscaux</c:v>
                </c:pt>
                <c:pt idx="1">
                  <c:v>41 Revenus de patentes et de concessions</c:v>
                </c:pt>
                <c:pt idx="2">
                  <c:v>42 Taxes</c:v>
                </c:pt>
                <c:pt idx="3">
                  <c:v>43 Revenus divers</c:v>
                </c:pt>
                <c:pt idx="4">
                  <c:v>44 Revenus financiers</c:v>
                </c:pt>
                <c:pt idx="5">
                  <c:v>45 Prélèvements sur les financements spéciaux</c:v>
                </c:pt>
                <c:pt idx="6">
                  <c:v>46 Revenus de transfert</c:v>
                </c:pt>
                <c:pt idx="7">
                  <c:v>47 Subventions à redistribuer</c:v>
                </c:pt>
                <c:pt idx="8">
                  <c:v>48 Revenus extraordinaires</c:v>
                </c:pt>
                <c:pt idx="9">
                  <c:v>49 Imputations internes</c:v>
                </c:pt>
              </c:strCache>
            </c:strRef>
          </c:cat>
          <c:val>
            <c:numRef>
              <c:f>'Graphique par nature'!$B$16:$B$25</c:f>
              <c:numCache>
                <c:formatCode>#,##0.00</c:formatCode>
                <c:ptCount val="10"/>
                <c:pt idx="0">
                  <c:v>224239356.33000001</c:v>
                </c:pt>
                <c:pt idx="1">
                  <c:v>1218755.5599999998</c:v>
                </c:pt>
                <c:pt idx="2">
                  <c:v>90551826.059999987</c:v>
                </c:pt>
                <c:pt idx="3">
                  <c:v>2316555.17</c:v>
                </c:pt>
                <c:pt idx="4">
                  <c:v>14057802.459999997</c:v>
                </c:pt>
                <c:pt idx="5">
                  <c:v>4005363.81</c:v>
                </c:pt>
                <c:pt idx="6">
                  <c:v>66093642.559999995</c:v>
                </c:pt>
                <c:pt idx="7">
                  <c:v>2342384.3000000003</c:v>
                </c:pt>
                <c:pt idx="8">
                  <c:v>4457240.22</c:v>
                </c:pt>
                <c:pt idx="9">
                  <c:v>6714147.8200000012</c:v>
                </c:pt>
              </c:numCache>
            </c:numRef>
          </c:val>
          <c:extLst>
            <c:ext xmlns:c16="http://schemas.microsoft.com/office/drawing/2014/chart" uri="{C3380CC4-5D6E-409C-BE32-E72D297353CC}">
              <c16:uniqueId val="{00000000-7CBE-48FC-9056-2A9D101FE66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Charges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376-4089-A76F-DD1FD0CD88C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376-4089-A76F-DD1FD0CD88C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376-4089-A76F-DD1FD0CD88C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376-4089-A76F-DD1FD0CD88C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376-4089-A76F-DD1FD0CD88C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3376-4089-A76F-DD1FD0CD88C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3376-4089-A76F-DD1FD0CD88C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3376-4089-A76F-DD1FD0CD88C8}"/>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3376-4089-A76F-DD1FD0CD88C8}"/>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3376-4089-A76F-DD1FD0CD88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'4.12.1 et 2 Graph par fonction'!$A$2:$A$11</c:f>
              <c:strCache>
                <c:ptCount val="10"/>
                <c:pt idx="0">
                  <c:v>0 Administration générale</c:v>
                </c:pt>
                <c:pt idx="1">
                  <c:v>1 Ordre et sécurité publics - Défense</c:v>
                </c:pt>
                <c:pt idx="2">
                  <c:v>2 Formation</c:v>
                </c:pt>
                <c:pt idx="3">
                  <c:v>3 Culture - Sports - Loisirs - Eglises</c:v>
                </c:pt>
                <c:pt idx="4">
                  <c:v>4 Santé</c:v>
                </c:pt>
                <c:pt idx="5">
                  <c:v>5 Prévoyance sociale</c:v>
                </c:pt>
                <c:pt idx="6">
                  <c:v>6 Traffic - Transports - Télécommunications</c:v>
                </c:pt>
                <c:pt idx="7">
                  <c:v>7 Protection de l'environnement - Aménagement du territoire</c:v>
                </c:pt>
                <c:pt idx="8">
                  <c:v>8 Economie publique</c:v>
                </c:pt>
                <c:pt idx="9">
                  <c:v>9 Finances - Impôts</c:v>
                </c:pt>
              </c:strCache>
            </c:strRef>
          </c:cat>
          <c:val>
            <c:numRef>
              <c:f>'4.12.1 et 2 Graph par fonction'!$B$2:$B$11</c:f>
              <c:numCache>
                <c:formatCode>#,##0.00</c:formatCode>
                <c:ptCount val="10"/>
                <c:pt idx="0">
                  <c:v>33571953.769999996</c:v>
                </c:pt>
                <c:pt idx="1">
                  <c:v>11288631.559999999</c:v>
                </c:pt>
                <c:pt idx="2">
                  <c:v>104894300.06999999</c:v>
                </c:pt>
                <c:pt idx="3">
                  <c:v>16624969.9</c:v>
                </c:pt>
                <c:pt idx="4">
                  <c:v>616789.23000000021</c:v>
                </c:pt>
                <c:pt idx="5">
                  <c:v>98179837.11999999</c:v>
                </c:pt>
                <c:pt idx="6">
                  <c:v>29028845.610000007</c:v>
                </c:pt>
                <c:pt idx="7">
                  <c:v>43610839.490000002</c:v>
                </c:pt>
                <c:pt idx="8">
                  <c:v>49458360.010000028</c:v>
                </c:pt>
                <c:pt idx="9">
                  <c:v>47525776.789999999</c:v>
                </c:pt>
              </c:numCache>
            </c:numRef>
          </c:val>
          <c:extLst>
            <c:ext xmlns:c16="http://schemas.microsoft.com/office/drawing/2014/chart" uri="{C3380CC4-5D6E-409C-BE32-E72D297353CC}">
              <c16:uniqueId val="{00000000-1D05-4763-8445-55B4157FF42B}"/>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E0C-4D07-8332-E566B5CE0D6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E0C-4D07-8332-E566B5CE0D6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E0C-4D07-8332-E566B5CE0D6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E0C-4D07-8332-E566B5CE0D6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AE0C-4D07-8332-E566B5CE0D6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AE0C-4D07-8332-E566B5CE0D6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AE0C-4D07-8332-E566B5CE0D6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AE0C-4D07-8332-E566B5CE0D6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AE0C-4D07-8332-E566B5CE0D6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AE0C-4D07-8332-E566B5CE0D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'4.12.1 et 2 Graph par fonction'!$A$14:$A$23</c:f>
              <c:strCache>
                <c:ptCount val="10"/>
                <c:pt idx="0">
                  <c:v>0 Administration générale</c:v>
                </c:pt>
                <c:pt idx="1">
                  <c:v>1 Ordre et sécurité publics - Défense</c:v>
                </c:pt>
                <c:pt idx="2">
                  <c:v>2 Formation</c:v>
                </c:pt>
                <c:pt idx="3">
                  <c:v>3 Culture - Sports - Loisirs - Eglises</c:v>
                </c:pt>
                <c:pt idx="4">
                  <c:v>4 Santé</c:v>
                </c:pt>
                <c:pt idx="5">
                  <c:v>5 Prévoyance sociale</c:v>
                </c:pt>
                <c:pt idx="6">
                  <c:v>6 Traffic - Transports - Télécommunications</c:v>
                </c:pt>
                <c:pt idx="7">
                  <c:v>7 Protection de l'environnement - Aménagement du territoire</c:v>
                </c:pt>
                <c:pt idx="8">
                  <c:v>8 Economie publique</c:v>
                </c:pt>
                <c:pt idx="9">
                  <c:v>9 Finances - Impôts</c:v>
                </c:pt>
              </c:strCache>
            </c:strRef>
          </c:cat>
          <c:val>
            <c:numRef>
              <c:f>'4.12.1 et 2 Graph par fonction'!$B$14:$B$23</c:f>
              <c:numCache>
                <c:formatCode>#,##0.00</c:formatCode>
                <c:ptCount val="10"/>
                <c:pt idx="0">
                  <c:v>3811535.2200000011</c:v>
                </c:pt>
                <c:pt idx="1">
                  <c:v>7971719.9600000018</c:v>
                </c:pt>
                <c:pt idx="2">
                  <c:v>6767821.8300000001</c:v>
                </c:pt>
                <c:pt idx="3">
                  <c:v>1922216.8099999998</c:v>
                </c:pt>
                <c:pt idx="4">
                  <c:v>30655.649999999998</c:v>
                </c:pt>
                <c:pt idx="5">
                  <c:v>37696897.569999985</c:v>
                </c:pt>
                <c:pt idx="6">
                  <c:v>8271763.3600000003</c:v>
                </c:pt>
                <c:pt idx="7">
                  <c:v>48768581.910000004</c:v>
                </c:pt>
                <c:pt idx="8">
                  <c:v>49080174.009999998</c:v>
                </c:pt>
                <c:pt idx="9">
                  <c:v>272954684.68000001</c:v>
                </c:pt>
              </c:numCache>
            </c:numRef>
          </c:val>
          <c:extLst>
            <c:ext xmlns:c16="http://schemas.microsoft.com/office/drawing/2014/chart" uri="{C3380CC4-5D6E-409C-BE32-E72D297353CC}">
              <c16:uniqueId val="{00000000-6F70-4567-B1E4-680FE9D69CDB}"/>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Etat</a:t>
            </a:r>
            <a:r>
              <a:rPr lang="fr-CH" baseline="0"/>
              <a:t> des capitaux propres</a:t>
            </a:r>
            <a:endParaRPr lang="fr-C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CB0-441C-AD1D-2BF317583BB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CB0-441C-AD1D-2BF317583BB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CB0-441C-AD1D-2BF317583BB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CB0-441C-AD1D-2BF317583BB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CB0-441C-AD1D-2BF317583BB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0CB0-441C-AD1D-2BF317583BB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0CB0-441C-AD1D-2BF317583BB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0CB0-441C-AD1D-2BF317583BB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0CB0-441C-AD1D-2BF317583B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'5.1.2Graphique capitaux propres'!$D$2:$D$10</c:f>
              <c:strCache>
                <c:ptCount val="9"/>
                <c:pt idx="0">
                  <c:v>Financement spéciaux du capital propre</c:v>
                </c:pt>
                <c:pt idx="1">
                  <c:v>Fonds du capital propres</c:v>
                </c:pt>
                <c:pt idx="2">
                  <c:v>Réserves des domaines de l'enveloppe budgétaire</c:v>
                </c:pt>
                <c:pt idx="3">
                  <c:v>Préfinancements</c:v>
                </c:pt>
                <c:pt idx="4">
                  <c:v>Réserves de politique budgétaire</c:v>
                </c:pt>
                <c:pt idx="5">
                  <c:v>Réserves liées à la réévaluation (introduction MCH2)</c:v>
                </c:pt>
                <c:pt idx="6">
                  <c:v>Réserves liées à la réévaluation du PF</c:v>
                </c:pt>
                <c:pt idx="7">
                  <c:v>Autres capitaux propres</c:v>
                </c:pt>
                <c:pt idx="8">
                  <c:v>Résultat annuel (excédent de charges ou produits)</c:v>
                </c:pt>
              </c:strCache>
            </c:strRef>
          </c:cat>
          <c:val>
            <c:numRef>
              <c:f>'5.1.2Graphique capitaux propres'!$E$2:$E$10</c:f>
              <c:numCache>
                <c:formatCode>#,##0.00</c:formatCode>
                <c:ptCount val="9"/>
                <c:pt idx="0">
                  <c:v>109120439.25999996</c:v>
                </c:pt>
                <c:pt idx="1">
                  <c:v>1610467.83</c:v>
                </c:pt>
                <c:pt idx="2">
                  <c:v>290206.59999999998</c:v>
                </c:pt>
                <c:pt idx="3">
                  <c:v>18261002.340000004</c:v>
                </c:pt>
                <c:pt idx="4">
                  <c:v>29293791.180000003</c:v>
                </c:pt>
                <c:pt idx="5">
                  <c:v>3674777.6799999997</c:v>
                </c:pt>
                <c:pt idx="6">
                  <c:v>991224.67999999993</c:v>
                </c:pt>
                <c:pt idx="7">
                  <c:v>146768.70000000001</c:v>
                </c:pt>
                <c:pt idx="8">
                  <c:v>105179156.91999999</c:v>
                </c:pt>
              </c:numCache>
            </c:numRef>
          </c:val>
          <c:extLst>
            <c:ext xmlns:c16="http://schemas.microsoft.com/office/drawing/2014/chart" uri="{C3380CC4-5D6E-409C-BE32-E72D297353CC}">
              <c16:uniqueId val="{00000000-DD3D-4938-A9B9-1447CB6437B6}"/>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spPr>
            <a:solidFill>
              <a:schemeClr val="accent1"/>
            </a:solidFill>
            <a:ln>
              <a:noFill/>
            </a:ln>
            <a:effectLst/>
            <a:sp3d/>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'5.4.1Graphique de l''endettement'!$A$3:$A$55</c:f>
              <c:strCache>
                <c:ptCount val="53"/>
                <c:pt idx="0">
                  <c:v>Boécourt</c:v>
                </c:pt>
                <c:pt idx="1">
                  <c:v>Bourrignon</c:v>
                </c:pt>
                <c:pt idx="2">
                  <c:v>Châtillon</c:v>
                </c:pt>
                <c:pt idx="3">
                  <c:v>Courchapoix</c:v>
                </c:pt>
                <c:pt idx="4">
                  <c:v>Courrendlin</c:v>
                </c:pt>
                <c:pt idx="5">
                  <c:v>Courroux</c:v>
                </c:pt>
                <c:pt idx="6">
                  <c:v>Courtételle</c:v>
                </c:pt>
                <c:pt idx="7">
                  <c:v>Delémont</c:v>
                </c:pt>
                <c:pt idx="8">
                  <c:v>Develier</c:v>
                </c:pt>
                <c:pt idx="9">
                  <c:v>Ederswiler</c:v>
                </c:pt>
                <c:pt idx="10">
                  <c:v>Haute-Sorne</c:v>
                </c:pt>
                <c:pt idx="11">
                  <c:v>Mervelier</c:v>
                </c:pt>
                <c:pt idx="12">
                  <c:v>Mettembert</c:v>
                </c:pt>
                <c:pt idx="13">
                  <c:v>Movelier</c:v>
                </c:pt>
                <c:pt idx="14">
                  <c:v>Pleigne</c:v>
                </c:pt>
                <c:pt idx="15">
                  <c:v>Rossemaison</c:v>
                </c:pt>
                <c:pt idx="16">
                  <c:v>Saulcy</c:v>
                </c:pt>
                <c:pt idx="17">
                  <c:v>Soyhières</c:v>
                </c:pt>
                <c:pt idx="18">
                  <c:v>Val Terbi</c:v>
                </c:pt>
                <c:pt idx="19">
                  <c:v>Le Bémont</c:v>
                </c:pt>
                <c:pt idx="20">
                  <c:v>Les Bois</c:v>
                </c:pt>
                <c:pt idx="21">
                  <c:v>Les Breuleux</c:v>
                </c:pt>
                <c:pt idx="22">
                  <c:v>La Chaux-B.</c:v>
                </c:pt>
                <c:pt idx="23">
                  <c:v>Les Enfers</c:v>
                </c:pt>
                <c:pt idx="24">
                  <c:v>Les Genevez</c:v>
                </c:pt>
                <c:pt idx="25">
                  <c:v>Lajoux</c:v>
                </c:pt>
                <c:pt idx="26">
                  <c:v>Montfaucon</c:v>
                </c:pt>
                <c:pt idx="27">
                  <c:v>Muriaux</c:v>
                </c:pt>
                <c:pt idx="28">
                  <c:v>Le Noirmont</c:v>
                </c:pt>
                <c:pt idx="29">
                  <c:v>Saignelégier</c:v>
                </c:pt>
                <c:pt idx="30">
                  <c:v>Saint-Brais</c:v>
                </c:pt>
                <c:pt idx="31">
                  <c:v>Soubey</c:v>
                </c:pt>
                <c:pt idx="32">
                  <c:v>Alle</c:v>
                </c:pt>
                <c:pt idx="33">
                  <c:v>La Baroche</c:v>
                </c:pt>
                <c:pt idx="34">
                  <c:v>Basse-Allaine</c:v>
                </c:pt>
                <c:pt idx="35">
                  <c:v>Beurnevésin</c:v>
                </c:pt>
                <c:pt idx="36">
                  <c:v>Boncourt</c:v>
                </c:pt>
                <c:pt idx="37">
                  <c:v>Bonfol</c:v>
                </c:pt>
                <c:pt idx="38">
                  <c:v>Bure</c:v>
                </c:pt>
                <c:pt idx="39">
                  <c:v>Clos du Doubs</c:v>
                </c:pt>
                <c:pt idx="40">
                  <c:v>Coeuve</c:v>
                </c:pt>
                <c:pt idx="41">
                  <c:v>Cornol</c:v>
                </c:pt>
                <c:pt idx="42">
                  <c:v>Courchavon</c:v>
                </c:pt>
                <c:pt idx="43">
                  <c:v>Courgenay</c:v>
                </c:pt>
                <c:pt idx="44">
                  <c:v>Courtedoux</c:v>
                </c:pt>
                <c:pt idx="45">
                  <c:v>Damphreux</c:v>
                </c:pt>
                <c:pt idx="46">
                  <c:v>Fahy</c:v>
                </c:pt>
                <c:pt idx="47">
                  <c:v>Fontenais</c:v>
                </c:pt>
                <c:pt idx="48">
                  <c:v>Grandfontaine</c:v>
                </c:pt>
                <c:pt idx="49">
                  <c:v>Haute-Ajoie</c:v>
                </c:pt>
                <c:pt idx="50">
                  <c:v>Lugnez</c:v>
                </c:pt>
                <c:pt idx="51">
                  <c:v>Porrentruy</c:v>
                </c:pt>
                <c:pt idx="52">
                  <c:v>Vendlincourt</c:v>
                </c:pt>
              </c:strCache>
            </c:strRef>
          </c:cat>
          <c:val>
            <c:numRef>
              <c:f>'5.4.1Graphique de l''endettement'!$C$3:$C$55</c:f>
              <c:numCache>
                <c:formatCode>#,##0.00</c:formatCode>
                <c:ptCount val="53"/>
                <c:pt idx="0">
                  <c:v>10758.878548895898</c:v>
                </c:pt>
                <c:pt idx="1">
                  <c:v>9289.3393410852732</c:v>
                </c:pt>
                <c:pt idx="2">
                  <c:v>11069.598407643311</c:v>
                </c:pt>
                <c:pt idx="3">
                  <c:v>9460.1963038548765</c:v>
                </c:pt>
                <c:pt idx="4">
                  <c:v>7061.0080303852419</c:v>
                </c:pt>
                <c:pt idx="5">
                  <c:v>6999.527805614247</c:v>
                </c:pt>
                <c:pt idx="6">
                  <c:v>3896.3497324792766</c:v>
                </c:pt>
                <c:pt idx="7">
                  <c:v>13173.246093700536</c:v>
                </c:pt>
                <c:pt idx="8">
                  <c:v>5650.2992573529409</c:v>
                </c:pt>
                <c:pt idx="9">
                  <c:v>6717.7937499999998</c:v>
                </c:pt>
                <c:pt idx="10">
                  <c:v>6232.5179245798599</c:v>
                </c:pt>
                <c:pt idx="11">
                  <c:v>5385.7260727969351</c:v>
                </c:pt>
                <c:pt idx="12">
                  <c:v>4462.254339622642</c:v>
                </c:pt>
                <c:pt idx="13">
                  <c:v>7477.5136470588241</c:v>
                </c:pt>
                <c:pt idx="14">
                  <c:v>11837.385428571428</c:v>
                </c:pt>
                <c:pt idx="15">
                  <c:v>7044.5285402455656</c:v>
                </c:pt>
                <c:pt idx="16">
                  <c:v>4587.2944444444447</c:v>
                </c:pt>
                <c:pt idx="17">
                  <c:v>8404.8745083932845</c:v>
                </c:pt>
                <c:pt idx="18">
                  <c:v>4809.8598934550992</c:v>
                </c:pt>
                <c:pt idx="19">
                  <c:v>1571.5785714285714</c:v>
                </c:pt>
                <c:pt idx="20">
                  <c:v>7624.7689825119232</c:v>
                </c:pt>
                <c:pt idx="21">
                  <c:v>3222.2330511811024</c:v>
                </c:pt>
                <c:pt idx="22">
                  <c:v>13041.06264367816</c:v>
                </c:pt>
                <c:pt idx="23">
                  <c:v>8364.9218589743596</c:v>
                </c:pt>
                <c:pt idx="24">
                  <c:v>9036.8889215686268</c:v>
                </c:pt>
                <c:pt idx="25">
                  <c:v>10794.710425531914</c:v>
                </c:pt>
                <c:pt idx="26">
                  <c:v>7084.286079854809</c:v>
                </c:pt>
                <c:pt idx="27">
                  <c:v>1902.3065949119373</c:v>
                </c:pt>
                <c:pt idx="28">
                  <c:v>2867.1826340694006</c:v>
                </c:pt>
                <c:pt idx="29">
                  <c:v>6273.6760388349521</c:v>
                </c:pt>
                <c:pt idx="30">
                  <c:v>7059.8478070175443</c:v>
                </c:pt>
                <c:pt idx="31">
                  <c:v>7316.6369491525429</c:v>
                </c:pt>
                <c:pt idx="32">
                  <c:v>9356.9006907545172</c:v>
                </c:pt>
                <c:pt idx="33">
                  <c:v>7941.8425044883306</c:v>
                </c:pt>
                <c:pt idx="34">
                  <c:v>9523.8237469186515</c:v>
                </c:pt>
                <c:pt idx="35">
                  <c:v>11995.312136752136</c:v>
                </c:pt>
                <c:pt idx="36">
                  <c:v>7464.2902572614103</c:v>
                </c:pt>
                <c:pt idx="37">
                  <c:v>8451.7641120000008</c:v>
                </c:pt>
                <c:pt idx="38">
                  <c:v>7471.0622820919189</c:v>
                </c:pt>
                <c:pt idx="39">
                  <c:v>8179.2420470588231</c:v>
                </c:pt>
                <c:pt idx="40">
                  <c:v>7852.9101392757657</c:v>
                </c:pt>
                <c:pt idx="41">
                  <c:v>9401.2007760314355</c:v>
                </c:pt>
                <c:pt idx="42">
                  <c:v>6458.9670648464171</c:v>
                </c:pt>
                <c:pt idx="43">
                  <c:v>5532.6358809034909</c:v>
                </c:pt>
                <c:pt idx="44">
                  <c:v>7667.5903307888038</c:v>
                </c:pt>
                <c:pt idx="45">
                  <c:v>3531.4804347826089</c:v>
                </c:pt>
                <c:pt idx="46">
                  <c:v>6077.6045945945953</c:v>
                </c:pt>
                <c:pt idx="47">
                  <c:v>11661.040268817205</c:v>
                </c:pt>
                <c:pt idx="48">
                  <c:v>7732.662557544757</c:v>
                </c:pt>
                <c:pt idx="49">
                  <c:v>10394.549011406843</c:v>
                </c:pt>
                <c:pt idx="50">
                  <c:v>766.12903225806451</c:v>
                </c:pt>
                <c:pt idx="51">
                  <c:v>10797.478385343891</c:v>
                </c:pt>
                <c:pt idx="52">
                  <c:v>7303.7091025641021</c:v>
                </c:pt>
              </c:numCache>
            </c:numRef>
          </c:val>
          <c:extLst>
            <c:ext xmlns:c16="http://schemas.microsoft.com/office/drawing/2014/chart" uri="{C3380CC4-5D6E-409C-BE32-E72D297353CC}">
              <c16:uniqueId val="{00000000-D128-40C3-A339-8DA050C8CE9C}"/>
            </c:ext>
          </c:extLst>
        </c:ser>
        <c:dLbls>
          <c:showLegendKey val="0"/>
          <c:showVal val="1"/>
          <c:showCatName val="0"/>
          <c:showSerName val="0"/>
          <c:showPercent val="0"/>
          <c:showBubbleSize val="0"/>
        </c:dLbls>
        <c:gapWidth val="150"/>
        <c:shape val="box"/>
        <c:axId val="482476928"/>
        <c:axId val="482472336"/>
        <c:axId val="0"/>
      </c:bar3DChart>
      <c:catAx>
        <c:axId val="482476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2472336"/>
        <c:crosses val="autoZero"/>
        <c:auto val="1"/>
        <c:lblAlgn val="ctr"/>
        <c:lblOffset val="100"/>
        <c:noMultiLvlLbl val="0"/>
      </c:catAx>
      <c:valAx>
        <c:axId val="4824723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2476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514350</xdr:colOff>
      <xdr:row>0</xdr:row>
      <xdr:rowOff>152400</xdr:rowOff>
    </xdr:from>
    <xdr:to>
      <xdr:col>5</xdr:col>
      <xdr:colOff>571500</xdr:colOff>
      <xdr:row>2</xdr:row>
      <xdr:rowOff>28575</xdr:rowOff>
    </xdr:to>
    <xdr:sp macro="" textlink="">
      <xdr:nvSpPr>
        <xdr:cNvPr id="2" name="Flèche gauche 1">
          <a:extLst>
            <a:ext uri="{FF2B5EF4-FFF2-40B4-BE49-F238E27FC236}">
              <a16:creationId xmlns:a16="http://schemas.microsoft.com/office/drawing/2014/main" id="{00000000-0008-0000-0100-000002000000}"/>
            </a:ext>
          </a:extLst>
        </xdr:cNvPr>
        <xdr:cNvSpPr/>
      </xdr:nvSpPr>
      <xdr:spPr>
        <a:xfrm>
          <a:off x="2438400" y="152400"/>
          <a:ext cx="1581150" cy="2190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CH"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28</xdr:row>
      <xdr:rowOff>152400</xdr:rowOff>
    </xdr:from>
    <xdr:to>
      <xdr:col>19</xdr:col>
      <xdr:colOff>47625</xdr:colOff>
      <xdr:row>52</xdr:row>
      <xdr:rowOff>57150</xdr:rowOff>
    </xdr:to>
    <xdr:graphicFrame macro="">
      <xdr:nvGraphicFramePr>
        <xdr:cNvPr id="3" name="Graphique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26</xdr:row>
      <xdr:rowOff>138112</xdr:rowOff>
    </xdr:from>
    <xdr:to>
      <xdr:col>19</xdr:col>
      <xdr:colOff>57149</xdr:colOff>
      <xdr:row>52</xdr:row>
      <xdr:rowOff>76200</xdr:rowOff>
    </xdr:to>
    <xdr:graphicFrame macro="">
      <xdr:nvGraphicFramePr>
        <xdr:cNvPr id="2" name="Graphique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761999</xdr:colOff>
      <xdr:row>3</xdr:row>
      <xdr:rowOff>266699</xdr:rowOff>
    </xdr:from>
    <xdr:to>
      <xdr:col>13</xdr:col>
      <xdr:colOff>19050</xdr:colOff>
      <xdr:row>24</xdr:row>
      <xdr:rowOff>9524</xdr:rowOff>
    </xdr:to>
    <xdr:graphicFrame macro="">
      <xdr:nvGraphicFramePr>
        <xdr:cNvPr id="2" name="Graphique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761999</xdr:colOff>
      <xdr:row>24</xdr:row>
      <xdr:rowOff>180975</xdr:rowOff>
    </xdr:from>
    <xdr:to>
      <xdr:col>13</xdr:col>
      <xdr:colOff>9524</xdr:colOff>
      <xdr:row>46</xdr:row>
      <xdr:rowOff>85725</xdr:rowOff>
    </xdr:to>
    <xdr:graphicFrame macro="">
      <xdr:nvGraphicFramePr>
        <xdr:cNvPr id="3" name="Graphique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23</xdr:row>
      <xdr:rowOff>161925</xdr:rowOff>
    </xdr:from>
    <xdr:to>
      <xdr:col>4</xdr:col>
      <xdr:colOff>9525</xdr:colOff>
      <xdr:row>44</xdr:row>
      <xdr:rowOff>182217</xdr:rowOff>
    </xdr:to>
    <xdr:graphicFrame macro="">
      <xdr:nvGraphicFramePr>
        <xdr:cNvPr id="2" name="Graphique 1">
          <a:extLst>
            <a:ext uri="{FF2B5EF4-FFF2-40B4-BE49-F238E27FC236}">
              <a16:creationId xmlns:a16="http://schemas.microsoft.com/office/drawing/2014/main" id="{00000000-0008-0000-1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9526</xdr:colOff>
      <xdr:row>45</xdr:row>
      <xdr:rowOff>190499</xdr:rowOff>
    </xdr:from>
    <xdr:to>
      <xdr:col>4</xdr:col>
      <xdr:colOff>9524</xdr:colOff>
      <xdr:row>66</xdr:row>
      <xdr:rowOff>161925</xdr:rowOff>
    </xdr:to>
    <xdr:graphicFrame macro="">
      <xdr:nvGraphicFramePr>
        <xdr:cNvPr id="3" name="Graphique 2">
          <a:extLst>
            <a:ext uri="{FF2B5EF4-FFF2-40B4-BE49-F238E27FC236}">
              <a16:creationId xmlns:a16="http://schemas.microsoft.com/office/drawing/2014/main" id="{00000000-0008-0000-1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552449</xdr:colOff>
      <xdr:row>11</xdr:row>
      <xdr:rowOff>9525</xdr:rowOff>
    </xdr:from>
    <xdr:to>
      <xdr:col>11</xdr:col>
      <xdr:colOff>9524</xdr:colOff>
      <xdr:row>34</xdr:row>
      <xdr:rowOff>142875</xdr:rowOff>
    </xdr:to>
    <xdr:graphicFrame macro="">
      <xdr:nvGraphicFramePr>
        <xdr:cNvPr id="2" name="Graphique 1">
          <a:extLst>
            <a:ext uri="{FF2B5EF4-FFF2-40B4-BE49-F238E27FC236}">
              <a16:creationId xmlns:a16="http://schemas.microsoft.com/office/drawing/2014/main" id="{00000000-0008-0000-1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9525</xdr:colOff>
      <xdr:row>2</xdr:row>
      <xdr:rowOff>0</xdr:rowOff>
    </xdr:from>
    <xdr:to>
      <xdr:col>14</xdr:col>
      <xdr:colOff>9525</xdr:colOff>
      <xdr:row>55</xdr:row>
      <xdr:rowOff>9525</xdr:rowOff>
    </xdr:to>
    <xdr:graphicFrame macro="">
      <xdr:nvGraphicFramePr>
        <xdr:cNvPr id="2" name="Graphique 1">
          <a:extLst>
            <a:ext uri="{FF2B5EF4-FFF2-40B4-BE49-F238E27FC236}">
              <a16:creationId xmlns:a16="http://schemas.microsoft.com/office/drawing/2014/main" id="{00000000-0008-0000-1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28576</xdr:colOff>
      <xdr:row>0</xdr:row>
      <xdr:rowOff>0</xdr:rowOff>
    </xdr:from>
    <xdr:to>
      <xdr:col>7</xdr:col>
      <xdr:colOff>752476</xdr:colOff>
      <xdr:row>6</xdr:row>
      <xdr:rowOff>171450</xdr:rowOff>
    </xdr:to>
    <xdr:pic>
      <xdr:nvPicPr>
        <xdr:cNvPr id="2" name="Image 1" descr="com_delegue">
          <a:extLst>
            <a:ext uri="{FF2B5EF4-FFF2-40B4-BE49-F238E27FC236}">
              <a16:creationId xmlns:a16="http://schemas.microsoft.com/office/drawing/2014/main" id="{00000000-0008-0000-1C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33" t="13924" r="3590"/>
        <a:stretch/>
      </xdr:blipFill>
      <xdr:spPr bwMode="auto">
        <a:xfrm>
          <a:off x="28576" y="0"/>
          <a:ext cx="6286500" cy="1257300"/>
        </a:xfrm>
        <a:prstGeom prst="rect">
          <a:avLst/>
        </a:prstGeom>
        <a:noFill/>
        <a:ln>
          <a:no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2:C41"/>
  <sheetViews>
    <sheetView topLeftCell="A6" workbookViewId="0">
      <selection activeCell="C31" sqref="C31"/>
    </sheetView>
  </sheetViews>
  <sheetFormatPr baseColWidth="10" defaultColWidth="11.44140625" defaultRowHeight="13.8" x14ac:dyDescent="0.25"/>
  <cols>
    <col min="1" max="1" width="7.88671875" style="7" customWidth="1"/>
    <col min="2" max="2" width="69.109375" style="7" customWidth="1"/>
    <col min="3" max="3" width="43.88671875" style="7" customWidth="1"/>
    <col min="4" max="16384" width="11.44140625" style="7"/>
  </cols>
  <sheetData>
    <row r="2" spans="1:3" ht="22.8" x14ac:dyDescent="0.4">
      <c r="A2" s="26" t="s">
        <v>820</v>
      </c>
    </row>
    <row r="4" spans="1:3" ht="21" x14ac:dyDescent="0.4">
      <c r="B4" s="27" t="s">
        <v>598</v>
      </c>
      <c r="C4" s="28"/>
    </row>
    <row r="5" spans="1:3" x14ac:dyDescent="0.25">
      <c r="C5" s="28"/>
    </row>
    <row r="6" spans="1:3" x14ac:dyDescent="0.25">
      <c r="A6" s="29">
        <v>1</v>
      </c>
      <c r="B6" s="6" t="s">
        <v>588</v>
      </c>
      <c r="C6" s="30"/>
    </row>
    <row r="7" spans="1:3" x14ac:dyDescent="0.25">
      <c r="A7" s="28">
        <v>1.1000000000000001</v>
      </c>
      <c r="B7" s="7" t="s">
        <v>588</v>
      </c>
      <c r="C7" s="31" t="s">
        <v>588</v>
      </c>
    </row>
    <row r="8" spans="1:3" x14ac:dyDescent="0.25">
      <c r="A8" s="28"/>
      <c r="C8" s="32"/>
    </row>
    <row r="9" spans="1:3" x14ac:dyDescent="0.25">
      <c r="A9" s="29">
        <v>2</v>
      </c>
      <c r="B9" s="6" t="s">
        <v>592</v>
      </c>
      <c r="C9" s="32"/>
    </row>
    <row r="10" spans="1:3" x14ac:dyDescent="0.25">
      <c r="A10" s="28">
        <v>2.1</v>
      </c>
      <c r="B10" s="7" t="s">
        <v>599</v>
      </c>
      <c r="C10" s="33" t="s">
        <v>613</v>
      </c>
    </row>
    <row r="11" spans="1:3" x14ac:dyDescent="0.25">
      <c r="A11" s="28">
        <v>2.2000000000000002</v>
      </c>
      <c r="B11" s="7" t="s">
        <v>600</v>
      </c>
      <c r="C11" s="34" t="s">
        <v>614</v>
      </c>
    </row>
    <row r="12" spans="1:3" x14ac:dyDescent="0.25">
      <c r="A12" s="28">
        <v>2.2999999999999998</v>
      </c>
      <c r="B12" s="7" t="s">
        <v>631</v>
      </c>
      <c r="C12" s="34" t="s">
        <v>633</v>
      </c>
    </row>
    <row r="13" spans="1:3" x14ac:dyDescent="0.25">
      <c r="A13" s="28">
        <v>2.4</v>
      </c>
      <c r="B13" s="7" t="s">
        <v>589</v>
      </c>
      <c r="C13" s="34" t="s">
        <v>589</v>
      </c>
    </row>
    <row r="14" spans="1:3" x14ac:dyDescent="0.25">
      <c r="A14" s="28">
        <v>2.5</v>
      </c>
      <c r="B14" s="7" t="s">
        <v>590</v>
      </c>
      <c r="C14" s="34" t="s">
        <v>590</v>
      </c>
    </row>
    <row r="15" spans="1:3" x14ac:dyDescent="0.25">
      <c r="A15" s="28">
        <v>2.6</v>
      </c>
      <c r="B15" s="7" t="s">
        <v>615</v>
      </c>
      <c r="C15" s="34" t="s">
        <v>615</v>
      </c>
    </row>
    <row r="16" spans="1:3" x14ac:dyDescent="0.25">
      <c r="A16" s="28">
        <v>2.7</v>
      </c>
      <c r="B16" s="7" t="s">
        <v>616</v>
      </c>
      <c r="C16" s="34" t="s">
        <v>617</v>
      </c>
    </row>
    <row r="17" spans="1:3" x14ac:dyDescent="0.25">
      <c r="A17" s="28">
        <v>2.8</v>
      </c>
      <c r="B17" s="7" t="s">
        <v>543</v>
      </c>
      <c r="C17" s="34" t="s">
        <v>543</v>
      </c>
    </row>
    <row r="18" spans="1:3" x14ac:dyDescent="0.25">
      <c r="A18" s="28">
        <v>2.9</v>
      </c>
      <c r="B18" s="7" t="s">
        <v>591</v>
      </c>
      <c r="C18" s="34" t="s">
        <v>591</v>
      </c>
    </row>
    <row r="19" spans="1:3" x14ac:dyDescent="0.25">
      <c r="A19" s="35">
        <v>2.1</v>
      </c>
      <c r="B19" s="7" t="s">
        <v>593</v>
      </c>
      <c r="C19" s="34" t="s">
        <v>593</v>
      </c>
    </row>
    <row r="20" spans="1:3" x14ac:dyDescent="0.25">
      <c r="A20" s="35">
        <v>2.11</v>
      </c>
      <c r="B20" s="7" t="s">
        <v>594</v>
      </c>
      <c r="C20" s="34" t="s">
        <v>618</v>
      </c>
    </row>
    <row r="21" spans="1:3" x14ac:dyDescent="0.25">
      <c r="A21" s="28"/>
      <c r="C21" s="32"/>
    </row>
    <row r="22" spans="1:3" x14ac:dyDescent="0.25">
      <c r="A22" s="29">
        <v>3</v>
      </c>
      <c r="B22" s="6" t="s">
        <v>595</v>
      </c>
      <c r="C22" s="32"/>
    </row>
    <row r="23" spans="1:3" x14ac:dyDescent="0.25">
      <c r="A23" s="28">
        <v>3.2</v>
      </c>
      <c r="B23" s="7" t="s">
        <v>603</v>
      </c>
      <c r="C23" s="36" t="s">
        <v>603</v>
      </c>
    </row>
    <row r="24" spans="1:3" x14ac:dyDescent="0.25">
      <c r="A24" s="28">
        <v>3.3</v>
      </c>
      <c r="B24" s="7" t="s">
        <v>602</v>
      </c>
      <c r="C24" s="36" t="s">
        <v>602</v>
      </c>
    </row>
    <row r="25" spans="1:3" x14ac:dyDescent="0.25">
      <c r="A25" s="28">
        <v>3.4</v>
      </c>
      <c r="B25" s="7" t="s">
        <v>723</v>
      </c>
      <c r="C25" s="36" t="s">
        <v>723</v>
      </c>
    </row>
    <row r="26" spans="1:3" x14ac:dyDescent="0.25">
      <c r="A26" s="28">
        <v>3.5</v>
      </c>
      <c r="B26" s="7" t="s">
        <v>596</v>
      </c>
      <c r="C26" s="36" t="s">
        <v>619</v>
      </c>
    </row>
    <row r="27" spans="1:3" x14ac:dyDescent="0.25">
      <c r="A27" s="28">
        <v>3.6</v>
      </c>
      <c r="B27" s="7" t="s">
        <v>597</v>
      </c>
      <c r="C27" s="36" t="s">
        <v>722</v>
      </c>
    </row>
    <row r="28" spans="1:3" x14ac:dyDescent="0.25">
      <c r="A28" s="28"/>
      <c r="C28" s="32"/>
    </row>
    <row r="29" spans="1:3" x14ac:dyDescent="0.25">
      <c r="A29" s="29">
        <v>4</v>
      </c>
      <c r="B29" s="6" t="s">
        <v>605</v>
      </c>
      <c r="C29" s="32"/>
    </row>
    <row r="30" spans="1:3" x14ac:dyDescent="0.25">
      <c r="A30" s="28">
        <v>4.0999999999999996</v>
      </c>
      <c r="B30" s="7" t="s">
        <v>604</v>
      </c>
      <c r="C30" s="37" t="s">
        <v>601</v>
      </c>
    </row>
    <row r="31" spans="1:3" x14ac:dyDescent="0.25">
      <c r="A31" s="28">
        <v>4.2</v>
      </c>
      <c r="B31" s="7" t="s">
        <v>632</v>
      </c>
      <c r="C31" s="37" t="s">
        <v>632</v>
      </c>
    </row>
    <row r="32" spans="1:3" x14ac:dyDescent="0.25">
      <c r="A32" s="28"/>
      <c r="C32" s="32"/>
    </row>
    <row r="33" spans="1:3" x14ac:dyDescent="0.25">
      <c r="A33" s="29">
        <v>5</v>
      </c>
      <c r="B33" s="6" t="s">
        <v>274</v>
      </c>
      <c r="C33" s="32"/>
    </row>
    <row r="34" spans="1:3" x14ac:dyDescent="0.25">
      <c r="A34" s="28">
        <v>5.0999999999999996</v>
      </c>
      <c r="B34" s="7" t="s">
        <v>724</v>
      </c>
      <c r="C34" s="38" t="s">
        <v>724</v>
      </c>
    </row>
    <row r="35" spans="1:3" x14ac:dyDescent="0.25">
      <c r="A35" s="28">
        <v>5.2</v>
      </c>
      <c r="B35" s="7" t="s">
        <v>612</v>
      </c>
      <c r="C35" s="39" t="s">
        <v>564</v>
      </c>
    </row>
    <row r="36" spans="1:3" x14ac:dyDescent="0.25">
      <c r="A36" s="28">
        <v>5.3</v>
      </c>
      <c r="B36" s="7" t="s">
        <v>608</v>
      </c>
      <c r="C36" s="38" t="s">
        <v>620</v>
      </c>
    </row>
    <row r="37" spans="1:3" x14ac:dyDescent="0.25">
      <c r="A37" s="28">
        <v>5.4</v>
      </c>
      <c r="B37" s="7" t="s">
        <v>609</v>
      </c>
      <c r="C37" s="38" t="s">
        <v>621</v>
      </c>
    </row>
    <row r="38" spans="1:3" x14ac:dyDescent="0.25">
      <c r="A38" s="28">
        <v>5.5</v>
      </c>
      <c r="B38" s="7" t="s">
        <v>610</v>
      </c>
      <c r="C38" s="38" t="s">
        <v>622</v>
      </c>
    </row>
    <row r="39" spans="1:3" x14ac:dyDescent="0.25">
      <c r="A39" s="28">
        <v>5.6</v>
      </c>
      <c r="B39" s="7" t="s">
        <v>611</v>
      </c>
      <c r="C39" s="39" t="s">
        <v>623</v>
      </c>
    </row>
    <row r="40" spans="1:3" x14ac:dyDescent="0.25">
      <c r="A40" s="28">
        <v>5.7</v>
      </c>
      <c r="B40" s="7" t="s">
        <v>606</v>
      </c>
      <c r="C40" s="38" t="s">
        <v>624</v>
      </c>
    </row>
    <row r="41" spans="1:3" x14ac:dyDescent="0.25">
      <c r="A41" s="28">
        <v>5.8</v>
      </c>
      <c r="B41" s="7" t="s">
        <v>607</v>
      </c>
      <c r="C41" s="38" t="s">
        <v>607</v>
      </c>
    </row>
  </sheetData>
  <hyperlinks>
    <hyperlink ref="C7" location="Sommaire!A1" display="Population" xr:uid="{00000000-0004-0000-0000-000000000000}"/>
    <hyperlink ref="C10" location="'Comptes 2020 natures'!A1" display="Compte de résultats" xr:uid="{00000000-0004-0000-0000-000001000000}"/>
    <hyperlink ref="C11" location="'Comptes 2020 par habitant'!A1" display="Compte de résultats en Fr. par habitant" xr:uid="{00000000-0004-0000-0000-000002000000}"/>
    <hyperlink ref="C13" location="'Vue d''ensemble'!A1" display="Vue d'ensemble" xr:uid="{00000000-0004-0000-0000-000003000000}"/>
    <hyperlink ref="C14" location="'Vue par commune'!A1" display="Vue d'ensemble par commune" xr:uid="{00000000-0004-0000-0000-000004000000}"/>
    <hyperlink ref="C15" location="'Résultats à 3 niveaux'!A1" display="Résultats à 3 niveaux" xr:uid="{00000000-0004-0000-0000-000005000000}"/>
    <hyperlink ref="C16" location="'Résultats à 3 par commune'!A1" display="Résultats à 3 niveaux par commune" xr:uid="{00000000-0004-0000-0000-000006000000}"/>
    <hyperlink ref="C17" location="Autofinancement!A1" display="Autofinancement" xr:uid="{00000000-0004-0000-0000-000007000000}"/>
    <hyperlink ref="C18" location="Sommaire!A1" display="Autofinancement par commune" xr:uid="{00000000-0004-0000-0000-000008000000}"/>
    <hyperlink ref="C19" location="'Comptes 2020 fonctionnelle'!A1" display="Compte de résultats par fonction" xr:uid="{00000000-0004-0000-0000-000009000000}"/>
    <hyperlink ref="C20" location="Sommaire!A1" display="Compte de résultats fonctionnel par commune" xr:uid="{00000000-0004-0000-0000-00000A000000}"/>
    <hyperlink ref="C23" location="'Tableau bilan'!A1" display="Bilan de l'ensemble des communes" xr:uid="{00000000-0004-0000-0000-00000B000000}"/>
    <hyperlink ref="C26" location="'Tableau de l''endettement'!A1" display="Endettement" xr:uid="{00000000-0004-0000-0000-00000C000000}"/>
    <hyperlink ref="C30" location="Investissements!A1" display="Investissements" xr:uid="{00000000-0004-0000-0000-00000D000000}"/>
    <hyperlink ref="C35" location="'Endett. net + degré d''auto.'!A1" display="Degré d'autofinancement" xr:uid="{00000000-0004-0000-0000-00000E000000}"/>
    <hyperlink ref="C36" location="'Quotité d''intéret + revenus det'!A1" display="Dette brute par rapport aux revenus" xr:uid="{00000000-0004-0000-0000-00000F000000}"/>
    <hyperlink ref="C37" location="'Quotité d''invest + fin.'!A1" display="Quotités d'investissement et charges financière" xr:uid="{00000000-0004-0000-0000-000010000000}"/>
    <hyperlink ref="C38" location="'Quotité d''autofinancement'!A1" display="Quotité d''autofinancement" xr:uid="{00000000-0004-0000-0000-000011000000}"/>
    <hyperlink ref="C39" location="'Quotient excédent du bilan'!A1" display="Quotient excédent du bilan" xr:uid="{00000000-0004-0000-0000-000012000000}"/>
    <hyperlink ref="C40" location="Récapitulatif!A1" display="Récapitulatif" xr:uid="{00000000-0004-0000-0000-000013000000}"/>
    <hyperlink ref="C41" location="'Indicateurs par commune'!A1" display="Récapitulatif par commune" xr:uid="{00000000-0004-0000-0000-000014000000}"/>
    <hyperlink ref="C31" location="'Investissements par commune'!A1" display="Investissements par commune" xr:uid="{00000000-0004-0000-0000-000015000000}"/>
    <hyperlink ref="C12" location="'Comptes 2020 Hab. par commune'!A1" display="Compte de résultats en Fr. par commune" xr:uid="{00000000-0004-0000-0000-000016000000}"/>
    <hyperlink ref="C24" location="'Bilan par commune'!A1" display="Bilan par commune" xr:uid="{00000000-0004-0000-0000-000017000000}"/>
    <hyperlink ref="C27" location="'Endettement par commune'!A1" display="Endettement par commune" xr:uid="{00000000-0004-0000-0000-000018000000}"/>
    <hyperlink ref="C25" location="'Tableau bilan'!A1" display="Tableau du bilan" xr:uid="{00000000-0004-0000-0000-000019000000}"/>
    <hyperlink ref="C34" location="'Définition des indicateurs'!A1" display="Définition des indicateurs financiers" xr:uid="{00000000-0004-0000-0000-00001A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59999389629810485"/>
    <pageSetUpPr fitToPage="1"/>
  </sheetPr>
  <dimension ref="A2:E161"/>
  <sheetViews>
    <sheetView workbookViewId="0"/>
  </sheetViews>
  <sheetFormatPr baseColWidth="10" defaultColWidth="11.44140625" defaultRowHeight="13.8" x14ac:dyDescent="0.25"/>
  <cols>
    <col min="1" max="2" width="5.6640625" style="7" customWidth="1"/>
    <col min="3" max="3" width="9" style="7" customWidth="1"/>
    <col min="4" max="4" width="63.5546875" style="7" customWidth="1"/>
    <col min="5" max="5" width="23" style="7" customWidth="1"/>
    <col min="6" max="16384" width="11.44140625" style="7"/>
  </cols>
  <sheetData>
    <row r="2" spans="1:5" ht="21" x14ac:dyDescent="0.4">
      <c r="A2" s="79" t="s">
        <v>840</v>
      </c>
      <c r="B2" s="6"/>
      <c r="C2" s="6"/>
      <c r="D2" s="6"/>
    </row>
    <row r="4" spans="1:5" ht="14.4" thickBot="1" x14ac:dyDescent="0.3"/>
    <row r="5" spans="1:5" ht="14.4" thickBot="1" x14ac:dyDescent="0.3">
      <c r="A5" s="7" t="s">
        <v>627</v>
      </c>
      <c r="D5" s="83" t="s">
        <v>47</v>
      </c>
    </row>
    <row r="7" spans="1:5" x14ac:dyDescent="0.25">
      <c r="E7" s="29" t="s">
        <v>201</v>
      </c>
    </row>
    <row r="8" spans="1:5" ht="21" x14ac:dyDescent="0.4">
      <c r="A8" s="10">
        <v>3</v>
      </c>
      <c r="B8" s="10"/>
      <c r="C8" s="10"/>
      <c r="D8" s="10" t="s">
        <v>60</v>
      </c>
      <c r="E8" s="84">
        <f>HLOOKUP($D$5,'4.9 Comptes 2022 par habitant'!$E$4:$BE$159,2,0)</f>
        <v>3797.0064705882351</v>
      </c>
    </row>
    <row r="9" spans="1:5" x14ac:dyDescent="0.25">
      <c r="A9" s="66"/>
      <c r="B9" s="66">
        <v>30</v>
      </c>
      <c r="C9" s="66"/>
      <c r="D9" s="66" t="s">
        <v>61</v>
      </c>
      <c r="E9" s="67">
        <f>SUM(E10:E17)</f>
        <v>355.07879795396417</v>
      </c>
    </row>
    <row r="10" spans="1:5" x14ac:dyDescent="0.25">
      <c r="C10" s="7">
        <v>300</v>
      </c>
      <c r="D10" s="7" t="s">
        <v>80</v>
      </c>
      <c r="E10" s="12">
        <f>HLOOKUP($D$5,'4.9 Comptes 2022 par habitant'!$E$4:$BE$159,4,0)</f>
        <v>48.436700767263424</v>
      </c>
    </row>
    <row r="11" spans="1:5" x14ac:dyDescent="0.25">
      <c r="C11" s="7">
        <v>301</v>
      </c>
      <c r="D11" s="7" t="s">
        <v>81</v>
      </c>
      <c r="E11" s="12">
        <f>HLOOKUP($D$5,'4.9 Comptes 2022 par habitant'!$E$4:$BE$159,5,0)</f>
        <v>237.59079283887468</v>
      </c>
    </row>
    <row r="12" spans="1:5" x14ac:dyDescent="0.25">
      <c r="C12" s="7">
        <v>302</v>
      </c>
      <c r="D12" s="7" t="s">
        <v>82</v>
      </c>
      <c r="E12" s="12">
        <f>HLOOKUP($D$5,'4.9 Comptes 2022 par habitant'!$E$4:$BE$159,6,0)</f>
        <v>0</v>
      </c>
    </row>
    <row r="13" spans="1:5" x14ac:dyDescent="0.25">
      <c r="C13" s="7">
        <v>303</v>
      </c>
      <c r="D13" s="7" t="s">
        <v>83</v>
      </c>
      <c r="E13" s="12">
        <f>HLOOKUP($D$5,'4.9 Comptes 2022 par habitant'!$E$4:$BE$159,7,0)</f>
        <v>0</v>
      </c>
    </row>
    <row r="14" spans="1:5" x14ac:dyDescent="0.25">
      <c r="C14" s="7">
        <v>304</v>
      </c>
      <c r="D14" s="7" t="s">
        <v>578</v>
      </c>
      <c r="E14" s="12">
        <f>HLOOKUP($D$5,'4.9 Comptes 2022 par habitant'!$E$4:$BE$159,8,0)</f>
        <v>0</v>
      </c>
    </row>
    <row r="15" spans="1:5" x14ac:dyDescent="0.25">
      <c r="C15" s="7">
        <v>305</v>
      </c>
      <c r="D15" s="7" t="s">
        <v>84</v>
      </c>
      <c r="E15" s="12">
        <f>HLOOKUP($D$5,'4.9 Comptes 2022 par habitant'!$E$4:$BE$159,9,0)</f>
        <v>53.888388746803074</v>
      </c>
    </row>
    <row r="16" spans="1:5" x14ac:dyDescent="0.25">
      <c r="C16" s="7">
        <v>306</v>
      </c>
      <c r="D16" s="7" t="s">
        <v>85</v>
      </c>
      <c r="E16" s="12">
        <f>HLOOKUP($D$5,'4.9 Comptes 2022 par habitant'!$E$4:$BE$159,10,0)</f>
        <v>0</v>
      </c>
    </row>
    <row r="17" spans="2:5" x14ac:dyDescent="0.25">
      <c r="C17" s="7">
        <v>309</v>
      </c>
      <c r="D17" s="7" t="s">
        <v>86</v>
      </c>
      <c r="E17" s="12">
        <f>HLOOKUP($D$5,'4.9 Comptes 2022 par habitant'!$E$4:$BE$159,11,0)</f>
        <v>15.162915601023018</v>
      </c>
    </row>
    <row r="18" spans="2:5" x14ac:dyDescent="0.25">
      <c r="E18" s="12"/>
    </row>
    <row r="19" spans="2:5" x14ac:dyDescent="0.25">
      <c r="B19" s="66">
        <v>31</v>
      </c>
      <c r="C19" s="66"/>
      <c r="D19" s="66" t="s">
        <v>87</v>
      </c>
      <c r="E19" s="67">
        <f>SUM(E20:E29)</f>
        <v>763.55023017902806</v>
      </c>
    </row>
    <row r="20" spans="2:5" x14ac:dyDescent="0.25">
      <c r="C20" s="7">
        <v>310</v>
      </c>
      <c r="D20" s="7" t="s">
        <v>88</v>
      </c>
      <c r="E20" s="12">
        <f>HLOOKUP($D$5,'4.9 Comptes 2022 par habitant'!$E$4:$BE$159,14,0)</f>
        <v>36.079667519181584</v>
      </c>
    </row>
    <row r="21" spans="2:5" x14ac:dyDescent="0.25">
      <c r="C21" s="7">
        <v>311</v>
      </c>
      <c r="D21" s="7" t="s">
        <v>449</v>
      </c>
      <c r="E21" s="12">
        <f>HLOOKUP($D$5,'4.9 Comptes 2022 par habitant'!$E$4:$BE$159,15,0)</f>
        <v>17.294373401534529</v>
      </c>
    </row>
    <row r="22" spans="2:5" x14ac:dyDescent="0.25">
      <c r="C22" s="7">
        <v>312</v>
      </c>
      <c r="D22" s="7" t="s">
        <v>90</v>
      </c>
      <c r="E22" s="12">
        <f>HLOOKUP($D$5,'4.9 Comptes 2022 par habitant'!$E$4:$BE$159,16,0)</f>
        <v>168.34386189258311</v>
      </c>
    </row>
    <row r="23" spans="2:5" x14ac:dyDescent="0.25">
      <c r="C23" s="7">
        <v>313</v>
      </c>
      <c r="D23" s="7" t="s">
        <v>91</v>
      </c>
      <c r="E23" s="12">
        <f>HLOOKUP($D$5,'4.9 Comptes 2022 par habitant'!$E$4:$BE$159,17,0)</f>
        <v>337.22895140664957</v>
      </c>
    </row>
    <row r="24" spans="2:5" x14ac:dyDescent="0.25">
      <c r="C24" s="7">
        <v>314</v>
      </c>
      <c r="D24" s="7" t="s">
        <v>841</v>
      </c>
      <c r="E24" s="12">
        <f>HLOOKUP($D$5,'4.9 Comptes 2022 par habitant'!$E$4:$BE$159,18,0)</f>
        <v>120.23498721227621</v>
      </c>
    </row>
    <row r="25" spans="2:5" x14ac:dyDescent="0.25">
      <c r="C25" s="7">
        <v>315</v>
      </c>
      <c r="D25" s="7" t="s">
        <v>92</v>
      </c>
      <c r="E25" s="12">
        <f>HLOOKUP($D$5,'4.9 Comptes 2022 par habitant'!$E$4:$BE$159,19,0)</f>
        <v>19.617391304347827</v>
      </c>
    </row>
    <row r="26" spans="2:5" x14ac:dyDescent="0.25">
      <c r="C26" s="7">
        <v>316</v>
      </c>
      <c r="D26" s="7" t="s">
        <v>93</v>
      </c>
      <c r="E26" s="12">
        <f>HLOOKUP($D$5,'4.9 Comptes 2022 par habitant'!$E$4:$BE$159,20,0)</f>
        <v>0</v>
      </c>
    </row>
    <row r="27" spans="2:5" x14ac:dyDescent="0.25">
      <c r="C27" s="7">
        <v>317</v>
      </c>
      <c r="D27" s="7" t="s">
        <v>94</v>
      </c>
      <c r="E27" s="12">
        <f>HLOOKUP($D$5,'4.9 Comptes 2022 par habitant'!$E$4:$BE$159,21,0)</f>
        <v>7.0352941176470596</v>
      </c>
    </row>
    <row r="28" spans="2:5" x14ac:dyDescent="0.25">
      <c r="C28" s="7">
        <v>318</v>
      </c>
      <c r="D28" s="7" t="s">
        <v>95</v>
      </c>
      <c r="E28" s="12">
        <f>HLOOKUP($D$5,'4.9 Comptes 2022 par habitant'!$E$4:$BE$159,22,0)</f>
        <v>51.390639386189264</v>
      </c>
    </row>
    <row r="29" spans="2:5" x14ac:dyDescent="0.25">
      <c r="C29" s="7">
        <v>319</v>
      </c>
      <c r="D29" s="7" t="s">
        <v>96</v>
      </c>
      <c r="E29" s="12">
        <f>HLOOKUP($D$5,'4.9 Comptes 2022 par habitant'!$E$4:$BE$159,23,0)</f>
        <v>6.3250639386189258</v>
      </c>
    </row>
    <row r="30" spans="2:5" x14ac:dyDescent="0.25">
      <c r="E30" s="12"/>
    </row>
    <row r="31" spans="2:5" x14ac:dyDescent="0.25">
      <c r="B31" s="66">
        <v>33</v>
      </c>
      <c r="C31" s="66"/>
      <c r="D31" s="66" t="s">
        <v>97</v>
      </c>
      <c r="E31" s="67">
        <f>SUM(E32:E33)</f>
        <v>118.54219948849105</v>
      </c>
    </row>
    <row r="32" spans="2:5" x14ac:dyDescent="0.25">
      <c r="C32" s="7">
        <v>330</v>
      </c>
      <c r="D32" s="7" t="s">
        <v>99</v>
      </c>
      <c r="E32" s="12">
        <f>HLOOKUP($D$5,'4.9 Comptes 2022 par habitant'!$E$4:$BE$159,26,0)</f>
        <v>116.08695652173913</v>
      </c>
    </row>
    <row r="33" spans="2:5" x14ac:dyDescent="0.25">
      <c r="C33" s="7">
        <v>332</v>
      </c>
      <c r="D33" s="7" t="s">
        <v>98</v>
      </c>
      <c r="E33" s="12">
        <f>HLOOKUP($D$5,'4.9 Comptes 2022 par habitant'!$E$4:$BE$159,27,0)</f>
        <v>2.4552429667519182</v>
      </c>
    </row>
    <row r="34" spans="2:5" x14ac:dyDescent="0.25">
      <c r="E34" s="12"/>
    </row>
    <row r="35" spans="2:5" x14ac:dyDescent="0.25">
      <c r="B35" s="66">
        <v>34</v>
      </c>
      <c r="C35" s="66"/>
      <c r="D35" s="66" t="s">
        <v>100</v>
      </c>
      <c r="E35" s="67">
        <f>SUM(E36:E41)</f>
        <v>61.193759590792837</v>
      </c>
    </row>
    <row r="36" spans="2:5" x14ac:dyDescent="0.25">
      <c r="C36" s="7">
        <v>340</v>
      </c>
      <c r="D36" s="7" t="s">
        <v>101</v>
      </c>
      <c r="E36" s="12">
        <f>HLOOKUP($D$5,'4.9 Comptes 2022 par habitant'!$E$4:$BE$159,30,0)</f>
        <v>48.360383631713553</v>
      </c>
    </row>
    <row r="37" spans="2:5" x14ac:dyDescent="0.25">
      <c r="C37" s="7">
        <v>341</v>
      </c>
      <c r="D37" s="7" t="s">
        <v>102</v>
      </c>
      <c r="E37" s="12">
        <f>HLOOKUP($D$5,'4.9 Comptes 2022 par habitant'!$E$4:$BE$159,31,0)</f>
        <v>0</v>
      </c>
    </row>
    <row r="38" spans="2:5" x14ac:dyDescent="0.25">
      <c r="C38" s="7">
        <v>342</v>
      </c>
      <c r="D38" s="7" t="s">
        <v>103</v>
      </c>
      <c r="E38" s="12">
        <f>HLOOKUP($D$5,'4.9 Comptes 2022 par habitant'!$E$4:$BE$159,32,0)</f>
        <v>0</v>
      </c>
    </row>
    <row r="39" spans="2:5" x14ac:dyDescent="0.25">
      <c r="C39" s="7">
        <v>343</v>
      </c>
      <c r="D39" s="7" t="s">
        <v>104</v>
      </c>
      <c r="E39" s="12">
        <f>HLOOKUP($D$5,'4.9 Comptes 2022 par habitant'!$E$4:$BE$159,33,0)</f>
        <v>12.833375959079286</v>
      </c>
    </row>
    <row r="40" spans="2:5" x14ac:dyDescent="0.25">
      <c r="C40" s="7">
        <v>344</v>
      </c>
      <c r="D40" s="7" t="s">
        <v>105</v>
      </c>
      <c r="E40" s="12">
        <f>HLOOKUP($D$5,'4.9 Comptes 2022 par habitant'!$E$4:$BE$159,34,0)</f>
        <v>0</v>
      </c>
    </row>
    <row r="41" spans="2:5" x14ac:dyDescent="0.25">
      <c r="C41" s="7">
        <v>349</v>
      </c>
      <c r="D41" s="7" t="s">
        <v>106</v>
      </c>
      <c r="E41" s="12">
        <f>HLOOKUP($D$5,'4.9 Comptes 2022 par habitant'!$E$4:$BE$159,35,0)</f>
        <v>0</v>
      </c>
    </row>
    <row r="42" spans="2:5" x14ac:dyDescent="0.25">
      <c r="E42" s="12"/>
    </row>
    <row r="43" spans="2:5" x14ac:dyDescent="0.25">
      <c r="B43" s="66">
        <v>35</v>
      </c>
      <c r="C43" s="66"/>
      <c r="D43" s="66" t="s">
        <v>108</v>
      </c>
      <c r="E43" s="67">
        <f>SUM(E44:E45)</f>
        <v>2.9269565217391307</v>
      </c>
    </row>
    <row r="44" spans="2:5" x14ac:dyDescent="0.25">
      <c r="C44" s="7">
        <v>350</v>
      </c>
      <c r="D44" s="7" t="s">
        <v>108</v>
      </c>
      <c r="E44" s="12">
        <f>HLOOKUP($D$5,'4.9 Comptes 2022 par habitant'!$E$4:$BE$159,38,0)</f>
        <v>0</v>
      </c>
    </row>
    <row r="45" spans="2:5" x14ac:dyDescent="0.25">
      <c r="C45" s="7">
        <v>351</v>
      </c>
      <c r="D45" s="7" t="s">
        <v>107</v>
      </c>
      <c r="E45" s="12">
        <f>HLOOKUP($D$5,'4.9 Comptes 2022 par habitant'!$E$4:$BE$159,39,0)</f>
        <v>2.9269565217391307</v>
      </c>
    </row>
    <row r="46" spans="2:5" x14ac:dyDescent="0.25">
      <c r="E46" s="12"/>
    </row>
    <row r="47" spans="2:5" x14ac:dyDescent="0.25">
      <c r="B47" s="66">
        <v>36</v>
      </c>
      <c r="C47" s="66"/>
      <c r="D47" s="66" t="s">
        <v>109</v>
      </c>
      <c r="E47" s="67">
        <f>SUM(E48:E55)</f>
        <v>2493.3615856777492</v>
      </c>
    </row>
    <row r="48" spans="2:5" x14ac:dyDescent="0.25">
      <c r="C48" s="7">
        <v>360</v>
      </c>
      <c r="D48" s="7" t="s">
        <v>110</v>
      </c>
      <c r="E48" s="12">
        <f>HLOOKUP($D$5,'4.9 Comptes 2022 par habitant'!$E$4:$BE$159,42,0)</f>
        <v>8.3759590792838878</v>
      </c>
    </row>
    <row r="49" spans="2:5" x14ac:dyDescent="0.25">
      <c r="C49" s="7">
        <v>361</v>
      </c>
      <c r="D49" s="7" t="s">
        <v>111</v>
      </c>
      <c r="E49" s="12">
        <f>HLOOKUP($D$5,'4.9 Comptes 2022 par habitant'!$E$4:$BE$159,43,0)</f>
        <v>1970.7810230179027</v>
      </c>
    </row>
    <row r="50" spans="2:5" x14ac:dyDescent="0.25">
      <c r="C50" s="7">
        <v>362</v>
      </c>
      <c r="D50" s="7" t="s">
        <v>112</v>
      </c>
      <c r="E50" s="12">
        <f>HLOOKUP($D$5,'4.9 Comptes 2022 par habitant'!$E$4:$BE$159,44,0)</f>
        <v>15.432225063938619</v>
      </c>
    </row>
    <row r="51" spans="2:5" x14ac:dyDescent="0.25">
      <c r="C51" s="7">
        <v>363</v>
      </c>
      <c r="D51" s="7" t="s">
        <v>113</v>
      </c>
      <c r="E51" s="12">
        <f>HLOOKUP($D$5,'4.9 Comptes 2022 par habitant'!$E$4:$BE$159,45,0)</f>
        <v>497.95652173913044</v>
      </c>
    </row>
    <row r="52" spans="2:5" x14ac:dyDescent="0.25">
      <c r="C52" s="7">
        <v>364</v>
      </c>
      <c r="D52" s="7" t="s">
        <v>114</v>
      </c>
      <c r="E52" s="12">
        <f>HLOOKUP($D$5,'4.9 Comptes 2022 par habitant'!$E$4:$BE$159,46,0)</f>
        <v>0</v>
      </c>
    </row>
    <row r="53" spans="2:5" x14ac:dyDescent="0.25">
      <c r="C53" s="7">
        <v>365</v>
      </c>
      <c r="D53" s="7" t="s">
        <v>115</v>
      </c>
      <c r="E53" s="12">
        <f>HLOOKUP($D$5,'4.9 Comptes 2022 par habitant'!$E$4:$BE$159,47,0)</f>
        <v>0</v>
      </c>
    </row>
    <row r="54" spans="2:5" x14ac:dyDescent="0.25">
      <c r="C54" s="7">
        <v>366</v>
      </c>
      <c r="D54" s="7" t="s">
        <v>116</v>
      </c>
      <c r="E54" s="12">
        <f>HLOOKUP($D$5,'4.9 Comptes 2022 par habitant'!$E$4:$BE$159,48,0)</f>
        <v>0.81585677749360619</v>
      </c>
    </row>
    <row r="55" spans="2:5" x14ac:dyDescent="0.25">
      <c r="C55" s="7">
        <v>369</v>
      </c>
      <c r="D55" s="7" t="s">
        <v>117</v>
      </c>
      <c r="E55" s="12">
        <f>HLOOKUP($D$5,'4.9 Comptes 2022 par habitant'!$E$4:$BE$159,49,0)</f>
        <v>0</v>
      </c>
    </row>
    <row r="56" spans="2:5" x14ac:dyDescent="0.25">
      <c r="E56" s="12"/>
    </row>
    <row r="57" spans="2:5" x14ac:dyDescent="0.25">
      <c r="B57" s="66">
        <v>37</v>
      </c>
      <c r="C57" s="66"/>
      <c r="D57" s="66" t="s">
        <v>118</v>
      </c>
      <c r="E57" s="67">
        <f>SUM(E58)</f>
        <v>0</v>
      </c>
    </row>
    <row r="58" spans="2:5" x14ac:dyDescent="0.25">
      <c r="C58" s="7">
        <v>370</v>
      </c>
      <c r="D58" s="7" t="s">
        <v>119</v>
      </c>
      <c r="E58" s="12">
        <f>HLOOKUP($D$5,'4.9 Comptes 2022 par habitant'!$E$4:$BE$159,52,0)</f>
        <v>0</v>
      </c>
    </row>
    <row r="59" spans="2:5" x14ac:dyDescent="0.25">
      <c r="E59" s="12"/>
    </row>
    <row r="60" spans="2:5" x14ac:dyDescent="0.25">
      <c r="B60" s="66">
        <v>38</v>
      </c>
      <c r="C60" s="66"/>
      <c r="D60" s="66" t="s">
        <v>120</v>
      </c>
      <c r="E60" s="67">
        <f>SUM(E61:E66)</f>
        <v>2.3529411764705883</v>
      </c>
    </row>
    <row r="61" spans="2:5" x14ac:dyDescent="0.25">
      <c r="C61" s="7">
        <v>380</v>
      </c>
      <c r="D61" s="7" t="s">
        <v>121</v>
      </c>
      <c r="E61" s="12">
        <f>HLOOKUP($D$5,'4.9 Comptes 2022 par habitant'!$E$4:$BE$159,55,0)</f>
        <v>0</v>
      </c>
    </row>
    <row r="62" spans="2:5" x14ac:dyDescent="0.25">
      <c r="C62" s="7">
        <v>381</v>
      </c>
      <c r="D62" s="7" t="s">
        <v>122</v>
      </c>
      <c r="E62" s="12">
        <f>HLOOKUP($D$5,'4.9 Comptes 2022 par habitant'!$E$4:$BE$159,56,0)</f>
        <v>0</v>
      </c>
    </row>
    <row r="63" spans="2:5" x14ac:dyDescent="0.25">
      <c r="C63" s="7">
        <v>384</v>
      </c>
      <c r="D63" s="7" t="s">
        <v>123</v>
      </c>
      <c r="E63" s="12">
        <f>HLOOKUP($D$5,'4.9 Comptes 2022 par habitant'!$E$4:$BE$159,57,0)</f>
        <v>0</v>
      </c>
    </row>
    <row r="64" spans="2:5" x14ac:dyDescent="0.25">
      <c r="C64" s="7">
        <v>385</v>
      </c>
      <c r="D64" s="7" t="s">
        <v>124</v>
      </c>
      <c r="E64" s="12">
        <f>HLOOKUP($D$5,'4.9 Comptes 2022 par habitant'!$E$4:$BE$159,58,0)</f>
        <v>0</v>
      </c>
    </row>
    <row r="65" spans="1:5" x14ac:dyDescent="0.25">
      <c r="C65" s="7">
        <v>386</v>
      </c>
      <c r="D65" s="7" t="s">
        <v>125</v>
      </c>
      <c r="E65" s="12">
        <f>HLOOKUP($D$5,'4.9 Comptes 2022 par habitant'!$E$4:$BE$159,59,0)</f>
        <v>0</v>
      </c>
    </row>
    <row r="66" spans="1:5" x14ac:dyDescent="0.25">
      <c r="C66" s="7">
        <v>389</v>
      </c>
      <c r="D66" s="7" t="s">
        <v>289</v>
      </c>
      <c r="E66" s="12">
        <f>HLOOKUP($D$5,'4.9 Comptes 2022 par habitant'!$E$4:$BE$159,60,0)</f>
        <v>2.3529411764705883</v>
      </c>
    </row>
    <row r="67" spans="1:5" x14ac:dyDescent="0.25">
      <c r="E67" s="12"/>
    </row>
    <row r="68" spans="1:5" x14ac:dyDescent="0.25">
      <c r="B68" s="66">
        <v>39</v>
      </c>
      <c r="C68" s="66"/>
      <c r="D68" s="66" t="s">
        <v>127</v>
      </c>
      <c r="E68" s="67">
        <f>SUM(E69:E76)</f>
        <v>0</v>
      </c>
    </row>
    <row r="69" spans="1:5" x14ac:dyDescent="0.25">
      <c r="C69" s="7">
        <v>390</v>
      </c>
      <c r="D69" s="7" t="s">
        <v>128</v>
      </c>
      <c r="E69" s="12">
        <f>HLOOKUP($D$5,'4.9 Comptes 2022 par habitant'!$E$4:$BE$159,63,0)</f>
        <v>0</v>
      </c>
    </row>
    <row r="70" spans="1:5" x14ac:dyDescent="0.25">
      <c r="C70" s="7">
        <v>391</v>
      </c>
      <c r="D70" s="7" t="s">
        <v>129</v>
      </c>
      <c r="E70" s="12">
        <f>HLOOKUP($D$5,'4.9 Comptes 2022 par habitant'!$E$4:$BE$159,64,0)</f>
        <v>0</v>
      </c>
    </row>
    <row r="71" spans="1:5" x14ac:dyDescent="0.25">
      <c r="C71" s="7">
        <v>392</v>
      </c>
      <c r="D71" s="7" t="s">
        <v>130</v>
      </c>
      <c r="E71" s="12">
        <f>HLOOKUP($D$5,'4.9 Comptes 2022 par habitant'!$E$4:$BE$159,65,0)</f>
        <v>0</v>
      </c>
    </row>
    <row r="72" spans="1:5" x14ac:dyDescent="0.25">
      <c r="C72" s="7">
        <v>393</v>
      </c>
      <c r="D72" s="7" t="s">
        <v>131</v>
      </c>
      <c r="E72" s="12">
        <f>HLOOKUP($D$5,'4.9 Comptes 2022 par habitant'!$E$4:$BE$159,66,0)</f>
        <v>0</v>
      </c>
    </row>
    <row r="73" spans="1:5" x14ac:dyDescent="0.25">
      <c r="C73" s="7">
        <v>394</v>
      </c>
      <c r="D73" s="7" t="s">
        <v>132</v>
      </c>
      <c r="E73" s="12">
        <f>HLOOKUP($D$5,'4.9 Comptes 2022 par habitant'!$E$4:$BE$159,67,0)</f>
        <v>0</v>
      </c>
    </row>
    <row r="74" spans="1:5" x14ac:dyDescent="0.25">
      <c r="C74" s="7">
        <v>395</v>
      </c>
      <c r="D74" s="7" t="s">
        <v>133</v>
      </c>
      <c r="E74" s="12">
        <f>HLOOKUP($D$5,'4.9 Comptes 2022 par habitant'!$E$4:$BE$159,68,0)</f>
        <v>0</v>
      </c>
    </row>
    <row r="75" spans="1:5" x14ac:dyDescent="0.25">
      <c r="C75" s="7">
        <v>398</v>
      </c>
      <c r="D75" s="7" t="s">
        <v>134</v>
      </c>
      <c r="E75" s="12">
        <f>HLOOKUP($D$5,'4.9 Comptes 2022 par habitant'!$E$4:$BE$159,69,0)</f>
        <v>0</v>
      </c>
    </row>
    <row r="76" spans="1:5" x14ac:dyDescent="0.25">
      <c r="C76" s="7">
        <v>399</v>
      </c>
      <c r="D76" s="7" t="s">
        <v>135</v>
      </c>
      <c r="E76" s="12">
        <f>HLOOKUP($D$5,'4.9 Comptes 2022 par habitant'!$E$4:$BE$159,70,0)</f>
        <v>0</v>
      </c>
    </row>
    <row r="77" spans="1:5" x14ac:dyDescent="0.25">
      <c r="E77" s="12"/>
    </row>
    <row r="78" spans="1:5" x14ac:dyDescent="0.25">
      <c r="E78" s="12"/>
    </row>
    <row r="79" spans="1:5" ht="21" x14ac:dyDescent="0.4">
      <c r="A79" s="13">
        <v>4</v>
      </c>
      <c r="B79" s="13"/>
      <c r="C79" s="13"/>
      <c r="D79" s="13" t="s">
        <v>136</v>
      </c>
      <c r="E79" s="85">
        <f>HLOOKUP($D$5,'4.9 Comptes 2022 par habitant'!$E$4:$BE$159,73,0)</f>
        <v>4132.501713554987</v>
      </c>
    </row>
    <row r="80" spans="1:5" x14ac:dyDescent="0.25">
      <c r="A80" s="6"/>
      <c r="B80" s="68">
        <v>40</v>
      </c>
      <c r="C80" s="68"/>
      <c r="D80" s="68" t="s">
        <v>79</v>
      </c>
      <c r="E80" s="69">
        <f>SUM(E81:E84)</f>
        <v>2196.6719437340153</v>
      </c>
    </row>
    <row r="81" spans="2:5" x14ac:dyDescent="0.25">
      <c r="C81" s="7">
        <v>400</v>
      </c>
      <c r="D81" s="7" t="s">
        <v>137</v>
      </c>
      <c r="E81" s="12">
        <f>HLOOKUP($D$5,'4.9 Comptes 2022 par habitant'!$E$4:$BE$159,75,0)</f>
        <v>1774.0862659846546</v>
      </c>
    </row>
    <row r="82" spans="2:5" x14ac:dyDescent="0.25">
      <c r="C82" s="7">
        <v>401</v>
      </c>
      <c r="D82" s="7" t="s">
        <v>138</v>
      </c>
      <c r="E82" s="12">
        <f>HLOOKUP($D$5,'4.9 Comptes 2022 par habitant'!$E$4:$BE$159,76,0)</f>
        <v>41.110997442455243</v>
      </c>
    </row>
    <row r="83" spans="2:5" x14ac:dyDescent="0.25">
      <c r="C83" s="7">
        <v>402</v>
      </c>
      <c r="D83" s="7" t="s">
        <v>139</v>
      </c>
      <c r="E83" s="12">
        <f>HLOOKUP($D$5,'4.9 Comptes 2022 par habitant'!$E$4:$BE$159,77,0)</f>
        <v>342.85166240409205</v>
      </c>
    </row>
    <row r="84" spans="2:5" x14ac:dyDescent="0.25">
      <c r="C84" s="7">
        <v>403</v>
      </c>
      <c r="D84" s="7" t="s">
        <v>140</v>
      </c>
      <c r="E84" s="12">
        <f>HLOOKUP($D$5,'4.9 Comptes 2022 par habitant'!$E$4:$BE$159,78,0)</f>
        <v>38.623017902813302</v>
      </c>
    </row>
    <row r="85" spans="2:5" x14ac:dyDescent="0.25">
      <c r="E85" s="12"/>
    </row>
    <row r="86" spans="2:5" x14ac:dyDescent="0.25">
      <c r="B86" s="68">
        <v>41</v>
      </c>
      <c r="C86" s="68"/>
      <c r="D86" s="68" t="s">
        <v>141</v>
      </c>
      <c r="E86" s="69">
        <f>SUM(E87:E90)</f>
        <v>0</v>
      </c>
    </row>
    <row r="87" spans="2:5" x14ac:dyDescent="0.25">
      <c r="C87" s="7">
        <v>410</v>
      </c>
      <c r="D87" s="7" t="s">
        <v>142</v>
      </c>
      <c r="E87" s="12">
        <f>HLOOKUP($D$5,'4.9 Comptes 2022 par habitant'!$E$4:$BE$159,81,0)</f>
        <v>0</v>
      </c>
    </row>
    <row r="88" spans="2:5" x14ac:dyDescent="0.25">
      <c r="C88" s="7">
        <v>411</v>
      </c>
      <c r="D88" s="7" t="s">
        <v>143</v>
      </c>
      <c r="E88" s="12">
        <f>HLOOKUP($D$5,'4.9 Comptes 2022 par habitant'!$E$4:$BE$159,82,0)</f>
        <v>0</v>
      </c>
    </row>
    <row r="89" spans="2:5" x14ac:dyDescent="0.25">
      <c r="C89" s="7">
        <v>412</v>
      </c>
      <c r="D89" s="7" t="s">
        <v>144</v>
      </c>
      <c r="E89" s="12">
        <f>HLOOKUP($D$5,'4.9 Comptes 2022 par habitant'!$E$4:$BE$159,83,0)</f>
        <v>0</v>
      </c>
    </row>
    <row r="90" spans="2:5" x14ac:dyDescent="0.25">
      <c r="C90" s="7">
        <v>413</v>
      </c>
      <c r="D90" s="7" t="s">
        <v>145</v>
      </c>
      <c r="E90" s="12">
        <f>HLOOKUP($D$5,'4.9 Comptes 2022 par habitant'!$E$4:$BE$159,84,0)</f>
        <v>0</v>
      </c>
    </row>
    <row r="91" spans="2:5" x14ac:dyDescent="0.25">
      <c r="E91" s="12"/>
    </row>
    <row r="92" spans="2:5" x14ac:dyDescent="0.25">
      <c r="B92" s="68">
        <v>42</v>
      </c>
      <c r="C92" s="68"/>
      <c r="D92" s="68" t="s">
        <v>146</v>
      </c>
      <c r="E92" s="69">
        <f>SUM(E93:E101)</f>
        <v>856.90575447570347</v>
      </c>
    </row>
    <row r="93" spans="2:5" x14ac:dyDescent="0.25">
      <c r="C93" s="7">
        <v>420</v>
      </c>
      <c r="D93" s="7" t="s">
        <v>147</v>
      </c>
      <c r="E93" s="12">
        <f>HLOOKUP($D$5,'4.9 Comptes 2022 par habitant'!$E$4:$BE$159,87,0)</f>
        <v>17.571355498721228</v>
      </c>
    </row>
    <row r="94" spans="2:5" x14ac:dyDescent="0.25">
      <c r="C94" s="7">
        <v>421</v>
      </c>
      <c r="D94" s="7" t="s">
        <v>148</v>
      </c>
      <c r="E94" s="12">
        <f>HLOOKUP($D$5,'4.9 Comptes 2022 par habitant'!$E$4:$BE$159,88,0)</f>
        <v>11.241048593350383</v>
      </c>
    </row>
    <row r="95" spans="2:5" x14ac:dyDescent="0.25">
      <c r="C95" s="7">
        <v>422</v>
      </c>
      <c r="D95" s="7" t="s">
        <v>149</v>
      </c>
      <c r="E95" s="12">
        <f>HLOOKUP($D$5,'4.9 Comptes 2022 par habitant'!$E$4:$BE$159,89,0)</f>
        <v>0</v>
      </c>
    </row>
    <row r="96" spans="2:5" x14ac:dyDescent="0.25">
      <c r="C96" s="7">
        <v>423</v>
      </c>
      <c r="D96" s="7" t="s">
        <v>150</v>
      </c>
      <c r="E96" s="12">
        <f>HLOOKUP($D$5,'4.9 Comptes 2022 par habitant'!$E$4:$BE$159,90,0)</f>
        <v>22.022506393861892</v>
      </c>
    </row>
    <row r="97" spans="2:5" x14ac:dyDescent="0.25">
      <c r="C97" s="7">
        <v>424</v>
      </c>
      <c r="D97" s="7" t="s">
        <v>151</v>
      </c>
      <c r="E97" s="12">
        <f>HLOOKUP($D$5,'4.9 Comptes 2022 par habitant'!$E$4:$BE$159,91,0)</f>
        <v>725.30984654731469</v>
      </c>
    </row>
    <row r="98" spans="2:5" x14ac:dyDescent="0.25">
      <c r="C98" s="7">
        <v>425</v>
      </c>
      <c r="D98" s="7" t="s">
        <v>152</v>
      </c>
      <c r="E98" s="12">
        <f>HLOOKUP($D$5,'4.9 Comptes 2022 par habitant'!$E$4:$BE$159,92,0)</f>
        <v>13.00383631713555</v>
      </c>
    </row>
    <row r="99" spans="2:5" x14ac:dyDescent="0.25">
      <c r="C99" s="7">
        <v>426</v>
      </c>
      <c r="D99" s="7" t="s">
        <v>153</v>
      </c>
      <c r="E99" s="12">
        <f>HLOOKUP($D$5,'4.9 Comptes 2022 par habitant'!$E$4:$BE$159,93,0)</f>
        <v>67.757161125319698</v>
      </c>
    </row>
    <row r="100" spans="2:5" x14ac:dyDescent="0.25">
      <c r="C100" s="7">
        <v>427</v>
      </c>
      <c r="D100" s="7" t="s">
        <v>154</v>
      </c>
      <c r="E100" s="12">
        <f>HLOOKUP($D$5,'4.9 Comptes 2022 par habitant'!$E$4:$BE$159,94,0)</f>
        <v>0</v>
      </c>
    </row>
    <row r="101" spans="2:5" x14ac:dyDescent="0.25">
      <c r="C101" s="7">
        <v>429</v>
      </c>
      <c r="D101" s="7" t="s">
        <v>155</v>
      </c>
      <c r="E101" s="12">
        <f>HLOOKUP($D$5,'4.9 Comptes 2022 par habitant'!$E$4:$BE$159,95,0)</f>
        <v>0</v>
      </c>
    </row>
    <row r="102" spans="2:5" x14ac:dyDescent="0.25">
      <c r="E102" s="12"/>
    </row>
    <row r="103" spans="2:5" x14ac:dyDescent="0.25">
      <c r="B103" s="68">
        <v>43</v>
      </c>
      <c r="C103" s="68"/>
      <c r="D103" s="68" t="s">
        <v>156</v>
      </c>
      <c r="E103" s="69">
        <f>SUM(E104:E107)</f>
        <v>0</v>
      </c>
    </row>
    <row r="104" spans="2:5" x14ac:dyDescent="0.25">
      <c r="C104" s="7">
        <v>430</v>
      </c>
      <c r="D104" s="7" t="s">
        <v>157</v>
      </c>
      <c r="E104" s="12">
        <f>HLOOKUP($D$5,'4.9 Comptes 2022 par habitant'!$E$4:$BE$159,98,0)</f>
        <v>0</v>
      </c>
    </row>
    <row r="105" spans="2:5" x14ac:dyDescent="0.25">
      <c r="C105" s="7">
        <v>431</v>
      </c>
      <c r="D105" s="7" t="s">
        <v>158</v>
      </c>
      <c r="E105" s="12">
        <f>HLOOKUP($D$5,'4.9 Comptes 2022 par habitant'!$E$4:$BE$159,99,0)</f>
        <v>0</v>
      </c>
    </row>
    <row r="106" spans="2:5" x14ac:dyDescent="0.25">
      <c r="C106" s="7">
        <v>432</v>
      </c>
      <c r="D106" s="7" t="s">
        <v>159</v>
      </c>
      <c r="E106" s="12">
        <f>HLOOKUP($D$5,'4.9 Comptes 2022 par habitant'!$E$4:$BE$159,100,0)</f>
        <v>0</v>
      </c>
    </row>
    <row r="107" spans="2:5" x14ac:dyDescent="0.25">
      <c r="C107" s="7">
        <v>439</v>
      </c>
      <c r="D107" s="7" t="s">
        <v>160</v>
      </c>
      <c r="E107" s="12">
        <f>HLOOKUP($D$5,'4.9 Comptes 2022 par habitant'!$E$4:$BE$159,101,0)</f>
        <v>0</v>
      </c>
    </row>
    <row r="108" spans="2:5" x14ac:dyDescent="0.25">
      <c r="E108" s="12"/>
    </row>
    <row r="109" spans="2:5" x14ac:dyDescent="0.25">
      <c r="B109" s="68">
        <v>44</v>
      </c>
      <c r="C109" s="68"/>
      <c r="D109" s="68" t="s">
        <v>161</v>
      </c>
      <c r="E109" s="69">
        <f>SUM(E110:E119)</f>
        <v>120.05739130434783</v>
      </c>
    </row>
    <row r="110" spans="2:5" x14ac:dyDescent="0.25">
      <c r="C110" s="7">
        <v>440</v>
      </c>
      <c r="D110" s="7" t="s">
        <v>162</v>
      </c>
      <c r="E110" s="12">
        <f>HLOOKUP($D$5,'4.9 Comptes 2022 par habitant'!$E$4:$BE$159,104,0)</f>
        <v>30.005856777493609</v>
      </c>
    </row>
    <row r="111" spans="2:5" x14ac:dyDescent="0.25">
      <c r="C111" s="7">
        <v>441</v>
      </c>
      <c r="D111" s="7" t="s">
        <v>163</v>
      </c>
      <c r="E111" s="12">
        <f>HLOOKUP($D$5,'4.9 Comptes 2022 par habitant'!$E$4:$BE$159,105,0)</f>
        <v>0</v>
      </c>
    </row>
    <row r="112" spans="2:5" x14ac:dyDescent="0.25">
      <c r="C112" s="7">
        <v>442</v>
      </c>
      <c r="D112" s="7" t="s">
        <v>164</v>
      </c>
      <c r="E112" s="12">
        <f>HLOOKUP($D$5,'4.9 Comptes 2022 par habitant'!$E$4:$BE$159,106,0)</f>
        <v>0</v>
      </c>
    </row>
    <row r="113" spans="2:5" x14ac:dyDescent="0.25">
      <c r="C113" s="7">
        <v>443</v>
      </c>
      <c r="D113" s="7" t="s">
        <v>165</v>
      </c>
      <c r="E113" s="12">
        <f>HLOOKUP($D$5,'4.9 Comptes 2022 par habitant'!$E$4:$BE$159,107,0)</f>
        <v>85.447953964194383</v>
      </c>
    </row>
    <row r="114" spans="2:5" x14ac:dyDescent="0.25">
      <c r="C114" s="7">
        <v>444</v>
      </c>
      <c r="D114" s="7" t="s">
        <v>105</v>
      </c>
      <c r="E114" s="12">
        <f>HLOOKUP($D$5,'4.9 Comptes 2022 par habitant'!$E$4:$BE$159,108,0)</f>
        <v>0.10230179028132992</v>
      </c>
    </row>
    <row r="115" spans="2:5" x14ac:dyDescent="0.25">
      <c r="C115" s="7">
        <v>445</v>
      </c>
      <c r="D115" s="7" t="s">
        <v>166</v>
      </c>
      <c r="E115" s="12">
        <f>HLOOKUP($D$5,'4.9 Comptes 2022 par habitant'!$E$4:$BE$159,109,0)</f>
        <v>0</v>
      </c>
    </row>
    <row r="116" spans="2:5" x14ac:dyDescent="0.25">
      <c r="C116" s="7">
        <v>446</v>
      </c>
      <c r="D116" s="7" t="s">
        <v>167</v>
      </c>
      <c r="E116" s="12">
        <f>HLOOKUP($D$5,'4.9 Comptes 2022 par habitant'!$E$4:$BE$159,110,0)</f>
        <v>0</v>
      </c>
    </row>
    <row r="117" spans="2:5" x14ac:dyDescent="0.25">
      <c r="C117" s="7">
        <v>447</v>
      </c>
      <c r="D117" s="7" t="s">
        <v>168</v>
      </c>
      <c r="E117" s="12">
        <f>HLOOKUP($D$5,'4.9 Comptes 2022 par habitant'!$E$4:$BE$159,111,0)</f>
        <v>4.2199488491048589</v>
      </c>
    </row>
    <row r="118" spans="2:5" x14ac:dyDescent="0.25">
      <c r="C118" s="7">
        <v>448</v>
      </c>
      <c r="D118" s="7" t="s">
        <v>169</v>
      </c>
      <c r="E118" s="12">
        <f>HLOOKUP($D$5,'4.9 Comptes 2022 par habitant'!$E$4:$BE$159,112,0)</f>
        <v>0</v>
      </c>
    </row>
    <row r="119" spans="2:5" x14ac:dyDescent="0.25">
      <c r="C119" s="7">
        <v>449</v>
      </c>
      <c r="D119" s="7" t="s">
        <v>170</v>
      </c>
      <c r="E119" s="12">
        <f>HLOOKUP($D$5,'4.9 Comptes 2022 par habitant'!$E$4:$BE$159,113,0)</f>
        <v>0.2813299232736573</v>
      </c>
    </row>
    <row r="120" spans="2:5" x14ac:dyDescent="0.25">
      <c r="E120" s="12"/>
    </row>
    <row r="121" spans="2:5" x14ac:dyDescent="0.25">
      <c r="B121" s="68">
        <v>45</v>
      </c>
      <c r="C121" s="68"/>
      <c r="D121" s="68" t="s">
        <v>173</v>
      </c>
      <c r="E121" s="69">
        <f>SUM(E122:E123)</f>
        <v>11.508951406649617</v>
      </c>
    </row>
    <row r="122" spans="2:5" x14ac:dyDescent="0.25">
      <c r="C122" s="7">
        <v>450</v>
      </c>
      <c r="D122" s="7" t="s">
        <v>171</v>
      </c>
      <c r="E122" s="12">
        <f>HLOOKUP($D$5,'4.9 Comptes 2022 par habitant'!$E$4:$BE$159,116,0)</f>
        <v>0</v>
      </c>
    </row>
    <row r="123" spans="2:5" x14ac:dyDescent="0.25">
      <c r="C123" s="7">
        <v>451</v>
      </c>
      <c r="D123" s="7" t="s">
        <v>172</v>
      </c>
      <c r="E123" s="12">
        <f>HLOOKUP($D$5,'4.9 Comptes 2022 par habitant'!$E$4:$BE$159,117,0)</f>
        <v>11.508951406649617</v>
      </c>
    </row>
    <row r="124" spans="2:5" x14ac:dyDescent="0.25">
      <c r="E124" s="12"/>
    </row>
    <row r="125" spans="2:5" x14ac:dyDescent="0.25">
      <c r="B125" s="68">
        <v>46</v>
      </c>
      <c r="C125" s="68"/>
      <c r="D125" s="68" t="s">
        <v>174</v>
      </c>
      <c r="E125" s="69">
        <f>SUM(E126:E130)</f>
        <v>946.54181585677748</v>
      </c>
    </row>
    <row r="126" spans="2:5" x14ac:dyDescent="0.25">
      <c r="C126" s="7">
        <v>460</v>
      </c>
      <c r="D126" s="7" t="s">
        <v>175</v>
      </c>
      <c r="E126" s="12">
        <f>HLOOKUP($D$5,'4.9 Comptes 2022 par habitant'!$E$4:$BE$159,120,0)</f>
        <v>1.4884910485933505</v>
      </c>
    </row>
    <row r="127" spans="2:5" x14ac:dyDescent="0.25">
      <c r="C127" s="7">
        <v>461</v>
      </c>
      <c r="D127" s="7" t="s">
        <v>176</v>
      </c>
      <c r="E127" s="12">
        <f>HLOOKUP($D$5,'4.9 Comptes 2022 par habitant'!$E$4:$BE$159,121,0)</f>
        <v>466.7410485933504</v>
      </c>
    </row>
    <row r="128" spans="2:5" x14ac:dyDescent="0.25">
      <c r="C128" s="7">
        <v>462</v>
      </c>
      <c r="D128" s="7" t="s">
        <v>112</v>
      </c>
      <c r="E128" s="12">
        <f>HLOOKUP($D$5,'4.9 Comptes 2022 par habitant'!$E$4:$BE$159,122,0)</f>
        <v>376.96675191815859</v>
      </c>
    </row>
    <row r="129" spans="2:5" x14ac:dyDescent="0.25">
      <c r="C129" s="7">
        <v>463</v>
      </c>
      <c r="D129" s="7" t="s">
        <v>177</v>
      </c>
      <c r="E129" s="12">
        <f>HLOOKUP($D$5,'4.9 Comptes 2022 par habitant'!$E$4:$BE$159,123,0)</f>
        <v>101.12800511508952</v>
      </c>
    </row>
    <row r="130" spans="2:5" x14ac:dyDescent="0.25">
      <c r="C130" s="7">
        <v>469</v>
      </c>
      <c r="D130" s="7" t="s">
        <v>178</v>
      </c>
      <c r="E130" s="12">
        <f>HLOOKUP($D$5,'4.9 Comptes 2022 par habitant'!$E$4:$BE$159,124,0)</f>
        <v>0.21751918158567773</v>
      </c>
    </row>
    <row r="131" spans="2:5" x14ac:dyDescent="0.25">
      <c r="E131" s="12"/>
    </row>
    <row r="132" spans="2:5" x14ac:dyDescent="0.25">
      <c r="B132" s="68">
        <v>47</v>
      </c>
      <c r="C132" s="68"/>
      <c r="D132" s="68" t="s">
        <v>118</v>
      </c>
      <c r="E132" s="69">
        <f>SUM(E133)</f>
        <v>0</v>
      </c>
    </row>
    <row r="133" spans="2:5" x14ac:dyDescent="0.25">
      <c r="C133" s="7">
        <v>470</v>
      </c>
      <c r="D133" s="7" t="s">
        <v>179</v>
      </c>
      <c r="E133" s="12">
        <f>HLOOKUP($D$5,'4.9 Comptes 2022 par habitant'!$E$4:$BE$159,127,0)</f>
        <v>0</v>
      </c>
    </row>
    <row r="134" spans="2:5" x14ac:dyDescent="0.25">
      <c r="E134" s="12"/>
    </row>
    <row r="135" spans="2:5" x14ac:dyDescent="0.25">
      <c r="B135" s="68">
        <v>48</v>
      </c>
      <c r="C135" s="68"/>
      <c r="D135" s="68" t="s">
        <v>180</v>
      </c>
      <c r="E135" s="69">
        <f>SUM(E136:E142)</f>
        <v>0.81585677749360619</v>
      </c>
    </row>
    <row r="136" spans="2:5" x14ac:dyDescent="0.25">
      <c r="C136" s="7">
        <v>481</v>
      </c>
      <c r="D136" s="7" t="s">
        <v>181</v>
      </c>
      <c r="E136" s="12">
        <f>HLOOKUP($D$5,'4.9 Comptes 2022 par habitant'!$E$4:$BE$159,130,0)</f>
        <v>0</v>
      </c>
    </row>
    <row r="137" spans="2:5" x14ac:dyDescent="0.25">
      <c r="C137" s="7">
        <v>482</v>
      </c>
      <c r="D137" s="7" t="s">
        <v>182</v>
      </c>
      <c r="E137" s="12">
        <f>HLOOKUP($D$5,'4.9 Comptes 2022 par habitant'!$E$4:$BE$159,131,0)</f>
        <v>0</v>
      </c>
    </row>
    <row r="138" spans="2:5" x14ac:dyDescent="0.25">
      <c r="C138" s="7">
        <v>483</v>
      </c>
      <c r="D138" s="7" t="s">
        <v>183</v>
      </c>
      <c r="E138" s="12">
        <f>HLOOKUP($D$5,'4.9 Comptes 2022 par habitant'!$E$4:$BE$159,132,0)</f>
        <v>0</v>
      </c>
    </row>
    <row r="139" spans="2:5" x14ac:dyDescent="0.25">
      <c r="C139" s="7">
        <v>484</v>
      </c>
      <c r="D139" s="7" t="s">
        <v>184</v>
      </c>
      <c r="E139" s="12">
        <f>HLOOKUP($D$5,'4.9 Comptes 2022 par habitant'!$E$4:$BE$159,133,0)</f>
        <v>0</v>
      </c>
    </row>
    <row r="140" spans="2:5" x14ac:dyDescent="0.25">
      <c r="C140" s="7">
        <v>485</v>
      </c>
      <c r="D140" s="7" t="s">
        <v>185</v>
      </c>
      <c r="E140" s="12">
        <f>HLOOKUP($D$5,'4.9 Comptes 2022 par habitant'!$E$4:$BE$159,134,0)</f>
        <v>0</v>
      </c>
    </row>
    <row r="141" spans="2:5" x14ac:dyDescent="0.25">
      <c r="C141" s="7">
        <v>486</v>
      </c>
      <c r="D141" s="7" t="s">
        <v>186</v>
      </c>
      <c r="E141" s="12">
        <f>HLOOKUP($D$5,'4.9 Comptes 2022 par habitant'!$E$4:$BE$159,135,0)</f>
        <v>0</v>
      </c>
    </row>
    <row r="142" spans="2:5" x14ac:dyDescent="0.25">
      <c r="C142" s="7">
        <v>489</v>
      </c>
      <c r="D142" s="7" t="s">
        <v>187</v>
      </c>
      <c r="E142" s="12">
        <f>HLOOKUP($D$5,'4.9 Comptes 2022 par habitant'!$E$4:$BE$159,136,0)</f>
        <v>0.81585677749360619</v>
      </c>
    </row>
    <row r="143" spans="2:5" x14ac:dyDescent="0.25">
      <c r="E143" s="12"/>
    </row>
    <row r="144" spans="2:5" x14ac:dyDescent="0.25">
      <c r="B144" s="68">
        <v>49</v>
      </c>
      <c r="C144" s="68"/>
      <c r="D144" s="68" t="s">
        <v>127</v>
      </c>
      <c r="E144" s="69">
        <f>SUM(E145:E152)</f>
        <v>0</v>
      </c>
    </row>
    <row r="145" spans="1:5" x14ac:dyDescent="0.25">
      <c r="C145" s="7">
        <v>490</v>
      </c>
      <c r="D145" s="7" t="s">
        <v>128</v>
      </c>
      <c r="E145" s="12">
        <f>HLOOKUP($D$5,'4.9 Comptes 2022 par habitant'!$E$4:$BE$159,139,0)</f>
        <v>0</v>
      </c>
    </row>
    <row r="146" spans="1:5" x14ac:dyDescent="0.25">
      <c r="C146" s="7">
        <v>491</v>
      </c>
      <c r="D146" s="7" t="s">
        <v>129</v>
      </c>
      <c r="E146" s="12">
        <f>HLOOKUP($D$5,'4.9 Comptes 2022 par habitant'!$E$4:$BE$159,140,0)</f>
        <v>0</v>
      </c>
    </row>
    <row r="147" spans="1:5" x14ac:dyDescent="0.25">
      <c r="C147" s="7">
        <v>492</v>
      </c>
      <c r="D147" s="7" t="s">
        <v>188</v>
      </c>
      <c r="E147" s="12">
        <f>HLOOKUP($D$5,'4.9 Comptes 2022 par habitant'!$E$4:$BE$159,141,0)</f>
        <v>0</v>
      </c>
    </row>
    <row r="148" spans="1:5" x14ac:dyDescent="0.25">
      <c r="C148" s="7">
        <v>493</v>
      </c>
      <c r="D148" s="7" t="s">
        <v>189</v>
      </c>
      <c r="E148" s="12">
        <f>HLOOKUP($D$5,'4.9 Comptes 2022 par habitant'!$E$4:$BE$159,142,0)</f>
        <v>0</v>
      </c>
    </row>
    <row r="149" spans="1:5" x14ac:dyDescent="0.25">
      <c r="C149" s="7">
        <v>494</v>
      </c>
      <c r="D149" s="7" t="s">
        <v>132</v>
      </c>
      <c r="E149" s="12">
        <f>HLOOKUP($D$5,'4.9 Comptes 2022 par habitant'!$E$4:$BE$159,143,0)</f>
        <v>0</v>
      </c>
    </row>
    <row r="150" spans="1:5" x14ac:dyDescent="0.25">
      <c r="C150" s="7">
        <v>495</v>
      </c>
      <c r="D150" s="7" t="s">
        <v>190</v>
      </c>
      <c r="E150" s="12">
        <f>HLOOKUP($D$5,'4.9 Comptes 2022 par habitant'!$E$4:$BE$159,144,0)</f>
        <v>0</v>
      </c>
    </row>
    <row r="151" spans="1:5" x14ac:dyDescent="0.25">
      <c r="C151" s="7">
        <v>498</v>
      </c>
      <c r="D151" s="7" t="s">
        <v>191</v>
      </c>
      <c r="E151" s="12">
        <f>HLOOKUP($D$5,'4.9 Comptes 2022 par habitant'!$E$4:$BE$159,145,0)</f>
        <v>0</v>
      </c>
    </row>
    <row r="152" spans="1:5" x14ac:dyDescent="0.25">
      <c r="C152" s="7">
        <v>499</v>
      </c>
      <c r="D152" s="7" t="s">
        <v>135</v>
      </c>
      <c r="E152" s="12">
        <f>HLOOKUP($D$5,'4.9 Comptes 2022 par habitant'!$E$4:$BE$159,146,0)</f>
        <v>0</v>
      </c>
    </row>
    <row r="153" spans="1:5" x14ac:dyDescent="0.25">
      <c r="E153" s="12"/>
    </row>
    <row r="154" spans="1:5" x14ac:dyDescent="0.25">
      <c r="E154" s="12"/>
    </row>
    <row r="155" spans="1:5" x14ac:dyDescent="0.25">
      <c r="E155" s="12"/>
    </row>
    <row r="156" spans="1:5" x14ac:dyDescent="0.25">
      <c r="A156" s="70">
        <v>9</v>
      </c>
      <c r="B156" s="70"/>
      <c r="C156" s="70"/>
      <c r="D156" s="70" t="s">
        <v>193</v>
      </c>
      <c r="E156" s="71"/>
    </row>
    <row r="157" spans="1:5" x14ac:dyDescent="0.25">
      <c r="A157" s="70"/>
      <c r="B157" s="70">
        <v>90</v>
      </c>
      <c r="C157" s="70"/>
      <c r="D157" s="70" t="s">
        <v>194</v>
      </c>
      <c r="E157" s="72">
        <f>SUM(E158:E159)</f>
        <v>335.4952429667519</v>
      </c>
    </row>
    <row r="158" spans="1:5" x14ac:dyDescent="0.25">
      <c r="C158" s="7">
        <v>900</v>
      </c>
      <c r="D158" s="7" t="s">
        <v>195</v>
      </c>
      <c r="E158" s="12">
        <f>HLOOKUP($D$5,'4.9 Comptes 2022 par habitant'!$E$4:$BE$159,152,0)</f>
        <v>0.64370843989769821</v>
      </c>
    </row>
    <row r="159" spans="1:5" x14ac:dyDescent="0.25">
      <c r="C159" s="7">
        <v>901</v>
      </c>
      <c r="D159" s="7" t="s">
        <v>196</v>
      </c>
      <c r="E159" s="12">
        <f>HLOOKUP($D$5,'4.9 Comptes 2022 par habitant'!$E$4:$BE$159,153,0)</f>
        <v>334.85153452685421</v>
      </c>
    </row>
    <row r="160" spans="1:5" x14ac:dyDescent="0.25">
      <c r="E160" s="12"/>
    </row>
    <row r="161" spans="4:5" x14ac:dyDescent="0.25">
      <c r="D161" s="6" t="s">
        <v>197</v>
      </c>
      <c r="E161" s="75">
        <f>HLOOKUP($D$5,'4.9 Comptes 2022 par habitant'!$E$4:$BE$159,155,0)</f>
        <v>335.4952429667519</v>
      </c>
    </row>
  </sheetData>
  <pageMargins left="0.7" right="0.7" top="0.75" bottom="0.75" header="0.3" footer="0.3"/>
  <pageSetup paperSize="9" scale="3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'4.9 Comptes 2022 par habitant'!$E$4:$BE$4</xm:f>
          </x14:formula1>
          <xm:sqref>D5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59999389629810485"/>
  </sheetPr>
  <dimension ref="A2:C49"/>
  <sheetViews>
    <sheetView workbookViewId="0"/>
  </sheetViews>
  <sheetFormatPr baseColWidth="10" defaultColWidth="11.44140625" defaultRowHeight="13.8" x14ac:dyDescent="0.25"/>
  <cols>
    <col min="1" max="1" width="9.109375" style="7" customWidth="1"/>
    <col min="2" max="2" width="38.5546875" style="7" customWidth="1"/>
    <col min="3" max="3" width="22.88671875" style="7" customWidth="1"/>
    <col min="4" max="16384" width="11.44140625" style="7"/>
  </cols>
  <sheetData>
    <row r="2" spans="1:3" ht="21" x14ac:dyDescent="0.4">
      <c r="A2" s="79" t="s">
        <v>828</v>
      </c>
    </row>
    <row r="4" spans="1:3" x14ac:dyDescent="0.25">
      <c r="A4" s="6" t="s">
        <v>198</v>
      </c>
    </row>
    <row r="6" spans="1:3" x14ac:dyDescent="0.25">
      <c r="A6" s="86" t="s">
        <v>215</v>
      </c>
      <c r="B6" s="86" t="s">
        <v>200</v>
      </c>
      <c r="C6" s="86" t="s">
        <v>852</v>
      </c>
    </row>
    <row r="7" spans="1:3" x14ac:dyDescent="0.25">
      <c r="A7" s="87">
        <v>90</v>
      </c>
      <c r="B7" s="88" t="s">
        <v>776</v>
      </c>
      <c r="C7" s="89">
        <f>'MCH2'!BF154</f>
        <v>7588581.0899999999</v>
      </c>
    </row>
    <row r="8" spans="1:3" x14ac:dyDescent="0.25">
      <c r="A8" s="87">
        <v>900</v>
      </c>
      <c r="B8" s="88" t="s">
        <v>217</v>
      </c>
      <c r="C8" s="89">
        <f>'MCH2'!BF155</f>
        <v>-1754910.18</v>
      </c>
    </row>
    <row r="9" spans="1:3" x14ac:dyDescent="0.25">
      <c r="A9" s="87">
        <v>901</v>
      </c>
      <c r="B9" s="88" t="s">
        <v>219</v>
      </c>
      <c r="C9" s="89">
        <f>'MCH2'!BF156</f>
        <v>9343491.2699999996</v>
      </c>
    </row>
    <row r="10" spans="1:3" x14ac:dyDescent="0.25">
      <c r="A10" s="87">
        <v>400</v>
      </c>
      <c r="B10" s="88" t="s">
        <v>137</v>
      </c>
      <c r="C10" s="89">
        <f>'MCH2'!BF78</f>
        <v>170661863.04000002</v>
      </c>
    </row>
    <row r="11" spans="1:3" x14ac:dyDescent="0.25">
      <c r="A11" s="87">
        <v>401</v>
      </c>
      <c r="B11" s="88" t="s">
        <v>138</v>
      </c>
      <c r="C11" s="89">
        <f>'MCH2'!BF79</f>
        <v>26336680.939999986</v>
      </c>
    </row>
    <row r="12" spans="1:3" x14ac:dyDescent="0.25">
      <c r="A12" s="87">
        <v>4021</v>
      </c>
      <c r="B12" s="88" t="s">
        <v>213</v>
      </c>
      <c r="C12" s="89">
        <f>'MCH2'!BF164</f>
        <v>15773986.460000001</v>
      </c>
    </row>
    <row r="13" spans="1:3" x14ac:dyDescent="0.25">
      <c r="A13" s="87" t="s">
        <v>216</v>
      </c>
      <c r="B13" s="88" t="s">
        <v>220</v>
      </c>
      <c r="C13" s="89">
        <f>'6.1 Investissements'!BF183</f>
        <v>45320599.660000011</v>
      </c>
    </row>
    <row r="16" spans="1:3" x14ac:dyDescent="0.25">
      <c r="A16" s="6" t="s">
        <v>210</v>
      </c>
    </row>
    <row r="18" spans="1:3" x14ac:dyDescent="0.25">
      <c r="A18" s="86" t="s">
        <v>215</v>
      </c>
      <c r="B18" s="86" t="s">
        <v>200</v>
      </c>
      <c r="C18" s="86" t="s">
        <v>852</v>
      </c>
    </row>
    <row r="19" spans="1:3" x14ac:dyDescent="0.25">
      <c r="A19" s="87">
        <v>90</v>
      </c>
      <c r="B19" s="88" t="s">
        <v>776</v>
      </c>
      <c r="C19" s="89">
        <f>'MCH2'!BG154</f>
        <v>1754727.4000000013</v>
      </c>
    </row>
    <row r="20" spans="1:3" x14ac:dyDescent="0.25">
      <c r="A20" s="87">
        <v>900</v>
      </c>
      <c r="B20" s="88" t="s">
        <v>217</v>
      </c>
      <c r="C20" s="89">
        <f>'MCH2'!BG155</f>
        <v>-3470298.3499999996</v>
      </c>
    </row>
    <row r="21" spans="1:3" x14ac:dyDescent="0.25">
      <c r="A21" s="87">
        <v>901</v>
      </c>
      <c r="B21" s="88" t="s">
        <v>219</v>
      </c>
      <c r="C21" s="89">
        <f>'MCH2'!BG156</f>
        <v>5225025.7500000009</v>
      </c>
    </row>
    <row r="22" spans="1:3" x14ac:dyDescent="0.25">
      <c r="A22" s="87">
        <v>400</v>
      </c>
      <c r="B22" s="88" t="s">
        <v>137</v>
      </c>
      <c r="C22" s="89">
        <f>'MCH2'!BG78</f>
        <v>87170050.229999989</v>
      </c>
    </row>
    <row r="23" spans="1:3" x14ac:dyDescent="0.25">
      <c r="A23" s="87">
        <v>401</v>
      </c>
      <c r="B23" s="88" t="s">
        <v>138</v>
      </c>
      <c r="C23" s="89">
        <f>'MCH2'!BG79</f>
        <v>8479638.25</v>
      </c>
    </row>
    <row r="24" spans="1:3" x14ac:dyDescent="0.25">
      <c r="A24" s="87">
        <v>4021</v>
      </c>
      <c r="B24" s="88" t="s">
        <v>213</v>
      </c>
      <c r="C24" s="89">
        <f>'MCH2'!BG164</f>
        <v>7753592.1600000001</v>
      </c>
    </row>
    <row r="25" spans="1:3" x14ac:dyDescent="0.25">
      <c r="A25" s="87" t="s">
        <v>216</v>
      </c>
      <c r="B25" s="88" t="s">
        <v>220</v>
      </c>
      <c r="C25" s="89">
        <f>'6.1 Investissements'!BG183</f>
        <v>23354463.839999996</v>
      </c>
    </row>
    <row r="28" spans="1:3" x14ac:dyDescent="0.25">
      <c r="A28" s="6" t="s">
        <v>211</v>
      </c>
    </row>
    <row r="30" spans="1:3" x14ac:dyDescent="0.25">
      <c r="A30" s="86" t="s">
        <v>215</v>
      </c>
      <c r="B30" s="86" t="s">
        <v>200</v>
      </c>
      <c r="C30" s="86" t="s">
        <v>852</v>
      </c>
    </row>
    <row r="31" spans="1:3" x14ac:dyDescent="0.25">
      <c r="A31" s="87">
        <v>90</v>
      </c>
      <c r="B31" s="88" t="s">
        <v>776</v>
      </c>
      <c r="C31" s="89">
        <f>'MCH2'!BH154</f>
        <v>4152195.66</v>
      </c>
    </row>
    <row r="32" spans="1:3" x14ac:dyDescent="0.25">
      <c r="A32" s="87">
        <v>900</v>
      </c>
      <c r="B32" s="88" t="s">
        <v>217</v>
      </c>
      <c r="C32" s="89">
        <f>'MCH2'!BH155</f>
        <v>2567102.9200000004</v>
      </c>
    </row>
    <row r="33" spans="1:3" x14ac:dyDescent="0.25">
      <c r="A33" s="87">
        <v>901</v>
      </c>
      <c r="B33" s="88" t="s">
        <v>219</v>
      </c>
      <c r="C33" s="89">
        <f>'MCH2'!BH156</f>
        <v>1585092.7399999998</v>
      </c>
    </row>
    <row r="34" spans="1:3" x14ac:dyDescent="0.25">
      <c r="A34" s="87">
        <v>400</v>
      </c>
      <c r="B34" s="88" t="s">
        <v>137</v>
      </c>
      <c r="C34" s="89">
        <f>'MCH2'!BH78</f>
        <v>25528945.510000002</v>
      </c>
    </row>
    <row r="35" spans="1:3" x14ac:dyDescent="0.25">
      <c r="A35" s="87">
        <v>401</v>
      </c>
      <c r="B35" s="88" t="s">
        <v>138</v>
      </c>
      <c r="C35" s="89">
        <f>'MCH2'!BH79</f>
        <v>9077954.8200000003</v>
      </c>
    </row>
    <row r="36" spans="1:3" x14ac:dyDescent="0.25">
      <c r="A36" s="87">
        <v>4021</v>
      </c>
      <c r="B36" s="88" t="s">
        <v>213</v>
      </c>
      <c r="C36" s="89">
        <f>'MCH2'!BH164</f>
        <v>2181694.4499999997</v>
      </c>
    </row>
    <row r="37" spans="1:3" x14ac:dyDescent="0.25">
      <c r="A37" s="87" t="s">
        <v>216</v>
      </c>
      <c r="B37" s="88" t="s">
        <v>220</v>
      </c>
      <c r="C37" s="89">
        <f>'6.1 Investissements'!BH183</f>
        <v>5580817.7000000011</v>
      </c>
    </row>
    <row r="40" spans="1:3" x14ac:dyDescent="0.25">
      <c r="A40" s="7" t="s">
        <v>212</v>
      </c>
    </row>
    <row r="42" spans="1:3" x14ac:dyDescent="0.25">
      <c r="A42" s="86" t="s">
        <v>215</v>
      </c>
      <c r="B42" s="86" t="s">
        <v>200</v>
      </c>
      <c r="C42" s="86" t="s">
        <v>852</v>
      </c>
    </row>
    <row r="43" spans="1:3" x14ac:dyDescent="0.25">
      <c r="A43" s="87">
        <v>90</v>
      </c>
      <c r="B43" s="88" t="s">
        <v>776</v>
      </c>
      <c r="C43" s="89">
        <f>'MCH2'!BI154</f>
        <v>1681658.0299999998</v>
      </c>
    </row>
    <row r="44" spans="1:3" x14ac:dyDescent="0.25">
      <c r="A44" s="87">
        <v>900</v>
      </c>
      <c r="B44" s="88" t="s">
        <v>217</v>
      </c>
      <c r="C44" s="89">
        <f>'MCH2'!BI155</f>
        <v>-851714.74999999988</v>
      </c>
    </row>
    <row r="45" spans="1:3" x14ac:dyDescent="0.25">
      <c r="A45" s="87">
        <v>901</v>
      </c>
      <c r="B45" s="88" t="s">
        <v>219</v>
      </c>
      <c r="C45" s="89">
        <f>'MCH2'!BI156</f>
        <v>2533372.7799999998</v>
      </c>
    </row>
    <row r="46" spans="1:3" x14ac:dyDescent="0.25">
      <c r="A46" s="87">
        <v>400</v>
      </c>
      <c r="B46" s="88" t="s">
        <v>137</v>
      </c>
      <c r="C46" s="89">
        <f>'MCH2'!BI78</f>
        <v>57962867.300000004</v>
      </c>
    </row>
    <row r="47" spans="1:3" x14ac:dyDescent="0.25">
      <c r="A47" s="87">
        <v>401</v>
      </c>
      <c r="B47" s="88" t="s">
        <v>138</v>
      </c>
      <c r="C47" s="89">
        <f>'MCH2'!BI79</f>
        <v>8779087.8700000029</v>
      </c>
    </row>
    <row r="48" spans="1:3" x14ac:dyDescent="0.25">
      <c r="A48" s="87">
        <v>4021</v>
      </c>
      <c r="B48" s="88" t="s">
        <v>213</v>
      </c>
      <c r="C48" s="89">
        <f>'MCH2'!BI164</f>
        <v>5838699.8499999996</v>
      </c>
    </row>
    <row r="49" spans="1:3" x14ac:dyDescent="0.25">
      <c r="A49" s="87" t="s">
        <v>216</v>
      </c>
      <c r="B49" s="88" t="s">
        <v>220</v>
      </c>
      <c r="C49" s="89">
        <f>'6.1 Investissements'!BI183</f>
        <v>16385318.120000001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59999389629810485"/>
  </sheetPr>
  <dimension ref="A2:C21"/>
  <sheetViews>
    <sheetView workbookViewId="0"/>
  </sheetViews>
  <sheetFormatPr baseColWidth="10" defaultColWidth="11.44140625" defaultRowHeight="13.8" x14ac:dyDescent="0.25"/>
  <cols>
    <col min="1" max="1" width="9.33203125" style="7" customWidth="1"/>
    <col min="2" max="2" width="39.6640625" style="7" customWidth="1"/>
    <col min="3" max="3" width="27.88671875" style="7" customWidth="1"/>
    <col min="4" max="4" width="23" style="7" customWidth="1"/>
    <col min="5" max="16384" width="11.44140625" style="7"/>
  </cols>
  <sheetData>
    <row r="2" spans="1:3" ht="21" x14ac:dyDescent="0.4">
      <c r="A2" s="79" t="s">
        <v>839</v>
      </c>
    </row>
    <row r="5" spans="1:3" ht="14.4" thickBot="1" x14ac:dyDescent="0.3">
      <c r="B5" s="7" t="s">
        <v>587</v>
      </c>
    </row>
    <row r="6" spans="1:3" ht="14.4" thickBot="1" x14ac:dyDescent="0.3">
      <c r="B6" s="83" t="s">
        <v>49</v>
      </c>
    </row>
    <row r="9" spans="1:3" x14ac:dyDescent="0.25">
      <c r="A9" s="86" t="s">
        <v>215</v>
      </c>
      <c r="B9" s="86" t="s">
        <v>200</v>
      </c>
      <c r="C9" s="86" t="s">
        <v>852</v>
      </c>
    </row>
    <row r="10" spans="1:3" x14ac:dyDescent="0.25">
      <c r="A10" s="87">
        <v>90</v>
      </c>
      <c r="B10" s="88" t="s">
        <v>217</v>
      </c>
      <c r="C10" s="89">
        <f>HLOOKUP($B$6,'MCH2'!$E$4:$BE$170,151,0)</f>
        <v>7224.1500000000233</v>
      </c>
    </row>
    <row r="11" spans="1:3" x14ac:dyDescent="0.25">
      <c r="A11" s="87">
        <v>900</v>
      </c>
      <c r="B11" s="88" t="s">
        <v>218</v>
      </c>
      <c r="C11" s="89">
        <f>HLOOKUP($B$6,'MCH2'!$E$4:$BE$170,152,0)</f>
        <v>-143672.57999999999</v>
      </c>
    </row>
    <row r="12" spans="1:3" x14ac:dyDescent="0.25">
      <c r="A12" s="87">
        <v>901</v>
      </c>
      <c r="B12" s="88" t="s">
        <v>219</v>
      </c>
      <c r="C12" s="89">
        <f>HLOOKUP($B$6,'MCH2'!$E$4:$BE$170,153,0)</f>
        <v>150896.73000000001</v>
      </c>
    </row>
    <row r="13" spans="1:3" x14ac:dyDescent="0.25">
      <c r="A13" s="87">
        <v>400</v>
      </c>
      <c r="B13" s="88" t="s">
        <v>137</v>
      </c>
      <c r="C13" s="89">
        <f>HLOOKUP($B$6,'MCH2'!$E$4:$BE$170,75,0)</f>
        <v>4101354</v>
      </c>
    </row>
    <row r="14" spans="1:3" x14ac:dyDescent="0.25">
      <c r="A14" s="87">
        <v>401</v>
      </c>
      <c r="B14" s="88" t="s">
        <v>138</v>
      </c>
      <c r="C14" s="89">
        <f>HLOOKUP($B$6,'MCH2'!$E$4:$BE$170,76,0)</f>
        <v>49702.400000000001</v>
      </c>
    </row>
    <row r="15" spans="1:3" x14ac:dyDescent="0.25">
      <c r="A15" s="87">
        <v>4021</v>
      </c>
      <c r="B15" s="88" t="s">
        <v>213</v>
      </c>
      <c r="C15" s="89">
        <f>HLOOKUP($B$6,'MCH2'!$E$4:$BE$170,161,0)</f>
        <v>340555</v>
      </c>
    </row>
    <row r="16" spans="1:3" x14ac:dyDescent="0.25">
      <c r="A16" s="87" t="s">
        <v>216</v>
      </c>
      <c r="B16" s="88" t="s">
        <v>220</v>
      </c>
      <c r="C16" s="89">
        <f>HLOOKUP($B$6,'6.1 Investissements'!$E$4:$BI$183,180,0)</f>
        <v>264388.7</v>
      </c>
    </row>
    <row r="18" spans="3:3" x14ac:dyDescent="0.25">
      <c r="C18" s="58"/>
    </row>
    <row r="19" spans="3:3" x14ac:dyDescent="0.25">
      <c r="C19" s="12"/>
    </row>
    <row r="20" spans="3:3" x14ac:dyDescent="0.25">
      <c r="C20" s="12"/>
    </row>
    <row r="21" spans="3:3" x14ac:dyDescent="0.25">
      <c r="C21" s="1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'4.9 Comptes 2022 par habitant'!$E$4:$BE$4</xm:f>
          </x14:formula1>
          <xm:sqref>B6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59999389629810485"/>
  </sheetPr>
  <dimension ref="A2:C90"/>
  <sheetViews>
    <sheetView workbookViewId="0"/>
  </sheetViews>
  <sheetFormatPr baseColWidth="10" defaultColWidth="11.44140625" defaultRowHeight="13.8" x14ac:dyDescent="0.25"/>
  <cols>
    <col min="1" max="1" width="22.6640625" style="7" customWidth="1"/>
    <col min="2" max="2" width="34.44140625" style="7" customWidth="1"/>
    <col min="3" max="3" width="23" style="7" customWidth="1"/>
    <col min="4" max="16384" width="11.44140625" style="7"/>
  </cols>
  <sheetData>
    <row r="2" spans="1:3" ht="21" x14ac:dyDescent="0.4">
      <c r="A2" s="79" t="s">
        <v>825</v>
      </c>
    </row>
    <row r="5" spans="1:3" x14ac:dyDescent="0.25">
      <c r="A5" s="6" t="s">
        <v>198</v>
      </c>
    </row>
    <row r="6" spans="1:3" x14ac:dyDescent="0.25">
      <c r="A6" s="6" t="s">
        <v>853</v>
      </c>
    </row>
    <row r="8" spans="1:3" x14ac:dyDescent="0.25">
      <c r="A8" s="86" t="s">
        <v>199</v>
      </c>
      <c r="B8" s="86" t="s">
        <v>200</v>
      </c>
      <c r="C8" s="86" t="s">
        <v>201</v>
      </c>
    </row>
    <row r="9" spans="1:3" x14ac:dyDescent="0.25">
      <c r="A9" s="87" t="s">
        <v>208</v>
      </c>
      <c r="B9" s="88" t="s">
        <v>202</v>
      </c>
      <c r="C9" s="89">
        <f>'MCH2'!BF6+'MCH2'!BF16+'MCH2'!BF28+'MCH2'!BF40+'MCH2'!BF44+'MCH2'!BF54</f>
        <v>386803328.56999999</v>
      </c>
    </row>
    <row r="10" spans="1:3" x14ac:dyDescent="0.25">
      <c r="A10" s="87" t="s">
        <v>209</v>
      </c>
      <c r="B10" s="88" t="s">
        <v>203</v>
      </c>
      <c r="C10" s="89">
        <f>'MCH2'!BF77+'MCH2'!BF83+'MCH2'!BF89+'MCH2'!BF100+'MCH2'!BF118+'MCH2'!BF122+'MCH2'!BF129</f>
        <v>390767883.79000002</v>
      </c>
    </row>
    <row r="11" spans="1:3" x14ac:dyDescent="0.25">
      <c r="A11" s="88"/>
      <c r="B11" s="90" t="s">
        <v>204</v>
      </c>
      <c r="C11" s="91">
        <f>C10-C9</f>
        <v>3964555.2200000286</v>
      </c>
    </row>
    <row r="12" spans="1:3" x14ac:dyDescent="0.25">
      <c r="A12" s="88"/>
      <c r="B12" s="88"/>
      <c r="C12" s="88"/>
    </row>
    <row r="13" spans="1:3" x14ac:dyDescent="0.25">
      <c r="A13" s="88">
        <v>34</v>
      </c>
      <c r="B13" s="88" t="s">
        <v>100</v>
      </c>
      <c r="C13" s="89">
        <f>'MCH2'!BF32</f>
        <v>8237138.9299999978</v>
      </c>
    </row>
    <row r="14" spans="1:3" x14ac:dyDescent="0.25">
      <c r="A14" s="88">
        <v>44</v>
      </c>
      <c r="B14" s="88" t="s">
        <v>161</v>
      </c>
      <c r="C14" s="89">
        <f>'MCH2'!BF106</f>
        <v>14057802.459999997</v>
      </c>
    </row>
    <row r="15" spans="1:3" x14ac:dyDescent="0.25">
      <c r="A15" s="88"/>
      <c r="B15" s="90" t="s">
        <v>237</v>
      </c>
      <c r="C15" s="91">
        <f>C14-C13</f>
        <v>5820663.5299999993</v>
      </c>
    </row>
    <row r="16" spans="1:3" x14ac:dyDescent="0.25">
      <c r="A16" s="88"/>
      <c r="B16" s="88"/>
      <c r="C16" s="88"/>
    </row>
    <row r="17" spans="1:3" x14ac:dyDescent="0.25">
      <c r="A17" s="88"/>
      <c r="B17" s="90" t="s">
        <v>205</v>
      </c>
      <c r="C17" s="91">
        <f>C11+C15</f>
        <v>9785218.7500000279</v>
      </c>
    </row>
    <row r="18" spans="1:3" x14ac:dyDescent="0.25">
      <c r="A18" s="88"/>
      <c r="B18" s="88"/>
      <c r="C18" s="88"/>
    </row>
    <row r="19" spans="1:3" x14ac:dyDescent="0.25">
      <c r="A19" s="88">
        <v>38</v>
      </c>
      <c r="B19" s="88" t="s">
        <v>120</v>
      </c>
      <c r="C19" s="89">
        <f>'MCH2'!BF57</f>
        <v>6661203.8000000007</v>
      </c>
    </row>
    <row r="20" spans="1:3" x14ac:dyDescent="0.25">
      <c r="A20" s="88">
        <v>48</v>
      </c>
      <c r="B20" s="88" t="s">
        <v>180</v>
      </c>
      <c r="C20" s="89">
        <f>'MCH2'!BF132</f>
        <v>4457240.22</v>
      </c>
    </row>
    <row r="21" spans="1:3" x14ac:dyDescent="0.25">
      <c r="A21" s="88"/>
      <c r="B21" s="90" t="s">
        <v>206</v>
      </c>
      <c r="C21" s="91">
        <f>C20-C19</f>
        <v>-2203963.580000001</v>
      </c>
    </row>
    <row r="22" spans="1:3" x14ac:dyDescent="0.25">
      <c r="A22" s="88"/>
      <c r="B22" s="88"/>
      <c r="C22" s="88"/>
    </row>
    <row r="23" spans="1:3" x14ac:dyDescent="0.25">
      <c r="A23" s="88"/>
      <c r="B23" s="90" t="s">
        <v>207</v>
      </c>
      <c r="C23" s="91">
        <f>C17+C21</f>
        <v>7581255.1700000269</v>
      </c>
    </row>
    <row r="26" spans="1:3" x14ac:dyDescent="0.25">
      <c r="A26" s="6" t="s">
        <v>210</v>
      </c>
    </row>
    <row r="27" spans="1:3" x14ac:dyDescent="0.25">
      <c r="A27" s="6" t="s">
        <v>853</v>
      </c>
    </row>
    <row r="29" spans="1:3" x14ac:dyDescent="0.25">
      <c r="A29" s="86" t="s">
        <v>199</v>
      </c>
      <c r="B29" s="86" t="s">
        <v>200</v>
      </c>
      <c r="C29" s="86" t="s">
        <v>201</v>
      </c>
    </row>
    <row r="30" spans="1:3" x14ac:dyDescent="0.25">
      <c r="A30" s="87" t="s">
        <v>208</v>
      </c>
      <c r="B30" s="88" t="s">
        <v>202</v>
      </c>
      <c r="C30" s="89">
        <f>'MCH2'!BG6+'MCH2'!BG16+'MCH2'!BG28+'MCH2'!BG40+'MCH2'!BG44+'MCH2'!BG54</f>
        <v>208314792.44999999</v>
      </c>
    </row>
    <row r="31" spans="1:3" x14ac:dyDescent="0.25">
      <c r="A31" s="87" t="s">
        <v>209</v>
      </c>
      <c r="B31" s="88" t="s">
        <v>203</v>
      </c>
      <c r="C31" s="89">
        <f>'MCH2'!BG77+'MCH2'!BG83+'MCH2'!BG89+'MCH2'!BG100+'MCH2'!BG118+'MCH2'!BG122+'MCH2'!BG129</f>
        <v>206418601.23999998</v>
      </c>
    </row>
    <row r="32" spans="1:3" x14ac:dyDescent="0.25">
      <c r="A32" s="88"/>
      <c r="B32" s="90" t="s">
        <v>204</v>
      </c>
      <c r="C32" s="91">
        <f>C31-C30</f>
        <v>-1896191.2100000083</v>
      </c>
    </row>
    <row r="33" spans="1:3" x14ac:dyDescent="0.25">
      <c r="A33" s="88"/>
      <c r="B33" s="88"/>
      <c r="C33" s="89"/>
    </row>
    <row r="34" spans="1:3" x14ac:dyDescent="0.25">
      <c r="A34" s="88">
        <v>34</v>
      </c>
      <c r="B34" s="88" t="s">
        <v>100</v>
      </c>
      <c r="C34" s="89">
        <f>'MCH2'!BG32</f>
        <v>4341042.33</v>
      </c>
    </row>
    <row r="35" spans="1:3" x14ac:dyDescent="0.25">
      <c r="A35" s="88">
        <v>44</v>
      </c>
      <c r="B35" s="88" t="s">
        <v>161</v>
      </c>
      <c r="C35" s="89">
        <f>'MCH2'!BG106</f>
        <v>6595461.5099999998</v>
      </c>
    </row>
    <row r="36" spans="1:3" x14ac:dyDescent="0.25">
      <c r="A36" s="88"/>
      <c r="B36" s="90" t="s">
        <v>237</v>
      </c>
      <c r="C36" s="91">
        <f>C35-C34</f>
        <v>2254419.1799999997</v>
      </c>
    </row>
    <row r="37" spans="1:3" x14ac:dyDescent="0.25">
      <c r="A37" s="88"/>
      <c r="B37" s="88"/>
      <c r="C37" s="89"/>
    </row>
    <row r="38" spans="1:3" x14ac:dyDescent="0.25">
      <c r="A38" s="88"/>
      <c r="B38" s="90" t="s">
        <v>205</v>
      </c>
      <c r="C38" s="91">
        <f>C32+C36</f>
        <v>358227.96999999136</v>
      </c>
    </row>
    <row r="39" spans="1:3" x14ac:dyDescent="0.25">
      <c r="A39" s="88"/>
      <c r="B39" s="88"/>
      <c r="C39" s="89"/>
    </row>
    <row r="40" spans="1:3" x14ac:dyDescent="0.25">
      <c r="A40" s="88">
        <v>38</v>
      </c>
      <c r="B40" s="88" t="s">
        <v>120</v>
      </c>
      <c r="C40" s="89">
        <f>'MCH2'!BG57</f>
        <v>2037127.7100000002</v>
      </c>
    </row>
    <row r="41" spans="1:3" x14ac:dyDescent="0.25">
      <c r="A41" s="88">
        <v>48</v>
      </c>
      <c r="B41" s="88" t="s">
        <v>180</v>
      </c>
      <c r="C41" s="89">
        <f>'MCH2'!BG132</f>
        <v>3424052.67</v>
      </c>
    </row>
    <row r="42" spans="1:3" x14ac:dyDescent="0.25">
      <c r="A42" s="88"/>
      <c r="B42" s="90" t="s">
        <v>206</v>
      </c>
      <c r="C42" s="91">
        <f>C41-C40</f>
        <v>1386924.9599999997</v>
      </c>
    </row>
    <row r="43" spans="1:3" x14ac:dyDescent="0.25">
      <c r="A43" s="88"/>
      <c r="B43" s="88"/>
      <c r="C43" s="89"/>
    </row>
    <row r="44" spans="1:3" x14ac:dyDescent="0.25">
      <c r="A44" s="88"/>
      <c r="B44" s="90" t="s">
        <v>207</v>
      </c>
      <c r="C44" s="91">
        <f>C38+C42</f>
        <v>1745152.9299999911</v>
      </c>
    </row>
    <row r="51" spans="1:3" x14ac:dyDescent="0.25">
      <c r="A51" s="6" t="s">
        <v>211</v>
      </c>
    </row>
    <row r="52" spans="1:3" x14ac:dyDescent="0.25">
      <c r="A52" s="6" t="s">
        <v>853</v>
      </c>
    </row>
    <row r="54" spans="1:3" x14ac:dyDescent="0.25">
      <c r="A54" s="86" t="s">
        <v>199</v>
      </c>
      <c r="B54" s="86" t="s">
        <v>200</v>
      </c>
      <c r="C54" s="86" t="s">
        <v>201</v>
      </c>
    </row>
    <row r="55" spans="1:3" x14ac:dyDescent="0.25">
      <c r="A55" s="87" t="s">
        <v>208</v>
      </c>
      <c r="B55" s="88" t="s">
        <v>202</v>
      </c>
      <c r="C55" s="89">
        <f>'MCH2'!BH6+'MCH2'!BH16+'MCH2'!BH28+'MCH2'!BH40+'MCH2'!BH44+'MCH2'!BH54</f>
        <v>57149645.989999995</v>
      </c>
    </row>
    <row r="56" spans="1:3" x14ac:dyDescent="0.25">
      <c r="A56" s="87" t="s">
        <v>209</v>
      </c>
      <c r="B56" s="88" t="s">
        <v>203</v>
      </c>
      <c r="C56" s="89">
        <f>'MCH2'!BH77+'MCH2'!BH83+'MCH2'!BH89+'MCH2'!BH100+'MCH2'!BH118+'MCH2'!BH122+'MCH2'!BH129</f>
        <v>62141909.640000001</v>
      </c>
    </row>
    <row r="57" spans="1:3" x14ac:dyDescent="0.25">
      <c r="A57" s="88"/>
      <c r="B57" s="90" t="s">
        <v>204</v>
      </c>
      <c r="C57" s="91">
        <f>C56-C55</f>
        <v>4992263.650000006</v>
      </c>
    </row>
    <row r="58" spans="1:3" x14ac:dyDescent="0.25">
      <c r="A58" s="88"/>
      <c r="B58" s="88"/>
      <c r="C58" s="89"/>
    </row>
    <row r="59" spans="1:3" x14ac:dyDescent="0.25">
      <c r="A59" s="88">
        <v>34</v>
      </c>
      <c r="B59" s="88" t="s">
        <v>100</v>
      </c>
      <c r="C59" s="89">
        <f>'MCH2'!BH32</f>
        <v>746654.79</v>
      </c>
    </row>
    <row r="60" spans="1:3" x14ac:dyDescent="0.25">
      <c r="A60" s="88">
        <v>44</v>
      </c>
      <c r="B60" s="88" t="s">
        <v>161</v>
      </c>
      <c r="C60" s="89">
        <f>'MCH2'!BH106</f>
        <v>1488570.35</v>
      </c>
    </row>
    <row r="61" spans="1:3" x14ac:dyDescent="0.25">
      <c r="A61" s="88"/>
      <c r="B61" s="90" t="s">
        <v>237</v>
      </c>
      <c r="C61" s="91">
        <f>C60-C59</f>
        <v>741915.56</v>
      </c>
    </row>
    <row r="62" spans="1:3" x14ac:dyDescent="0.25">
      <c r="A62" s="88"/>
      <c r="B62" s="88"/>
      <c r="C62" s="89"/>
    </row>
    <row r="63" spans="1:3" x14ac:dyDescent="0.25">
      <c r="A63" s="88"/>
      <c r="B63" s="90" t="s">
        <v>205</v>
      </c>
      <c r="C63" s="91">
        <f>C57+C61</f>
        <v>5734179.2100000065</v>
      </c>
    </row>
    <row r="64" spans="1:3" x14ac:dyDescent="0.25">
      <c r="A64" s="88"/>
      <c r="B64" s="88"/>
      <c r="C64" s="89"/>
    </row>
    <row r="65" spans="1:3" x14ac:dyDescent="0.25">
      <c r="A65" s="88">
        <v>38</v>
      </c>
      <c r="B65" s="88" t="s">
        <v>120</v>
      </c>
      <c r="C65" s="89">
        <f>'MCH2'!BH57</f>
        <v>1607370</v>
      </c>
    </row>
    <row r="66" spans="1:3" x14ac:dyDescent="0.25">
      <c r="A66" s="88">
        <v>48</v>
      </c>
      <c r="B66" s="88" t="s">
        <v>180</v>
      </c>
      <c r="C66" s="89">
        <f>'MCH2'!BH132</f>
        <v>25983.100000000002</v>
      </c>
    </row>
    <row r="67" spans="1:3" x14ac:dyDescent="0.25">
      <c r="A67" s="88"/>
      <c r="B67" s="90" t="s">
        <v>206</v>
      </c>
      <c r="C67" s="91">
        <f>C66-C65</f>
        <v>-1581386.9</v>
      </c>
    </row>
    <row r="68" spans="1:3" x14ac:dyDescent="0.25">
      <c r="A68" s="88"/>
      <c r="B68" s="88"/>
      <c r="C68" s="89"/>
    </row>
    <row r="69" spans="1:3" x14ac:dyDescent="0.25">
      <c r="A69" s="88"/>
      <c r="B69" s="90" t="s">
        <v>207</v>
      </c>
      <c r="C69" s="91">
        <f>C63+C67</f>
        <v>4152792.3100000066</v>
      </c>
    </row>
    <row r="72" spans="1:3" x14ac:dyDescent="0.25">
      <c r="A72" s="6" t="s">
        <v>212</v>
      </c>
    </row>
    <row r="73" spans="1:3" x14ac:dyDescent="0.25">
      <c r="A73" s="6" t="s">
        <v>853</v>
      </c>
    </row>
    <row r="75" spans="1:3" x14ac:dyDescent="0.25">
      <c r="A75" s="86" t="s">
        <v>199</v>
      </c>
      <c r="B75" s="86" t="s">
        <v>200</v>
      </c>
      <c r="C75" s="86" t="s">
        <v>201</v>
      </c>
    </row>
    <row r="76" spans="1:3" x14ac:dyDescent="0.25">
      <c r="A76" s="87" t="s">
        <v>208</v>
      </c>
      <c r="B76" s="88" t="s">
        <v>202</v>
      </c>
      <c r="C76" s="89">
        <f>'MCH2'!BI6+'MCH2'!BI16+'MCH2'!BI28+'MCH2'!BI40+'MCH2'!BI44+'MCH2'!BI54</f>
        <v>121338890.12999998</v>
      </c>
    </row>
    <row r="77" spans="1:3" x14ac:dyDescent="0.25">
      <c r="A77" s="87" t="s">
        <v>209</v>
      </c>
      <c r="B77" s="88" t="s">
        <v>203</v>
      </c>
      <c r="C77" s="89">
        <f>'MCH2'!BI77+'MCH2'!BI83+'MCH2'!BI89+'MCH2'!BI100+'MCH2'!BI118+'MCH2'!BI122+'MCH2'!BI129</f>
        <v>122207372.91000001</v>
      </c>
    </row>
    <row r="78" spans="1:3" x14ac:dyDescent="0.25">
      <c r="A78" s="88"/>
      <c r="B78" s="90" t="s">
        <v>204</v>
      </c>
      <c r="C78" s="91">
        <f>C77-C76</f>
        <v>868482.78000003099</v>
      </c>
    </row>
    <row r="79" spans="1:3" x14ac:dyDescent="0.25">
      <c r="A79" s="88"/>
      <c r="B79" s="88"/>
      <c r="C79" s="89"/>
    </row>
    <row r="80" spans="1:3" x14ac:dyDescent="0.25">
      <c r="A80" s="88">
        <v>34</v>
      </c>
      <c r="B80" s="88" t="s">
        <v>100</v>
      </c>
      <c r="C80" s="89">
        <f>'MCH2'!BI32</f>
        <v>3149441.8100000005</v>
      </c>
    </row>
    <row r="81" spans="1:3" x14ac:dyDescent="0.25">
      <c r="A81" s="88">
        <v>44</v>
      </c>
      <c r="B81" s="88" t="s">
        <v>161</v>
      </c>
      <c r="C81" s="89">
        <f>'MCH2'!BI106</f>
        <v>5973770.5999999996</v>
      </c>
    </row>
    <row r="82" spans="1:3" x14ac:dyDescent="0.25">
      <c r="A82" s="88"/>
      <c r="B82" s="90" t="s">
        <v>237</v>
      </c>
      <c r="C82" s="91">
        <f>C81-C80</f>
        <v>2824328.7899999991</v>
      </c>
    </row>
    <row r="83" spans="1:3" x14ac:dyDescent="0.25">
      <c r="A83" s="88"/>
      <c r="B83" s="88"/>
      <c r="C83" s="89"/>
    </row>
    <row r="84" spans="1:3" x14ac:dyDescent="0.25">
      <c r="A84" s="88"/>
      <c r="B84" s="90" t="s">
        <v>205</v>
      </c>
      <c r="C84" s="91">
        <f>C78+C82</f>
        <v>3692811.5700000301</v>
      </c>
    </row>
    <row r="85" spans="1:3" x14ac:dyDescent="0.25">
      <c r="A85" s="88"/>
      <c r="B85" s="88"/>
      <c r="C85" s="89"/>
    </row>
    <row r="86" spans="1:3" x14ac:dyDescent="0.25">
      <c r="A86" s="88">
        <v>38</v>
      </c>
      <c r="B86" s="88" t="s">
        <v>120</v>
      </c>
      <c r="C86" s="89">
        <f>'MCH2'!BI57</f>
        <v>3016706.0900000003</v>
      </c>
    </row>
    <row r="87" spans="1:3" x14ac:dyDescent="0.25">
      <c r="A87" s="88">
        <v>48</v>
      </c>
      <c r="B87" s="88" t="s">
        <v>180</v>
      </c>
      <c r="C87" s="89">
        <f>'MCH2'!BI132</f>
        <v>1007204.45</v>
      </c>
    </row>
    <row r="88" spans="1:3" x14ac:dyDescent="0.25">
      <c r="A88" s="88"/>
      <c r="B88" s="90" t="s">
        <v>206</v>
      </c>
      <c r="C88" s="91">
        <f>C87-C86</f>
        <v>-2009501.6400000004</v>
      </c>
    </row>
    <row r="89" spans="1:3" x14ac:dyDescent="0.25">
      <c r="A89" s="88"/>
      <c r="B89" s="88"/>
      <c r="C89" s="89"/>
    </row>
    <row r="90" spans="1:3" x14ac:dyDescent="0.25">
      <c r="A90" s="88"/>
      <c r="B90" s="90" t="s">
        <v>207</v>
      </c>
      <c r="C90" s="91">
        <f>C84+C88</f>
        <v>1683309.9300000297</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59999389629810485"/>
  </sheetPr>
  <dimension ref="A2:C28"/>
  <sheetViews>
    <sheetView workbookViewId="0"/>
  </sheetViews>
  <sheetFormatPr baseColWidth="10" defaultColWidth="11.44140625" defaultRowHeight="13.8" x14ac:dyDescent="0.25"/>
  <cols>
    <col min="1" max="1" width="21.88671875" style="7" customWidth="1"/>
    <col min="2" max="2" width="40.44140625" style="7" customWidth="1"/>
    <col min="3" max="3" width="22.88671875" style="7" customWidth="1"/>
    <col min="4" max="16384" width="11.44140625" style="7"/>
  </cols>
  <sheetData>
    <row r="2" spans="1:3" ht="21" x14ac:dyDescent="0.4">
      <c r="A2" s="79" t="s">
        <v>825</v>
      </c>
    </row>
    <row r="5" spans="1:3" ht="14.4" thickBot="1" x14ac:dyDescent="0.3">
      <c r="B5" s="7" t="s">
        <v>587</v>
      </c>
    </row>
    <row r="6" spans="1:3" ht="14.4" thickBot="1" x14ac:dyDescent="0.3">
      <c r="B6" s="83" t="s">
        <v>49</v>
      </c>
    </row>
    <row r="8" spans="1:3" x14ac:dyDescent="0.25">
      <c r="A8" s="86" t="s">
        <v>199</v>
      </c>
      <c r="B8" s="86" t="s">
        <v>200</v>
      </c>
      <c r="C8" s="86" t="s">
        <v>201</v>
      </c>
    </row>
    <row r="9" spans="1:3" x14ac:dyDescent="0.25">
      <c r="A9" s="87" t="s">
        <v>208</v>
      </c>
      <c r="B9" s="88" t="s">
        <v>202</v>
      </c>
      <c r="C9" s="89">
        <f>HLOOKUP($B$6,'MCH2'!$E$4:$BE$174,169,0)</f>
        <v>6572096.5199999996</v>
      </c>
    </row>
    <row r="10" spans="1:3" x14ac:dyDescent="0.25">
      <c r="A10" s="87" t="s">
        <v>209</v>
      </c>
      <c r="B10" s="88" t="s">
        <v>203</v>
      </c>
      <c r="C10" s="89">
        <f>HLOOKUP($B$6,'MCH2'!$E$4:$BE$174,170,0)</f>
        <v>6555006.5499999998</v>
      </c>
    </row>
    <row r="11" spans="1:3" x14ac:dyDescent="0.25">
      <c r="A11" s="88"/>
      <c r="B11" s="90" t="s">
        <v>204</v>
      </c>
      <c r="C11" s="91">
        <f>C10-C9</f>
        <v>-17089.969999999739</v>
      </c>
    </row>
    <row r="12" spans="1:3" x14ac:dyDescent="0.25">
      <c r="A12" s="88"/>
      <c r="B12" s="88"/>
      <c r="C12" s="88"/>
    </row>
    <row r="13" spans="1:3" x14ac:dyDescent="0.25">
      <c r="A13" s="88">
        <v>34</v>
      </c>
      <c r="B13" s="88" t="s">
        <v>100</v>
      </c>
      <c r="C13" s="89">
        <f>HLOOKUP($B$6,'MCH2'!$E$4:$BE$174,29,0)</f>
        <v>293334.28999999998</v>
      </c>
    </row>
    <row r="14" spans="1:3" x14ac:dyDescent="0.25">
      <c r="A14" s="88">
        <v>44</v>
      </c>
      <c r="B14" s="88" t="s">
        <v>161</v>
      </c>
      <c r="C14" s="89">
        <f>HLOOKUP($B$6,'MCH2'!$E$4:$BE$174,103,0)</f>
        <v>166051.41</v>
      </c>
    </row>
    <row r="15" spans="1:3" x14ac:dyDescent="0.25">
      <c r="A15" s="88"/>
      <c r="B15" s="90" t="s">
        <v>237</v>
      </c>
      <c r="C15" s="91">
        <f>C14-C13</f>
        <v>-127282.87999999998</v>
      </c>
    </row>
    <row r="16" spans="1:3" x14ac:dyDescent="0.25">
      <c r="A16" s="88"/>
      <c r="B16" s="88"/>
      <c r="C16" s="88"/>
    </row>
    <row r="17" spans="1:3" x14ac:dyDescent="0.25">
      <c r="A17" s="88"/>
      <c r="B17" s="90" t="s">
        <v>205</v>
      </c>
      <c r="C17" s="91">
        <f>C11+C15</f>
        <v>-144372.84999999971</v>
      </c>
    </row>
    <row r="18" spans="1:3" x14ac:dyDescent="0.25">
      <c r="A18" s="88"/>
      <c r="B18" s="88"/>
      <c r="C18" s="88"/>
    </row>
    <row r="19" spans="1:3" x14ac:dyDescent="0.25">
      <c r="A19" s="88">
        <v>38</v>
      </c>
      <c r="B19" s="88" t="s">
        <v>120</v>
      </c>
      <c r="C19" s="89">
        <f>HLOOKUP($B$6,'MCH2'!$E$4:$BE$174,54,0)</f>
        <v>0</v>
      </c>
    </row>
    <row r="20" spans="1:3" x14ac:dyDescent="0.25">
      <c r="A20" s="88">
        <v>48</v>
      </c>
      <c r="B20" s="88" t="s">
        <v>180</v>
      </c>
      <c r="C20" s="89">
        <f>HLOOKUP($B$6,'MCH2'!$E$4:$BE$174,129,0)</f>
        <v>151597</v>
      </c>
    </row>
    <row r="21" spans="1:3" x14ac:dyDescent="0.25">
      <c r="A21" s="88"/>
      <c r="B21" s="90" t="s">
        <v>206</v>
      </c>
      <c r="C21" s="91">
        <f>C20-C19</f>
        <v>151597</v>
      </c>
    </row>
    <row r="22" spans="1:3" x14ac:dyDescent="0.25">
      <c r="A22" s="88"/>
      <c r="B22" s="88"/>
      <c r="C22" s="88"/>
    </row>
    <row r="23" spans="1:3" x14ac:dyDescent="0.25">
      <c r="A23" s="88"/>
      <c r="B23" s="90" t="s">
        <v>207</v>
      </c>
      <c r="C23" s="91">
        <f>C17+C21</f>
        <v>7224.1500000002852</v>
      </c>
    </row>
    <row r="26" spans="1:3" x14ac:dyDescent="0.25">
      <c r="C26" s="15"/>
    </row>
    <row r="27" spans="1:3" x14ac:dyDescent="0.25">
      <c r="C27" s="12"/>
    </row>
    <row r="28" spans="1:3" x14ac:dyDescent="0.25">
      <c r="C28" s="15"/>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'MCH2'!$E$4:$BE$4</xm:f>
          </x14:formula1>
          <xm:sqref>B6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59999389629810485"/>
  </sheetPr>
  <dimension ref="A2:D92"/>
  <sheetViews>
    <sheetView workbookViewId="0"/>
  </sheetViews>
  <sheetFormatPr baseColWidth="10" defaultColWidth="11.44140625" defaultRowHeight="13.8" x14ac:dyDescent="0.25"/>
  <cols>
    <col min="1" max="1" width="9.44140625" style="7" customWidth="1"/>
    <col min="2" max="2" width="3.33203125" style="7" customWidth="1"/>
    <col min="3" max="3" width="63.33203125" style="7" customWidth="1"/>
    <col min="4" max="4" width="15.33203125" style="7" customWidth="1"/>
    <col min="5" max="16384" width="11.44140625" style="7"/>
  </cols>
  <sheetData>
    <row r="2" spans="1:4" ht="21" x14ac:dyDescent="0.4">
      <c r="A2" s="79" t="s">
        <v>221</v>
      </c>
    </row>
    <row r="5" spans="1:4" x14ac:dyDescent="0.25">
      <c r="A5" s="6" t="s">
        <v>198</v>
      </c>
    </row>
    <row r="6" spans="1:4" x14ac:dyDescent="0.25">
      <c r="A6" s="6" t="s">
        <v>854</v>
      </c>
    </row>
    <row r="8" spans="1:4" x14ac:dyDescent="0.25">
      <c r="A8" s="86" t="s">
        <v>222</v>
      </c>
      <c r="B8" s="86"/>
      <c r="C8" s="86" t="s">
        <v>200</v>
      </c>
      <c r="D8" s="86" t="s">
        <v>201</v>
      </c>
    </row>
    <row r="9" spans="1:4" x14ac:dyDescent="0.25">
      <c r="A9" s="88">
        <v>90</v>
      </c>
      <c r="B9" s="92"/>
      <c r="C9" s="88" t="s">
        <v>194</v>
      </c>
      <c r="D9" s="89">
        <f>'MCH2'!BF154</f>
        <v>7588581.0899999999</v>
      </c>
    </row>
    <row r="10" spans="1:4" x14ac:dyDescent="0.25">
      <c r="A10" s="88">
        <v>33</v>
      </c>
      <c r="B10" s="92" t="s">
        <v>224</v>
      </c>
      <c r="C10" s="88" t="s">
        <v>97</v>
      </c>
      <c r="D10" s="89">
        <f>'MCH2'!BF28</f>
        <v>25063351.139999997</v>
      </c>
    </row>
    <row r="11" spans="1:4" x14ac:dyDescent="0.25">
      <c r="A11" s="88">
        <v>35</v>
      </c>
      <c r="B11" s="92" t="s">
        <v>224</v>
      </c>
      <c r="C11" s="88" t="s">
        <v>226</v>
      </c>
      <c r="D11" s="89">
        <f>'MCH2'!BF40</f>
        <v>2809245.6700000009</v>
      </c>
    </row>
    <row r="12" spans="1:4" x14ac:dyDescent="0.25">
      <c r="A12" s="88">
        <v>45</v>
      </c>
      <c r="B12" s="92" t="s">
        <v>225</v>
      </c>
      <c r="C12" s="88" t="s">
        <v>173</v>
      </c>
      <c r="D12" s="89">
        <f>'MCH2'!BF118</f>
        <v>4005363.81</v>
      </c>
    </row>
    <row r="13" spans="1:4" x14ac:dyDescent="0.25">
      <c r="A13" s="88">
        <v>364</v>
      </c>
      <c r="B13" s="92" t="s">
        <v>224</v>
      </c>
      <c r="C13" s="88" t="s">
        <v>233</v>
      </c>
      <c r="D13" s="89">
        <f>'MCH2'!BF49</f>
        <v>0</v>
      </c>
    </row>
    <row r="14" spans="1:4" x14ac:dyDescent="0.25">
      <c r="A14" s="88">
        <v>365</v>
      </c>
      <c r="B14" s="92" t="s">
        <v>224</v>
      </c>
      <c r="C14" s="88" t="s">
        <v>234</v>
      </c>
      <c r="D14" s="89">
        <f>'MCH2'!BF50</f>
        <v>21100</v>
      </c>
    </row>
    <row r="15" spans="1:4" x14ac:dyDescent="0.25">
      <c r="A15" s="88">
        <v>366</v>
      </c>
      <c r="B15" s="92" t="s">
        <v>224</v>
      </c>
      <c r="C15" s="88" t="s">
        <v>231</v>
      </c>
      <c r="D15" s="89">
        <f>'MCH2'!BF51</f>
        <v>376170.38</v>
      </c>
    </row>
    <row r="16" spans="1:4" x14ac:dyDescent="0.25">
      <c r="A16" s="88">
        <v>389</v>
      </c>
      <c r="B16" s="92" t="s">
        <v>224</v>
      </c>
      <c r="C16" s="88" t="s">
        <v>227</v>
      </c>
      <c r="D16" s="89">
        <f>'MCH2'!BF63</f>
        <v>6649597.2200000007</v>
      </c>
    </row>
    <row r="17" spans="1:4" x14ac:dyDescent="0.25">
      <c r="A17" s="88">
        <v>4490</v>
      </c>
      <c r="B17" s="92" t="s">
        <v>225</v>
      </c>
      <c r="C17" s="88" t="s">
        <v>235</v>
      </c>
      <c r="D17" s="89">
        <f>'MCH2'!BF165</f>
        <v>0</v>
      </c>
    </row>
    <row r="18" spans="1:4" x14ac:dyDescent="0.25">
      <c r="A18" s="88">
        <v>489</v>
      </c>
      <c r="B18" s="92" t="s">
        <v>225</v>
      </c>
      <c r="C18" s="88" t="s">
        <v>232</v>
      </c>
      <c r="D18" s="89">
        <f>'MCH2'!BF139</f>
        <v>4389613.17</v>
      </c>
    </row>
    <row r="19" spans="1:4" x14ac:dyDescent="0.25">
      <c r="A19" s="88"/>
      <c r="B19" s="92"/>
      <c r="C19" s="88"/>
      <c r="D19" s="89"/>
    </row>
    <row r="20" spans="1:4" x14ac:dyDescent="0.25">
      <c r="A20" s="93"/>
      <c r="B20" s="93"/>
      <c r="C20" s="90" t="s">
        <v>228</v>
      </c>
      <c r="D20" s="91">
        <f>D9+D10+D11-D12+D13+D14+D15+D16-D17-D18</f>
        <v>34113068.519999996</v>
      </c>
    </row>
    <row r="21" spans="1:4" x14ac:dyDescent="0.25">
      <c r="A21" s="88"/>
      <c r="B21" s="88"/>
      <c r="C21" s="88"/>
      <c r="D21" s="89"/>
    </row>
    <row r="22" spans="1:4" x14ac:dyDescent="0.25">
      <c r="A22" s="88" t="s">
        <v>223</v>
      </c>
      <c r="B22" s="94" t="s">
        <v>225</v>
      </c>
      <c r="C22" s="88" t="s">
        <v>229</v>
      </c>
      <c r="D22" s="89">
        <f>'6.1 Investissements'!BF183</f>
        <v>45320599.660000011</v>
      </c>
    </row>
    <row r="23" spans="1:4" x14ac:dyDescent="0.25">
      <c r="A23" s="88"/>
      <c r="B23" s="88"/>
      <c r="C23" s="88"/>
      <c r="D23" s="89"/>
    </row>
    <row r="24" spans="1:4" x14ac:dyDescent="0.25">
      <c r="A24" s="93"/>
      <c r="B24" s="93"/>
      <c r="C24" s="90" t="s">
        <v>230</v>
      </c>
      <c r="D24" s="91">
        <f>D20-D22</f>
        <v>-11207531.140000015</v>
      </c>
    </row>
    <row r="27" spans="1:4" x14ac:dyDescent="0.25">
      <c r="A27" s="6" t="s">
        <v>210</v>
      </c>
    </row>
    <row r="28" spans="1:4" x14ac:dyDescent="0.25">
      <c r="A28" s="6" t="s">
        <v>854</v>
      </c>
    </row>
    <row r="30" spans="1:4" x14ac:dyDescent="0.25">
      <c r="A30" s="86" t="s">
        <v>222</v>
      </c>
      <c r="B30" s="86"/>
      <c r="C30" s="86" t="s">
        <v>200</v>
      </c>
      <c r="D30" s="86" t="s">
        <v>201</v>
      </c>
    </row>
    <row r="31" spans="1:4" x14ac:dyDescent="0.25">
      <c r="A31" s="88">
        <v>90</v>
      </c>
      <c r="B31" s="92"/>
      <c r="C31" s="88" t="s">
        <v>194</v>
      </c>
      <c r="D31" s="89">
        <f>'MCH2'!BG154</f>
        <v>1754727.4000000013</v>
      </c>
    </row>
    <row r="32" spans="1:4" x14ac:dyDescent="0.25">
      <c r="A32" s="88">
        <v>33</v>
      </c>
      <c r="B32" s="92" t="s">
        <v>224</v>
      </c>
      <c r="C32" s="88" t="s">
        <v>97</v>
      </c>
      <c r="D32" s="89">
        <f>'MCH2'!BG28</f>
        <v>12902802.52</v>
      </c>
    </row>
    <row r="33" spans="1:4" x14ac:dyDescent="0.25">
      <c r="A33" s="88">
        <v>35</v>
      </c>
      <c r="B33" s="92" t="s">
        <v>224</v>
      </c>
      <c r="C33" s="88" t="s">
        <v>226</v>
      </c>
      <c r="D33" s="89">
        <f>'MCH2'!BG40</f>
        <v>1479143.1</v>
      </c>
    </row>
    <row r="34" spans="1:4" x14ac:dyDescent="0.25">
      <c r="A34" s="88">
        <v>45</v>
      </c>
      <c r="B34" s="92" t="s">
        <v>225</v>
      </c>
      <c r="C34" s="88" t="s">
        <v>173</v>
      </c>
      <c r="D34" s="89">
        <f>'MCH2'!BG118</f>
        <v>1358125.45</v>
      </c>
    </row>
    <row r="35" spans="1:4" x14ac:dyDescent="0.25">
      <c r="A35" s="88">
        <v>364</v>
      </c>
      <c r="B35" s="92" t="s">
        <v>224</v>
      </c>
      <c r="C35" s="88" t="s">
        <v>233</v>
      </c>
      <c r="D35" s="89">
        <f>'MCH2'!BG49</f>
        <v>0</v>
      </c>
    </row>
    <row r="36" spans="1:4" x14ac:dyDescent="0.25">
      <c r="A36" s="88">
        <v>365</v>
      </c>
      <c r="B36" s="92" t="s">
        <v>224</v>
      </c>
      <c r="C36" s="88" t="s">
        <v>234</v>
      </c>
      <c r="D36" s="89">
        <f>'MCH2'!BG50</f>
        <v>8100</v>
      </c>
    </row>
    <row r="37" spans="1:4" x14ac:dyDescent="0.25">
      <c r="A37" s="88">
        <v>366</v>
      </c>
      <c r="B37" s="92" t="s">
        <v>224</v>
      </c>
      <c r="C37" s="88" t="s">
        <v>231</v>
      </c>
      <c r="D37" s="89">
        <f>'MCH2'!BG51</f>
        <v>369722.38</v>
      </c>
    </row>
    <row r="38" spans="1:4" x14ac:dyDescent="0.25">
      <c r="A38" s="88">
        <v>389</v>
      </c>
      <c r="B38" s="92" t="s">
        <v>224</v>
      </c>
      <c r="C38" s="88" t="s">
        <v>227</v>
      </c>
      <c r="D38" s="89">
        <f>'MCH2'!BG63</f>
        <v>2028637.1</v>
      </c>
    </row>
    <row r="39" spans="1:4" x14ac:dyDescent="0.25">
      <c r="A39" s="88">
        <v>4490</v>
      </c>
      <c r="B39" s="92" t="s">
        <v>225</v>
      </c>
      <c r="C39" s="88" t="s">
        <v>235</v>
      </c>
      <c r="D39" s="89">
        <f>'MCH2'!BG165</f>
        <v>0</v>
      </c>
    </row>
    <row r="40" spans="1:4" x14ac:dyDescent="0.25">
      <c r="A40" s="88">
        <v>489</v>
      </c>
      <c r="B40" s="92" t="s">
        <v>225</v>
      </c>
      <c r="C40" s="88" t="s">
        <v>232</v>
      </c>
      <c r="D40" s="89">
        <f>'MCH2'!BG139</f>
        <v>3383269.17</v>
      </c>
    </row>
    <row r="41" spans="1:4" x14ac:dyDescent="0.25">
      <c r="A41" s="88"/>
      <c r="B41" s="92"/>
      <c r="C41" s="88"/>
      <c r="D41" s="89"/>
    </row>
    <row r="42" spans="1:4" x14ac:dyDescent="0.25">
      <c r="A42" s="93"/>
      <c r="B42" s="93"/>
      <c r="C42" s="90" t="s">
        <v>228</v>
      </c>
      <c r="D42" s="91">
        <f>D31+D32+D33-D34+D35+D36+D37+D38-D39-D40</f>
        <v>13801737.880000005</v>
      </c>
    </row>
    <row r="43" spans="1:4" x14ac:dyDescent="0.25">
      <c r="A43" s="88"/>
      <c r="B43" s="88"/>
      <c r="C43" s="88"/>
      <c r="D43" s="89"/>
    </row>
    <row r="44" spans="1:4" x14ac:dyDescent="0.25">
      <c r="A44" s="88" t="s">
        <v>223</v>
      </c>
      <c r="B44" s="94" t="s">
        <v>225</v>
      </c>
      <c r="C44" s="88" t="s">
        <v>229</v>
      </c>
      <c r="D44" s="89">
        <f>'6.1 Investissements'!BG183</f>
        <v>23354463.839999996</v>
      </c>
    </row>
    <row r="45" spans="1:4" x14ac:dyDescent="0.25">
      <c r="A45" s="88"/>
      <c r="B45" s="88"/>
      <c r="C45" s="88"/>
      <c r="D45" s="89"/>
    </row>
    <row r="46" spans="1:4" x14ac:dyDescent="0.25">
      <c r="A46" s="93"/>
      <c r="B46" s="93"/>
      <c r="C46" s="90" t="s">
        <v>230</v>
      </c>
      <c r="D46" s="91">
        <f>D42-D44</f>
        <v>-9552725.9599999916</v>
      </c>
    </row>
    <row r="51" spans="1:4" x14ac:dyDescent="0.25">
      <c r="A51" s="6" t="s">
        <v>211</v>
      </c>
    </row>
    <row r="52" spans="1:4" x14ac:dyDescent="0.25">
      <c r="A52" s="6" t="s">
        <v>854</v>
      </c>
    </row>
    <row r="54" spans="1:4" x14ac:dyDescent="0.25">
      <c r="A54" s="86" t="s">
        <v>222</v>
      </c>
      <c r="B54" s="86"/>
      <c r="C54" s="86" t="s">
        <v>200</v>
      </c>
      <c r="D54" s="86" t="s">
        <v>201</v>
      </c>
    </row>
    <row r="55" spans="1:4" x14ac:dyDescent="0.25">
      <c r="A55" s="88">
        <v>90</v>
      </c>
      <c r="B55" s="92"/>
      <c r="C55" s="88" t="s">
        <v>194</v>
      </c>
      <c r="D55" s="89">
        <f>'MCH2'!BH154</f>
        <v>4152195.66</v>
      </c>
    </row>
    <row r="56" spans="1:4" x14ac:dyDescent="0.25">
      <c r="A56" s="88">
        <v>33</v>
      </c>
      <c r="B56" s="92" t="s">
        <v>224</v>
      </c>
      <c r="C56" s="88" t="s">
        <v>97</v>
      </c>
      <c r="D56" s="89">
        <f>'MCH2'!BH28</f>
        <v>3327280.6099999994</v>
      </c>
    </row>
    <row r="57" spans="1:4" x14ac:dyDescent="0.25">
      <c r="A57" s="88">
        <v>35</v>
      </c>
      <c r="B57" s="92" t="s">
        <v>224</v>
      </c>
      <c r="C57" s="88" t="s">
        <v>226</v>
      </c>
      <c r="D57" s="89">
        <f>'MCH2'!BH40</f>
        <v>327291.90999999997</v>
      </c>
    </row>
    <row r="58" spans="1:4" x14ac:dyDescent="0.25">
      <c r="A58" s="88">
        <v>45</v>
      </c>
      <c r="B58" s="92" t="s">
        <v>225</v>
      </c>
      <c r="C58" s="88" t="s">
        <v>173</v>
      </c>
      <c r="D58" s="89">
        <f>'MCH2'!BH118</f>
        <v>678557.59000000008</v>
      </c>
    </row>
    <row r="59" spans="1:4" x14ac:dyDescent="0.25">
      <c r="A59" s="88">
        <v>364</v>
      </c>
      <c r="B59" s="92" t="s">
        <v>224</v>
      </c>
      <c r="C59" s="88" t="s">
        <v>233</v>
      </c>
      <c r="D59" s="89">
        <f>'MCH2'!BH49</f>
        <v>0</v>
      </c>
    </row>
    <row r="60" spans="1:4" x14ac:dyDescent="0.25">
      <c r="A60" s="88">
        <v>365</v>
      </c>
      <c r="B60" s="92" t="s">
        <v>224</v>
      </c>
      <c r="C60" s="88" t="s">
        <v>234</v>
      </c>
      <c r="D60" s="89">
        <f>'MCH2'!BH50</f>
        <v>0</v>
      </c>
    </row>
    <row r="61" spans="1:4" x14ac:dyDescent="0.25">
      <c r="A61" s="88">
        <v>366</v>
      </c>
      <c r="B61" s="92" t="s">
        <v>224</v>
      </c>
      <c r="C61" s="88" t="s">
        <v>231</v>
      </c>
      <c r="D61" s="89">
        <f>'MCH2'!BH51</f>
        <v>0</v>
      </c>
    </row>
    <row r="62" spans="1:4" x14ac:dyDescent="0.25">
      <c r="A62" s="88">
        <v>389</v>
      </c>
      <c r="B62" s="92" t="s">
        <v>224</v>
      </c>
      <c r="C62" s="88" t="s">
        <v>227</v>
      </c>
      <c r="D62" s="89">
        <f>'MCH2'!BH63</f>
        <v>1605000</v>
      </c>
    </row>
    <row r="63" spans="1:4" x14ac:dyDescent="0.25">
      <c r="A63" s="88">
        <v>4490</v>
      </c>
      <c r="B63" s="92" t="s">
        <v>225</v>
      </c>
      <c r="C63" s="88" t="s">
        <v>235</v>
      </c>
      <c r="D63" s="89">
        <f>'MCH2'!BH165</f>
        <v>0</v>
      </c>
    </row>
    <row r="64" spans="1:4" x14ac:dyDescent="0.25">
      <c r="A64" s="88">
        <v>489</v>
      </c>
      <c r="B64" s="92" t="s">
        <v>225</v>
      </c>
      <c r="C64" s="88" t="s">
        <v>232</v>
      </c>
      <c r="D64" s="89">
        <f>'MCH2'!BH139</f>
        <v>96</v>
      </c>
    </row>
    <row r="65" spans="1:4" x14ac:dyDescent="0.25">
      <c r="A65" s="88"/>
      <c r="B65" s="92"/>
      <c r="C65" s="88"/>
      <c r="D65" s="89"/>
    </row>
    <row r="66" spans="1:4" x14ac:dyDescent="0.25">
      <c r="A66" s="93"/>
      <c r="B66" s="93"/>
      <c r="C66" s="90" t="s">
        <v>228</v>
      </c>
      <c r="D66" s="91">
        <f>D55+D56+D57-D58+D59+D60+D61+D62-D63-D64</f>
        <v>8733114.5899999999</v>
      </c>
    </row>
    <row r="67" spans="1:4" x14ac:dyDescent="0.25">
      <c r="A67" s="88"/>
      <c r="B67" s="88"/>
      <c r="C67" s="88"/>
      <c r="D67" s="89"/>
    </row>
    <row r="68" spans="1:4" x14ac:dyDescent="0.25">
      <c r="A68" s="88" t="s">
        <v>223</v>
      </c>
      <c r="B68" s="94" t="s">
        <v>225</v>
      </c>
      <c r="C68" s="88" t="s">
        <v>229</v>
      </c>
      <c r="D68" s="89">
        <f>'6.1 Investissements'!BH183</f>
        <v>5580817.7000000011</v>
      </c>
    </row>
    <row r="69" spans="1:4" x14ac:dyDescent="0.25">
      <c r="A69" s="88"/>
      <c r="B69" s="88"/>
      <c r="C69" s="88"/>
      <c r="D69" s="89"/>
    </row>
    <row r="70" spans="1:4" x14ac:dyDescent="0.25">
      <c r="A70" s="93"/>
      <c r="B70" s="93"/>
      <c r="C70" s="90" t="s">
        <v>230</v>
      </c>
      <c r="D70" s="91">
        <f>D66-D68</f>
        <v>3152296.8899999987</v>
      </c>
    </row>
    <row r="73" spans="1:4" x14ac:dyDescent="0.25">
      <c r="A73" s="6" t="s">
        <v>212</v>
      </c>
    </row>
    <row r="74" spans="1:4" x14ac:dyDescent="0.25">
      <c r="A74" s="6" t="s">
        <v>854</v>
      </c>
    </row>
    <row r="76" spans="1:4" x14ac:dyDescent="0.25">
      <c r="A76" s="86" t="s">
        <v>222</v>
      </c>
      <c r="B76" s="86"/>
      <c r="C76" s="86" t="s">
        <v>200</v>
      </c>
      <c r="D76" s="86" t="s">
        <v>201</v>
      </c>
    </row>
    <row r="77" spans="1:4" x14ac:dyDescent="0.25">
      <c r="A77" s="88">
        <v>90</v>
      </c>
      <c r="B77" s="92"/>
      <c r="C77" s="88" t="s">
        <v>194</v>
      </c>
      <c r="D77" s="89">
        <f>'MCH2'!BI154</f>
        <v>1681658.0299999998</v>
      </c>
    </row>
    <row r="78" spans="1:4" x14ac:dyDescent="0.25">
      <c r="A78" s="88">
        <v>33</v>
      </c>
      <c r="B78" s="92" t="s">
        <v>224</v>
      </c>
      <c r="C78" s="88" t="s">
        <v>97</v>
      </c>
      <c r="D78" s="89">
        <f>'MCH2'!BI28</f>
        <v>8833268.0099999998</v>
      </c>
    </row>
    <row r="79" spans="1:4" x14ac:dyDescent="0.25">
      <c r="A79" s="88">
        <v>35</v>
      </c>
      <c r="B79" s="92" t="s">
        <v>224</v>
      </c>
      <c r="C79" s="88" t="s">
        <v>226</v>
      </c>
      <c r="D79" s="89">
        <f>'MCH2'!BI40</f>
        <v>1002810.6599999999</v>
      </c>
    </row>
    <row r="80" spans="1:4" x14ac:dyDescent="0.25">
      <c r="A80" s="88">
        <v>45</v>
      </c>
      <c r="B80" s="92" t="s">
        <v>225</v>
      </c>
      <c r="C80" s="88" t="s">
        <v>173</v>
      </c>
      <c r="D80" s="89">
        <f>'MCH2'!BI118</f>
        <v>1968680.77</v>
      </c>
    </row>
    <row r="81" spans="1:4" x14ac:dyDescent="0.25">
      <c r="A81" s="88">
        <v>364</v>
      </c>
      <c r="B81" s="92" t="s">
        <v>224</v>
      </c>
      <c r="C81" s="88" t="s">
        <v>233</v>
      </c>
      <c r="D81" s="89">
        <f>'MCH2'!BI49</f>
        <v>0</v>
      </c>
    </row>
    <row r="82" spans="1:4" x14ac:dyDescent="0.25">
      <c r="A82" s="88">
        <v>365</v>
      </c>
      <c r="B82" s="92" t="s">
        <v>224</v>
      </c>
      <c r="C82" s="88" t="s">
        <v>234</v>
      </c>
      <c r="D82" s="89">
        <f>'MCH2'!BI50</f>
        <v>13000</v>
      </c>
    </row>
    <row r="83" spans="1:4" x14ac:dyDescent="0.25">
      <c r="A83" s="88">
        <v>366</v>
      </c>
      <c r="B83" s="92" t="s">
        <v>224</v>
      </c>
      <c r="C83" s="88" t="s">
        <v>231</v>
      </c>
      <c r="D83" s="89">
        <f>'MCH2'!BI51</f>
        <v>6448</v>
      </c>
    </row>
    <row r="84" spans="1:4" x14ac:dyDescent="0.25">
      <c r="A84" s="88">
        <v>389</v>
      </c>
      <c r="B84" s="92" t="s">
        <v>224</v>
      </c>
      <c r="C84" s="88" t="s">
        <v>227</v>
      </c>
      <c r="D84" s="89">
        <f>'MCH2'!BI63</f>
        <v>3015960.12</v>
      </c>
    </row>
    <row r="85" spans="1:4" x14ac:dyDescent="0.25">
      <c r="A85" s="88">
        <v>4490</v>
      </c>
      <c r="B85" s="92" t="s">
        <v>225</v>
      </c>
      <c r="C85" s="88" t="s">
        <v>235</v>
      </c>
      <c r="D85" s="89">
        <f>'MCH2'!BI165</f>
        <v>0</v>
      </c>
    </row>
    <row r="86" spans="1:4" x14ac:dyDescent="0.25">
      <c r="A86" s="88">
        <v>489</v>
      </c>
      <c r="B86" s="92" t="s">
        <v>225</v>
      </c>
      <c r="C86" s="88" t="s">
        <v>232</v>
      </c>
      <c r="D86" s="89">
        <f>'MCH2'!BI139</f>
        <v>1006248</v>
      </c>
    </row>
    <row r="87" spans="1:4" x14ac:dyDescent="0.25">
      <c r="A87" s="88"/>
      <c r="B87" s="92"/>
      <c r="C87" s="88"/>
      <c r="D87" s="89"/>
    </row>
    <row r="88" spans="1:4" x14ac:dyDescent="0.25">
      <c r="A88" s="93"/>
      <c r="B88" s="93"/>
      <c r="C88" s="90" t="s">
        <v>228</v>
      </c>
      <c r="D88" s="91">
        <f>D77+D78+D79-D80+D81+D82+D83+D84-D85-D86</f>
        <v>11578216.050000001</v>
      </c>
    </row>
    <row r="89" spans="1:4" x14ac:dyDescent="0.25">
      <c r="A89" s="88"/>
      <c r="B89" s="88"/>
      <c r="C89" s="88"/>
      <c r="D89" s="89"/>
    </row>
    <row r="90" spans="1:4" x14ac:dyDescent="0.25">
      <c r="A90" s="88" t="s">
        <v>223</v>
      </c>
      <c r="B90" s="94" t="s">
        <v>225</v>
      </c>
      <c r="C90" s="88" t="s">
        <v>229</v>
      </c>
      <c r="D90" s="89">
        <f>'6.1 Investissements'!BI183</f>
        <v>16385318.120000001</v>
      </c>
    </row>
    <row r="91" spans="1:4" x14ac:dyDescent="0.25">
      <c r="A91" s="88"/>
      <c r="B91" s="88"/>
      <c r="C91" s="88"/>
      <c r="D91" s="89"/>
    </row>
    <row r="92" spans="1:4" x14ac:dyDescent="0.25">
      <c r="A92" s="93"/>
      <c r="B92" s="93"/>
      <c r="C92" s="90" t="s">
        <v>230</v>
      </c>
      <c r="D92" s="91">
        <f>D88-D90</f>
        <v>-4807102.07</v>
      </c>
    </row>
  </sheetData>
  <pageMargins left="0.25" right="0.25"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7" tint="0.59999389629810485"/>
    <pageSetUpPr fitToPage="1"/>
  </sheetPr>
  <dimension ref="A2:E24"/>
  <sheetViews>
    <sheetView workbookViewId="0"/>
  </sheetViews>
  <sheetFormatPr baseColWidth="10" defaultColWidth="11.44140625" defaultRowHeight="13.8" x14ac:dyDescent="0.25"/>
  <cols>
    <col min="1" max="2" width="11.44140625" style="7"/>
    <col min="3" max="3" width="6" style="7" customWidth="1"/>
    <col min="4" max="4" width="65" style="7" customWidth="1"/>
    <col min="5" max="5" width="16.88671875" style="7" customWidth="1"/>
    <col min="6" max="16384" width="11.44140625" style="7"/>
  </cols>
  <sheetData>
    <row r="2" spans="1:5" ht="21" x14ac:dyDescent="0.4">
      <c r="A2" s="79" t="s">
        <v>726</v>
      </c>
    </row>
    <row r="5" spans="1:5" ht="14.4" thickBot="1" x14ac:dyDescent="0.3">
      <c r="B5" s="7" t="s">
        <v>587</v>
      </c>
    </row>
    <row r="6" spans="1:5" ht="14.4" thickBot="1" x14ac:dyDescent="0.3">
      <c r="B6" s="184" t="s">
        <v>49</v>
      </c>
      <c r="C6" s="185"/>
      <c r="D6" s="186"/>
    </row>
    <row r="8" spans="1:5" x14ac:dyDescent="0.25">
      <c r="B8" s="86" t="s">
        <v>222</v>
      </c>
      <c r="C8" s="86"/>
      <c r="D8" s="86" t="s">
        <v>200</v>
      </c>
      <c r="E8" s="86" t="s">
        <v>201</v>
      </c>
    </row>
    <row r="9" spans="1:5" x14ac:dyDescent="0.25">
      <c r="B9" s="88">
        <v>90</v>
      </c>
      <c r="C9" s="92"/>
      <c r="D9" s="88" t="s">
        <v>194</v>
      </c>
      <c r="E9" s="89">
        <f>HLOOKUP($B$6,'MCH2'!$E$4:$BE$174,151,0)</f>
        <v>7224.1500000000233</v>
      </c>
    </row>
    <row r="10" spans="1:5" x14ac:dyDescent="0.25">
      <c r="B10" s="88">
        <v>33</v>
      </c>
      <c r="C10" s="92" t="s">
        <v>224</v>
      </c>
      <c r="D10" s="88" t="s">
        <v>97</v>
      </c>
      <c r="E10" s="89">
        <f>HLOOKUP($B$6,'MCH2'!$E$4:$BE$174,25,0)</f>
        <v>581198.1</v>
      </c>
    </row>
    <row r="11" spans="1:5" x14ac:dyDescent="0.25">
      <c r="B11" s="88">
        <v>35</v>
      </c>
      <c r="C11" s="92" t="s">
        <v>224</v>
      </c>
      <c r="D11" s="88" t="s">
        <v>226</v>
      </c>
      <c r="E11" s="89">
        <f>HLOOKUP($B$6,'MCH2'!$E$4:$BE$174,37,0)</f>
        <v>1391.7</v>
      </c>
    </row>
    <row r="12" spans="1:5" x14ac:dyDescent="0.25">
      <c r="B12" s="88">
        <v>45</v>
      </c>
      <c r="C12" s="92" t="s">
        <v>225</v>
      </c>
      <c r="D12" s="88" t="s">
        <v>173</v>
      </c>
      <c r="E12" s="89">
        <f>HLOOKUP($B$6,'MCH2'!$E$4:$BE$174,115,0)</f>
        <v>70983.350000000006</v>
      </c>
    </row>
    <row r="13" spans="1:5" x14ac:dyDescent="0.25">
      <c r="B13" s="88">
        <v>364</v>
      </c>
      <c r="C13" s="92" t="s">
        <v>224</v>
      </c>
      <c r="D13" s="88" t="s">
        <v>233</v>
      </c>
      <c r="E13" s="89">
        <f>HLOOKUP($B$6,'MCH2'!$E$4:$BE$174,46,0)</f>
        <v>0</v>
      </c>
    </row>
    <row r="14" spans="1:5" x14ac:dyDescent="0.25">
      <c r="B14" s="88">
        <v>365</v>
      </c>
      <c r="C14" s="92" t="s">
        <v>224</v>
      </c>
      <c r="D14" s="88" t="s">
        <v>234</v>
      </c>
      <c r="E14" s="89">
        <f>HLOOKUP($B$6,'MCH2'!$E$4:$BE$174,47,0)</f>
        <v>13000</v>
      </c>
    </row>
    <row r="15" spans="1:5" x14ac:dyDescent="0.25">
      <c r="B15" s="88">
        <v>366</v>
      </c>
      <c r="C15" s="92" t="s">
        <v>224</v>
      </c>
      <c r="D15" s="88" t="s">
        <v>231</v>
      </c>
      <c r="E15" s="89">
        <f>HLOOKUP($B$6,'MCH2'!$E$4:$BE$174,48,0)</f>
        <v>1597</v>
      </c>
    </row>
    <row r="16" spans="1:5" x14ac:dyDescent="0.25">
      <c r="B16" s="88">
        <v>389</v>
      </c>
      <c r="C16" s="92" t="s">
        <v>224</v>
      </c>
      <c r="D16" s="88" t="s">
        <v>227</v>
      </c>
      <c r="E16" s="89">
        <f>HLOOKUP($B$6,'MCH2'!$E$4:$BE$174,60,0)</f>
        <v>0</v>
      </c>
    </row>
    <row r="17" spans="2:5" x14ac:dyDescent="0.25">
      <c r="B17" s="88">
        <v>4490</v>
      </c>
      <c r="C17" s="92" t="s">
        <v>225</v>
      </c>
      <c r="D17" s="88" t="s">
        <v>235</v>
      </c>
      <c r="E17" s="89">
        <f>HLOOKUP($B$6,'MCH2'!$E$4:$BE$174,162,0)</f>
        <v>0</v>
      </c>
    </row>
    <row r="18" spans="2:5" x14ac:dyDescent="0.25">
      <c r="B18" s="88">
        <v>489</v>
      </c>
      <c r="C18" s="92" t="s">
        <v>225</v>
      </c>
      <c r="D18" s="88" t="s">
        <v>232</v>
      </c>
      <c r="E18" s="89">
        <f>HLOOKUP($B$6,'MCH2'!$E$4:$BE$174,136,0)</f>
        <v>151597</v>
      </c>
    </row>
    <row r="19" spans="2:5" x14ac:dyDescent="0.25">
      <c r="B19" s="88"/>
      <c r="C19" s="92"/>
      <c r="D19" s="88"/>
      <c r="E19" s="89"/>
    </row>
    <row r="20" spans="2:5" x14ac:dyDescent="0.25">
      <c r="B20" s="93"/>
      <c r="C20" s="93"/>
      <c r="D20" s="90" t="s">
        <v>228</v>
      </c>
      <c r="E20" s="91">
        <f>E9+E10+E11-E12+E13+E14+E15+E16-E17-E18</f>
        <v>381830.6</v>
      </c>
    </row>
    <row r="21" spans="2:5" x14ac:dyDescent="0.25">
      <c r="B21" s="88"/>
      <c r="C21" s="88"/>
      <c r="D21" s="88"/>
      <c r="E21" s="89"/>
    </row>
    <row r="22" spans="2:5" x14ac:dyDescent="0.25">
      <c r="B22" s="88" t="s">
        <v>223</v>
      </c>
      <c r="C22" s="94" t="s">
        <v>225</v>
      </c>
      <c r="D22" s="88" t="s">
        <v>229</v>
      </c>
      <c r="E22" s="89">
        <f>HLOOKUP($B$6,'6.1 Investissements'!$E$4:$BI$183,180,0)</f>
        <v>264388.7</v>
      </c>
    </row>
    <row r="23" spans="2:5" x14ac:dyDescent="0.25">
      <c r="B23" s="88"/>
      <c r="C23" s="88"/>
      <c r="D23" s="88"/>
      <c r="E23" s="89"/>
    </row>
    <row r="24" spans="2:5" x14ac:dyDescent="0.25">
      <c r="B24" s="93"/>
      <c r="C24" s="93"/>
      <c r="D24" s="90" t="s">
        <v>230</v>
      </c>
      <c r="E24" s="91">
        <f>E20-E22</f>
        <v>117441.89999999997</v>
      </c>
    </row>
  </sheetData>
  <mergeCells count="1">
    <mergeCell ref="B6:D6"/>
  </mergeCells>
  <pageMargins left="0.7" right="0.7" top="0.75" bottom="0.75" header="0.3" footer="0.3"/>
  <pageSetup paperSize="9" scale="7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'MCH2'!$E$4:$BE$4</xm:f>
          </x14:formula1>
          <xm:sqref>B6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59999389629810485"/>
  </sheetPr>
  <dimension ref="A2:BG53"/>
  <sheetViews>
    <sheetView workbookViewId="0">
      <pane xSplit="2" ySplit="4" topLeftCell="C5" activePane="bottomRight" state="frozen"/>
      <selection pane="topRight" activeCell="C1" sqref="C1"/>
      <selection pane="bottomLeft" activeCell="A4" sqref="A4"/>
      <selection pane="bottomRight" activeCell="C5" sqref="C5"/>
    </sheetView>
  </sheetViews>
  <sheetFormatPr baseColWidth="10" defaultColWidth="11.44140625" defaultRowHeight="13.8" x14ac:dyDescent="0.25"/>
  <cols>
    <col min="1" max="1" width="5.6640625" style="7" customWidth="1"/>
    <col min="2" max="2" width="71" style="7" customWidth="1"/>
    <col min="3" max="56" width="16.33203125" style="7" customWidth="1"/>
    <col min="57" max="59" width="17.88671875" style="7" customWidth="1"/>
    <col min="60" max="16384" width="11.44140625" style="7"/>
  </cols>
  <sheetData>
    <row r="2" spans="1:59" ht="21" x14ac:dyDescent="0.4">
      <c r="A2" s="79" t="s">
        <v>838</v>
      </c>
      <c r="B2" s="6"/>
    </row>
    <row r="3" spans="1:59" x14ac:dyDescent="0.25">
      <c r="A3" s="7" t="s">
        <v>781</v>
      </c>
      <c r="C3" s="8">
        <f>'Base de données pop.'!C2</f>
        <v>951</v>
      </c>
      <c r="D3" s="8">
        <f>'Base de données pop.'!C3</f>
        <v>258</v>
      </c>
      <c r="E3" s="8">
        <f>'Base de données pop.'!C4</f>
        <v>471</v>
      </c>
      <c r="F3" s="8">
        <f>'Base de données pop.'!C5</f>
        <v>441</v>
      </c>
      <c r="G3" s="8">
        <f>'Base de données pop.'!C6</f>
        <v>3686</v>
      </c>
      <c r="H3" s="8">
        <f>'Base de données pop.'!C7</f>
        <v>3313</v>
      </c>
      <c r="I3" s="8">
        <f>'Base de données pop.'!C8</f>
        <v>2654</v>
      </c>
      <c r="J3" s="8">
        <f>'Base de données pop.'!C9</f>
        <v>12636</v>
      </c>
      <c r="K3" s="8">
        <f>'Base de données pop.'!C10</f>
        <v>1360</v>
      </c>
      <c r="L3" s="8">
        <f>'Base de données pop.'!C11</f>
        <v>112</v>
      </c>
      <c r="M3" s="8">
        <f>'Base de données pop.'!C12</f>
        <v>7319</v>
      </c>
      <c r="N3" s="8">
        <f>'Base de données pop.'!C13</f>
        <v>522</v>
      </c>
      <c r="O3" s="8">
        <f>'Base de données pop.'!C14</f>
        <v>106</v>
      </c>
      <c r="P3" s="8">
        <f>'Base de données pop.'!C15</f>
        <v>425</v>
      </c>
      <c r="Q3" s="8">
        <f>'Base de données pop.'!C16</f>
        <v>350</v>
      </c>
      <c r="R3" s="8">
        <f>'Base de données pop.'!C17</f>
        <v>733</v>
      </c>
      <c r="S3" s="8">
        <f>'Base de données pop.'!C18</f>
        <v>270</v>
      </c>
      <c r="T3" s="8">
        <f>'Base de données pop.'!C19</f>
        <v>417</v>
      </c>
      <c r="U3" s="8">
        <f>'Base de données pop.'!C20</f>
        <v>3285</v>
      </c>
      <c r="V3" s="8">
        <f>'Base de données pop.'!C21</f>
        <v>308</v>
      </c>
      <c r="W3" s="8">
        <f>'Base de données pop.'!C22</f>
        <v>1258</v>
      </c>
      <c r="X3" s="8">
        <f>'Base de données pop.'!C23</f>
        <v>1524</v>
      </c>
      <c r="Y3" s="8">
        <f>'Base de données pop.'!C24</f>
        <v>87</v>
      </c>
      <c r="Z3" s="8">
        <f>'Base de données pop.'!C25</f>
        <v>156</v>
      </c>
      <c r="AA3" s="8">
        <f>'Base de données pop.'!C26</f>
        <v>510</v>
      </c>
      <c r="AB3" s="8">
        <f>'Base de données pop.'!C27</f>
        <v>705</v>
      </c>
      <c r="AC3" s="8">
        <f>'Base de données pop.'!C28</f>
        <v>551</v>
      </c>
      <c r="AD3" s="8">
        <f>'Base de données pop.'!C29</f>
        <v>511</v>
      </c>
      <c r="AE3" s="8">
        <f>'Base de données pop.'!C30</f>
        <v>1902</v>
      </c>
      <c r="AF3" s="8">
        <f>'Base de données pop.'!C31</f>
        <v>2575</v>
      </c>
      <c r="AG3" s="8">
        <f>'Base de données pop.'!C32</f>
        <v>228</v>
      </c>
      <c r="AH3" s="8">
        <f>'Base de données pop.'!C33</f>
        <v>118</v>
      </c>
      <c r="AI3" s="8">
        <f>'Base de données pop.'!C34</f>
        <v>1882</v>
      </c>
      <c r="AJ3" s="8">
        <f>'Base de données pop.'!C35</f>
        <v>1114</v>
      </c>
      <c r="AK3" s="8">
        <f>'Base de données pop.'!C36</f>
        <v>1217</v>
      </c>
      <c r="AL3" s="8">
        <f>'Base de données pop.'!C37</f>
        <v>117</v>
      </c>
      <c r="AM3" s="8">
        <f>'Base de données pop.'!C38</f>
        <v>1205</v>
      </c>
      <c r="AN3" s="8">
        <f>'Base de données pop.'!C39</f>
        <v>625</v>
      </c>
      <c r="AO3" s="8">
        <f>'Base de données pop.'!C40</f>
        <v>631</v>
      </c>
      <c r="AP3" s="8">
        <f>'Base de données pop.'!C41</f>
        <v>1275</v>
      </c>
      <c r="AQ3" s="8">
        <f>'Base de données pop.'!C42</f>
        <v>718</v>
      </c>
      <c r="AR3" s="8">
        <f>'Base de données pop.'!C43</f>
        <v>1018</v>
      </c>
      <c r="AS3" s="8">
        <f>'Base de données pop.'!C44</f>
        <v>293</v>
      </c>
      <c r="AT3" s="8">
        <f>'Base de données pop.'!C45</f>
        <v>2435</v>
      </c>
      <c r="AU3" s="8">
        <f>'Base de données pop.'!C46</f>
        <v>786</v>
      </c>
      <c r="AV3" s="8">
        <f>'Base de données pop.'!C47</f>
        <v>184</v>
      </c>
      <c r="AW3" s="8">
        <f>'Base de données pop.'!C48</f>
        <v>333</v>
      </c>
      <c r="AX3" s="8">
        <f>'Base de données pop.'!C49</f>
        <v>1674</v>
      </c>
      <c r="AY3" s="8">
        <f>'Base de données pop.'!C50</f>
        <v>391</v>
      </c>
      <c r="AZ3" s="8">
        <f>'Base de données pop.'!C51</f>
        <v>1052</v>
      </c>
      <c r="BA3" s="8">
        <f>'Base de données pop.'!C52</f>
        <v>186</v>
      </c>
      <c r="BB3" s="8">
        <f>'Base de données pop.'!C53</f>
        <v>6441</v>
      </c>
      <c r="BC3" s="8">
        <f>'Base de données pop.'!C54</f>
        <v>546</v>
      </c>
      <c r="BD3" s="8">
        <f>SUM(C3:BC3)</f>
        <v>73865</v>
      </c>
      <c r="BE3" s="8">
        <f>SUM(C3:U3)</f>
        <v>39309</v>
      </c>
      <c r="BF3" s="8">
        <f>SUM(V3:AH3)</f>
        <v>10433</v>
      </c>
      <c r="BG3" s="8">
        <f>SUM(AI3:BC3)</f>
        <v>24123</v>
      </c>
    </row>
    <row r="4" spans="1:59" x14ac:dyDescent="0.25">
      <c r="C4" s="81" t="s">
        <v>56</v>
      </c>
      <c r="D4" s="81" t="s">
        <v>18</v>
      </c>
      <c r="E4" s="81" t="s">
        <v>57</v>
      </c>
      <c r="F4" s="81" t="s">
        <v>53</v>
      </c>
      <c r="G4" s="81" t="s">
        <v>33</v>
      </c>
      <c r="H4" s="81" t="s">
        <v>10</v>
      </c>
      <c r="I4" s="81" t="s">
        <v>15</v>
      </c>
      <c r="J4" s="81" t="s">
        <v>28</v>
      </c>
      <c r="K4" s="81" t="s">
        <v>42</v>
      </c>
      <c r="L4" s="81" t="s">
        <v>23</v>
      </c>
      <c r="M4" s="81" t="s">
        <v>22</v>
      </c>
      <c r="N4" s="81" t="s">
        <v>13</v>
      </c>
      <c r="O4" s="81" t="s">
        <v>17</v>
      </c>
      <c r="P4" s="81" t="s">
        <v>43</v>
      </c>
      <c r="Q4" s="81" t="s">
        <v>40</v>
      </c>
      <c r="R4" s="81" t="s">
        <v>31</v>
      </c>
      <c r="S4" s="81" t="s">
        <v>12</v>
      </c>
      <c r="T4" s="81" t="s">
        <v>59</v>
      </c>
      <c r="U4" s="81" t="s">
        <v>27</v>
      </c>
      <c r="V4" s="81" t="s">
        <v>30</v>
      </c>
      <c r="W4" s="81" t="s">
        <v>20</v>
      </c>
      <c r="X4" s="81" t="s">
        <v>45</v>
      </c>
      <c r="Y4" s="81" t="s">
        <v>71</v>
      </c>
      <c r="Z4" s="81" t="s">
        <v>39</v>
      </c>
      <c r="AA4" s="81" t="s">
        <v>19</v>
      </c>
      <c r="AB4" s="81" t="s">
        <v>41</v>
      </c>
      <c r="AC4" s="81" t="s">
        <v>36</v>
      </c>
      <c r="AD4" s="81" t="s">
        <v>7</v>
      </c>
      <c r="AE4" s="81" t="s">
        <v>55</v>
      </c>
      <c r="AF4" s="81" t="s">
        <v>21</v>
      </c>
      <c r="AG4" s="81" t="s">
        <v>6</v>
      </c>
      <c r="AH4" s="81" t="s">
        <v>34</v>
      </c>
      <c r="AI4" s="81" t="s">
        <v>52</v>
      </c>
      <c r="AJ4" s="81" t="s">
        <v>14</v>
      </c>
      <c r="AK4" s="81" t="s">
        <v>32</v>
      </c>
      <c r="AL4" s="81" t="s">
        <v>29</v>
      </c>
      <c r="AM4" s="81" t="s">
        <v>26</v>
      </c>
      <c r="AN4" s="81" t="s">
        <v>48</v>
      </c>
      <c r="AO4" s="81" t="s">
        <v>44</v>
      </c>
      <c r="AP4" s="81" t="s">
        <v>37</v>
      </c>
      <c r="AQ4" s="81" t="s">
        <v>51</v>
      </c>
      <c r="AR4" s="81" t="s">
        <v>8</v>
      </c>
      <c r="AS4" s="81" t="s">
        <v>24</v>
      </c>
      <c r="AT4" s="81" t="s">
        <v>9</v>
      </c>
      <c r="AU4" s="81" t="s">
        <v>62</v>
      </c>
      <c r="AV4" s="81" t="s">
        <v>46</v>
      </c>
      <c r="AW4" s="81" t="s">
        <v>35</v>
      </c>
      <c r="AX4" s="81" t="s">
        <v>49</v>
      </c>
      <c r="AY4" s="81" t="s">
        <v>47</v>
      </c>
      <c r="AZ4" s="81" t="s">
        <v>58</v>
      </c>
      <c r="BA4" s="81" t="s">
        <v>50</v>
      </c>
      <c r="BB4" s="81" t="s">
        <v>16</v>
      </c>
      <c r="BC4" s="81" t="s">
        <v>25</v>
      </c>
      <c r="BD4" s="81" t="s">
        <v>65</v>
      </c>
      <c r="BE4" s="81" t="s">
        <v>28</v>
      </c>
      <c r="BF4" s="81" t="s">
        <v>64</v>
      </c>
      <c r="BG4" s="81" t="s">
        <v>16</v>
      </c>
    </row>
    <row r="5" spans="1:59" ht="16.5" customHeight="1" x14ac:dyDescent="0.25">
      <c r="A5" s="95">
        <v>0</v>
      </c>
      <c r="B5" s="76" t="s">
        <v>297</v>
      </c>
      <c r="C5" s="101">
        <f>C6-C7</f>
        <v>367874.20999999996</v>
      </c>
      <c r="D5" s="101">
        <f t="shared" ref="D5:BC5" si="0">D6-D7</f>
        <v>78292.600000000006</v>
      </c>
      <c r="E5" s="101">
        <f t="shared" si="0"/>
        <v>182665</v>
      </c>
      <c r="F5" s="101">
        <f t="shared" si="0"/>
        <v>248860.52999999997</v>
      </c>
      <c r="G5" s="101">
        <f t="shared" si="0"/>
        <v>1215652.6300000001</v>
      </c>
      <c r="H5" s="101">
        <f t="shared" si="0"/>
        <v>873386</v>
      </c>
      <c r="I5" s="101">
        <f t="shared" si="0"/>
        <v>841534.59</v>
      </c>
      <c r="J5" s="101">
        <f t="shared" si="0"/>
        <v>5883723.3700000001</v>
      </c>
      <c r="K5" s="101">
        <f t="shared" si="0"/>
        <v>424935.91</v>
      </c>
      <c r="L5" s="101">
        <f t="shared" si="0"/>
        <v>64376.59</v>
      </c>
      <c r="M5" s="101">
        <f t="shared" si="0"/>
        <v>2577332.4</v>
      </c>
      <c r="N5" s="101">
        <f t="shared" si="0"/>
        <v>178020.84</v>
      </c>
      <c r="O5" s="101">
        <f t="shared" si="0"/>
        <v>71390.63</v>
      </c>
      <c r="P5" s="101">
        <f t="shared" si="0"/>
        <v>187242.25</v>
      </c>
      <c r="Q5" s="101">
        <f t="shared" si="0"/>
        <v>167454.38999999998</v>
      </c>
      <c r="R5" s="101">
        <f t="shared" si="0"/>
        <v>316840.14999999997</v>
      </c>
      <c r="S5" s="101">
        <f t="shared" si="0"/>
        <v>119012.01000000001</v>
      </c>
      <c r="T5" s="101">
        <f t="shared" si="0"/>
        <v>267380.25</v>
      </c>
      <c r="U5" s="101">
        <f t="shared" si="0"/>
        <v>985247.21</v>
      </c>
      <c r="V5" s="101">
        <f t="shared" si="0"/>
        <v>121079.81</v>
      </c>
      <c r="W5" s="101">
        <f t="shared" si="0"/>
        <v>601750.32999999996</v>
      </c>
      <c r="X5" s="101">
        <f t="shared" si="0"/>
        <v>633786.1</v>
      </c>
      <c r="Y5" s="101">
        <f t="shared" si="0"/>
        <v>61142.510000000009</v>
      </c>
      <c r="Z5" s="101">
        <f t="shared" si="0"/>
        <v>60530</v>
      </c>
      <c r="AA5" s="101">
        <f t="shared" si="0"/>
        <v>242794.95</v>
      </c>
      <c r="AB5" s="101">
        <f t="shared" si="0"/>
        <v>330771.92000000004</v>
      </c>
      <c r="AC5" s="101">
        <f t="shared" si="0"/>
        <v>306221.86000000004</v>
      </c>
      <c r="AD5" s="101">
        <f t="shared" si="0"/>
        <v>216926.45</v>
      </c>
      <c r="AE5" s="101">
        <f t="shared" si="0"/>
        <v>694781.55999999994</v>
      </c>
      <c r="AF5" s="101">
        <f t="shared" si="0"/>
        <v>598081.77</v>
      </c>
      <c r="AG5" s="101">
        <f t="shared" si="0"/>
        <v>118240</v>
      </c>
      <c r="AH5" s="101">
        <f t="shared" si="0"/>
        <v>82069.850000000006</v>
      </c>
      <c r="AI5" s="101">
        <f t="shared" si="0"/>
        <v>827650.75</v>
      </c>
      <c r="AJ5" s="101">
        <f t="shared" si="0"/>
        <v>420846.87</v>
      </c>
      <c r="AK5" s="101">
        <f>AK6-AK7</f>
        <v>386164.84</v>
      </c>
      <c r="AL5" s="101">
        <f t="shared" si="0"/>
        <v>79607.77</v>
      </c>
      <c r="AM5" s="101">
        <f t="shared" si="0"/>
        <v>766832.79</v>
      </c>
      <c r="AN5" s="101">
        <f t="shared" si="0"/>
        <v>277496.56</v>
      </c>
      <c r="AO5" s="101">
        <f t="shared" si="0"/>
        <v>284253.37</v>
      </c>
      <c r="AP5" s="101">
        <f t="shared" si="0"/>
        <v>560621.55999999994</v>
      </c>
      <c r="AQ5" s="101">
        <f t="shared" si="0"/>
        <v>340428.49</v>
      </c>
      <c r="AR5" s="101">
        <f t="shared" si="0"/>
        <v>465572.20999999996</v>
      </c>
      <c r="AS5" s="101">
        <f t="shared" si="0"/>
        <v>156365.41</v>
      </c>
      <c r="AT5" s="101">
        <f t="shared" si="0"/>
        <v>668139.57000000007</v>
      </c>
      <c r="AU5" s="101">
        <f t="shared" si="0"/>
        <v>383612.48000000004</v>
      </c>
      <c r="AV5" s="101">
        <f t="shared" si="0"/>
        <v>95046.56</v>
      </c>
      <c r="AW5" s="101">
        <f t="shared" si="0"/>
        <v>139087.63999999998</v>
      </c>
      <c r="AX5" s="101">
        <f t="shared" si="0"/>
        <v>500225.83000000007</v>
      </c>
      <c r="AY5" s="101">
        <f t="shared" si="0"/>
        <v>133735.29</v>
      </c>
      <c r="AZ5" s="101">
        <f t="shared" si="0"/>
        <v>512777.91000000003</v>
      </c>
      <c r="BA5" s="101">
        <f t="shared" si="0"/>
        <v>97885.14</v>
      </c>
      <c r="BB5" s="101">
        <f t="shared" si="0"/>
        <v>3305264.3099999996</v>
      </c>
      <c r="BC5" s="101">
        <f t="shared" si="0"/>
        <v>239404.53</v>
      </c>
      <c r="BD5" s="101">
        <f>SUM(C5:BC5)</f>
        <v>29760418.549999997</v>
      </c>
      <c r="BE5" s="101">
        <f>SUM(C5:U5)</f>
        <v>15051221.560000002</v>
      </c>
      <c r="BF5" s="101">
        <f>SUM(V5:AH5)</f>
        <v>4068177.11</v>
      </c>
      <c r="BG5" s="101">
        <f>SUM(AI5:BC5)</f>
        <v>10641019.880000001</v>
      </c>
    </row>
    <row r="6" spans="1:59" ht="16.5" customHeight="1" x14ac:dyDescent="0.25">
      <c r="A6" s="97"/>
      <c r="B6" s="7" t="s">
        <v>307</v>
      </c>
      <c r="C6" s="15">
        <v>380810.61</v>
      </c>
      <c r="D6" s="15">
        <v>89410.35</v>
      </c>
      <c r="E6" s="15">
        <v>190052.55</v>
      </c>
      <c r="F6" s="15">
        <v>281210.23</v>
      </c>
      <c r="G6" s="15">
        <v>1281979.83</v>
      </c>
      <c r="H6" s="15">
        <v>1003354</v>
      </c>
      <c r="I6" s="15">
        <v>873282.24</v>
      </c>
      <c r="J6" s="15">
        <v>6872263.75</v>
      </c>
      <c r="K6" s="15">
        <v>648620.71</v>
      </c>
      <c r="L6" s="15">
        <v>83825.929999999993</v>
      </c>
      <c r="M6" s="15">
        <v>3027368.73</v>
      </c>
      <c r="N6" s="15">
        <v>222750.07999999999</v>
      </c>
      <c r="O6" s="15">
        <v>75370.03</v>
      </c>
      <c r="P6" s="15">
        <v>196545.3</v>
      </c>
      <c r="Q6" s="15">
        <v>207852.24</v>
      </c>
      <c r="R6" s="15">
        <v>351567.55</v>
      </c>
      <c r="S6" s="15">
        <v>140985.91</v>
      </c>
      <c r="T6" s="15">
        <v>294251.09999999998</v>
      </c>
      <c r="U6" s="15">
        <v>1272908.75</v>
      </c>
      <c r="V6" s="15">
        <v>124625.11</v>
      </c>
      <c r="W6" s="15">
        <v>613018.38</v>
      </c>
      <c r="X6" s="15">
        <v>700069.5</v>
      </c>
      <c r="Y6" s="15">
        <v>84731.71</v>
      </c>
      <c r="Z6" s="15">
        <v>72636.3</v>
      </c>
      <c r="AA6" s="15">
        <v>261935.6</v>
      </c>
      <c r="AB6" s="15">
        <v>370988.33</v>
      </c>
      <c r="AC6" s="15">
        <v>334572.21000000002</v>
      </c>
      <c r="AD6" s="15">
        <v>267083.90000000002</v>
      </c>
      <c r="AE6" s="15">
        <v>748065.97</v>
      </c>
      <c r="AF6" s="15">
        <v>724743.67</v>
      </c>
      <c r="AG6" s="15">
        <v>138087.6</v>
      </c>
      <c r="AH6" s="15">
        <v>89874.55</v>
      </c>
      <c r="AI6" s="15">
        <v>894330.77</v>
      </c>
      <c r="AJ6" s="15">
        <v>427109.57</v>
      </c>
      <c r="AK6" s="15">
        <v>418849.94</v>
      </c>
      <c r="AL6" s="15">
        <v>84414.47</v>
      </c>
      <c r="AM6" s="15">
        <v>803839.02</v>
      </c>
      <c r="AN6" s="15">
        <v>321346.31</v>
      </c>
      <c r="AO6" s="15">
        <v>322393.32</v>
      </c>
      <c r="AP6" s="15">
        <v>599259.96</v>
      </c>
      <c r="AQ6" s="15">
        <v>391534.69</v>
      </c>
      <c r="AR6" s="15">
        <v>487019.66</v>
      </c>
      <c r="AS6" s="15">
        <v>177436.31</v>
      </c>
      <c r="AT6" s="15">
        <v>709943.52</v>
      </c>
      <c r="AU6" s="15">
        <v>392312.08</v>
      </c>
      <c r="AV6" s="15">
        <v>105218.61</v>
      </c>
      <c r="AW6" s="15">
        <v>140761.49</v>
      </c>
      <c r="AX6" s="15">
        <v>537138.42000000004</v>
      </c>
      <c r="AY6" s="15">
        <v>160980.39000000001</v>
      </c>
      <c r="AZ6" s="15">
        <v>619057.77</v>
      </c>
      <c r="BA6" s="15">
        <v>107278.7</v>
      </c>
      <c r="BB6" s="15">
        <v>3591243.34</v>
      </c>
      <c r="BC6" s="15">
        <v>255642.71</v>
      </c>
      <c r="BD6" s="15">
        <f t="shared" ref="BD6:BD43" si="1">SUM(C6:BC6)</f>
        <v>33571953.769999996</v>
      </c>
      <c r="BE6" s="15">
        <f t="shared" ref="BE6:BE43" si="2">SUM(C6:U6)</f>
        <v>17494409.890000001</v>
      </c>
      <c r="BF6" s="15">
        <f t="shared" ref="BF6:BF43" si="3">SUM(V6:AH6)</f>
        <v>4530432.8299999991</v>
      </c>
      <c r="BG6" s="15">
        <f t="shared" ref="BG6:BG43" si="4">SUM(AI6:BC6)</f>
        <v>11547111.050000001</v>
      </c>
    </row>
    <row r="7" spans="1:59" ht="16.5" customHeight="1" x14ac:dyDescent="0.25">
      <c r="A7" s="97"/>
      <c r="B7" s="7" t="s">
        <v>308</v>
      </c>
      <c r="C7" s="15">
        <v>12936.4</v>
      </c>
      <c r="D7" s="15">
        <v>11117.75</v>
      </c>
      <c r="E7" s="15">
        <v>7387.55</v>
      </c>
      <c r="F7" s="15">
        <v>32349.7</v>
      </c>
      <c r="G7" s="15">
        <v>66327.199999999997</v>
      </c>
      <c r="H7" s="15">
        <v>129968</v>
      </c>
      <c r="I7" s="15">
        <v>31747.65</v>
      </c>
      <c r="J7" s="15">
        <v>988540.38</v>
      </c>
      <c r="K7" s="15">
        <v>223684.8</v>
      </c>
      <c r="L7" s="15">
        <v>19449.34</v>
      </c>
      <c r="M7" s="15">
        <v>450036.33</v>
      </c>
      <c r="N7" s="15">
        <v>44729.24</v>
      </c>
      <c r="O7" s="15">
        <v>3979.4</v>
      </c>
      <c r="P7" s="15">
        <v>9303.0499999999993</v>
      </c>
      <c r="Q7" s="15">
        <v>40397.85</v>
      </c>
      <c r="R7" s="15">
        <v>34727.4</v>
      </c>
      <c r="S7" s="15">
        <v>21973.9</v>
      </c>
      <c r="T7" s="15">
        <v>26870.85</v>
      </c>
      <c r="U7" s="15">
        <v>287661.53999999998</v>
      </c>
      <c r="V7" s="15">
        <v>3545.3</v>
      </c>
      <c r="W7" s="15">
        <v>11268.05</v>
      </c>
      <c r="X7" s="15">
        <v>66283.399999999994</v>
      </c>
      <c r="Y7" s="15">
        <v>23589.200000000001</v>
      </c>
      <c r="Z7" s="15">
        <v>12106.3</v>
      </c>
      <c r="AA7" s="15">
        <v>19140.650000000001</v>
      </c>
      <c r="AB7" s="15">
        <v>40216.410000000003</v>
      </c>
      <c r="AC7" s="15">
        <v>28350.35</v>
      </c>
      <c r="AD7" s="15">
        <v>50157.45</v>
      </c>
      <c r="AE7" s="15">
        <v>53284.41</v>
      </c>
      <c r="AF7" s="15">
        <v>126661.9</v>
      </c>
      <c r="AG7" s="15">
        <v>19847.599999999999</v>
      </c>
      <c r="AH7" s="15">
        <v>7804.7</v>
      </c>
      <c r="AI7" s="15">
        <v>66680.02</v>
      </c>
      <c r="AJ7" s="15">
        <v>6262.7</v>
      </c>
      <c r="AK7" s="15">
        <v>32685.1</v>
      </c>
      <c r="AL7" s="15">
        <v>4806.7</v>
      </c>
      <c r="AM7" s="15">
        <v>37006.230000000003</v>
      </c>
      <c r="AN7" s="15">
        <v>43849.75</v>
      </c>
      <c r="AO7" s="15">
        <v>38139.949999999997</v>
      </c>
      <c r="AP7" s="15">
        <v>38638.400000000001</v>
      </c>
      <c r="AQ7" s="15">
        <v>51106.2</v>
      </c>
      <c r="AR7" s="15">
        <v>21447.45</v>
      </c>
      <c r="AS7" s="15">
        <v>21070.9</v>
      </c>
      <c r="AT7" s="15">
        <v>41803.949999999997</v>
      </c>
      <c r="AU7" s="15">
        <v>8699.6</v>
      </c>
      <c r="AV7" s="15">
        <v>10172.049999999999</v>
      </c>
      <c r="AW7" s="15">
        <v>1673.85</v>
      </c>
      <c r="AX7" s="15">
        <v>36912.589999999997</v>
      </c>
      <c r="AY7" s="15">
        <v>27245.1</v>
      </c>
      <c r="AZ7" s="15">
        <v>106279.86</v>
      </c>
      <c r="BA7" s="15">
        <v>9393.56</v>
      </c>
      <c r="BB7" s="15">
        <v>285979.03000000003</v>
      </c>
      <c r="BC7" s="15">
        <v>16238.18</v>
      </c>
      <c r="BD7" s="15">
        <f t="shared" si="1"/>
        <v>3811535.2200000011</v>
      </c>
      <c r="BE7" s="15">
        <f t="shared" si="2"/>
        <v>2443188.33</v>
      </c>
      <c r="BF7" s="15">
        <f t="shared" si="3"/>
        <v>462255.72000000003</v>
      </c>
      <c r="BG7" s="15">
        <f t="shared" si="4"/>
        <v>906091.17000000016</v>
      </c>
    </row>
    <row r="8" spans="1:59" ht="16.5" customHeight="1" x14ac:dyDescent="0.25">
      <c r="A8" s="29"/>
      <c r="B8" s="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73"/>
      <c r="BE8" s="73"/>
      <c r="BF8" s="73"/>
      <c r="BG8" s="73"/>
    </row>
    <row r="9" spans="1:59" ht="16.5" customHeight="1" x14ac:dyDescent="0.25">
      <c r="A9" s="95" t="s">
        <v>298</v>
      </c>
      <c r="B9" s="76" t="s">
        <v>299</v>
      </c>
      <c r="C9" s="101">
        <f>C10-C11</f>
        <v>33413.899999999994</v>
      </c>
      <c r="D9" s="101">
        <f t="shared" ref="D9:BC9" si="5">D10-D11</f>
        <v>1368.6800000000003</v>
      </c>
      <c r="E9" s="101">
        <f t="shared" si="5"/>
        <v>20286.579999999998</v>
      </c>
      <c r="F9" s="101">
        <f t="shared" si="5"/>
        <v>-23148.550000000003</v>
      </c>
      <c r="G9" s="101">
        <f t="shared" si="5"/>
        <v>-2045.6199999999953</v>
      </c>
      <c r="H9" s="101">
        <f t="shared" si="5"/>
        <v>56421</v>
      </c>
      <c r="I9" s="101">
        <f t="shared" si="5"/>
        <v>-39218.549999999988</v>
      </c>
      <c r="J9" s="101">
        <f t="shared" si="5"/>
        <v>1946632.9000000001</v>
      </c>
      <c r="K9" s="101">
        <f t="shared" si="5"/>
        <v>42482.449999999983</v>
      </c>
      <c r="L9" s="101">
        <f t="shared" si="5"/>
        <v>16740.89</v>
      </c>
      <c r="M9" s="101">
        <f t="shared" si="5"/>
        <v>-69580.79999999993</v>
      </c>
      <c r="N9" s="101">
        <f t="shared" si="5"/>
        <v>6417.25</v>
      </c>
      <c r="O9" s="101">
        <f t="shared" si="5"/>
        <v>618.10000000000036</v>
      </c>
      <c r="P9" s="101">
        <f t="shared" si="5"/>
        <v>9491.75</v>
      </c>
      <c r="Q9" s="101">
        <f t="shared" si="5"/>
        <v>21759.5</v>
      </c>
      <c r="R9" s="101">
        <f t="shared" si="5"/>
        <v>-1725.4500000000044</v>
      </c>
      <c r="S9" s="101">
        <f t="shared" si="5"/>
        <v>6747.25</v>
      </c>
      <c r="T9" s="101">
        <f t="shared" si="5"/>
        <v>-1534.7199999999939</v>
      </c>
      <c r="U9" s="101">
        <f t="shared" si="5"/>
        <v>27918.829999999987</v>
      </c>
      <c r="V9" s="101">
        <f t="shared" si="5"/>
        <v>8903.0499999999993</v>
      </c>
      <c r="W9" s="101">
        <f t="shared" si="5"/>
        <v>36200.509999999995</v>
      </c>
      <c r="X9" s="101">
        <f t="shared" si="5"/>
        <v>33644.759999999995</v>
      </c>
      <c r="Y9" s="101">
        <f t="shared" si="5"/>
        <v>3291.55</v>
      </c>
      <c r="Z9" s="101">
        <f t="shared" si="5"/>
        <v>8879.2999999999993</v>
      </c>
      <c r="AA9" s="101">
        <f t="shared" si="5"/>
        <v>13942.200000000004</v>
      </c>
      <c r="AB9" s="101">
        <f t="shared" si="5"/>
        <v>-6943.7899999999936</v>
      </c>
      <c r="AC9" s="101">
        <f t="shared" si="5"/>
        <v>-1328.0999999999985</v>
      </c>
      <c r="AD9" s="101">
        <f t="shared" si="5"/>
        <v>-4696.0499999999956</v>
      </c>
      <c r="AE9" s="101">
        <f t="shared" si="5"/>
        <v>-20961.25</v>
      </c>
      <c r="AF9" s="101">
        <f t="shared" si="5"/>
        <v>-6105.3399999999965</v>
      </c>
      <c r="AG9" s="101">
        <f t="shared" si="5"/>
        <v>-2578.8500000000004</v>
      </c>
      <c r="AH9" s="101">
        <f t="shared" si="5"/>
        <v>-8000.4499999999989</v>
      </c>
      <c r="AI9" s="101">
        <f t="shared" si="5"/>
        <v>49660.549999999988</v>
      </c>
      <c r="AJ9" s="101">
        <f t="shared" si="5"/>
        <v>-5781.6300000000047</v>
      </c>
      <c r="AK9" s="101">
        <f t="shared" si="5"/>
        <v>31245.479999999996</v>
      </c>
      <c r="AL9" s="101">
        <f t="shared" si="5"/>
        <v>4125.3499999999995</v>
      </c>
      <c r="AM9" s="101">
        <f t="shared" si="5"/>
        <v>56240.1</v>
      </c>
      <c r="AN9" s="101">
        <f t="shared" si="5"/>
        <v>-8229.82</v>
      </c>
      <c r="AO9" s="101">
        <f t="shared" si="5"/>
        <v>13832.989999999998</v>
      </c>
      <c r="AP9" s="101">
        <f t="shared" si="5"/>
        <v>-37035.320000000007</v>
      </c>
      <c r="AQ9" s="101">
        <f t="shared" si="5"/>
        <v>821.02999999999884</v>
      </c>
      <c r="AR9" s="101">
        <f t="shared" si="5"/>
        <v>29526.58</v>
      </c>
      <c r="AS9" s="101">
        <f t="shared" si="5"/>
        <v>8045.3099999999995</v>
      </c>
      <c r="AT9" s="101">
        <f t="shared" si="5"/>
        <v>30680.200000000012</v>
      </c>
      <c r="AU9" s="101">
        <f t="shared" si="5"/>
        <v>-13638.690000000002</v>
      </c>
      <c r="AV9" s="101">
        <f t="shared" si="5"/>
        <v>1493.25</v>
      </c>
      <c r="AW9" s="101">
        <f t="shared" si="5"/>
        <v>39576.550000000003</v>
      </c>
      <c r="AX9" s="101">
        <f t="shared" si="5"/>
        <v>1507.4899999999907</v>
      </c>
      <c r="AY9" s="101">
        <f t="shared" si="5"/>
        <v>-8923.0000000000036</v>
      </c>
      <c r="AZ9" s="101">
        <f t="shared" si="5"/>
        <v>-10543.580000000002</v>
      </c>
      <c r="BA9" s="101">
        <f t="shared" si="5"/>
        <v>9297.1500000000015</v>
      </c>
      <c r="BB9" s="101">
        <f t="shared" si="5"/>
        <v>1035510.1300000001</v>
      </c>
      <c r="BC9" s="101">
        <f t="shared" si="5"/>
        <v>-17791.449999999997</v>
      </c>
      <c r="BD9" s="101">
        <f t="shared" si="1"/>
        <v>3316911.6000000006</v>
      </c>
      <c r="BE9" s="101">
        <f t="shared" si="2"/>
        <v>2053045.3900000001</v>
      </c>
      <c r="BF9" s="101">
        <f t="shared" si="3"/>
        <v>54247.54000000003</v>
      </c>
      <c r="BG9" s="101">
        <f t="shared" si="4"/>
        <v>1209618.6700000002</v>
      </c>
    </row>
    <row r="10" spans="1:59" ht="16.5" customHeight="1" x14ac:dyDescent="0.25">
      <c r="A10" s="97"/>
      <c r="B10" s="7" t="s">
        <v>307</v>
      </c>
      <c r="C10" s="15">
        <v>127958.25</v>
      </c>
      <c r="D10" s="15">
        <v>19964.48</v>
      </c>
      <c r="E10" s="15">
        <v>44507.03</v>
      </c>
      <c r="F10" s="15">
        <v>71240.649999999994</v>
      </c>
      <c r="G10" s="15">
        <v>333138.2</v>
      </c>
      <c r="H10" s="15">
        <v>318661</v>
      </c>
      <c r="I10" s="15">
        <v>175706.85</v>
      </c>
      <c r="J10" s="15">
        <v>4030844.37</v>
      </c>
      <c r="K10" s="15">
        <v>146572.54999999999</v>
      </c>
      <c r="L10" s="15">
        <v>18446.05</v>
      </c>
      <c r="M10" s="15">
        <v>636003.15</v>
      </c>
      <c r="N10" s="15">
        <v>53000.1</v>
      </c>
      <c r="O10" s="15">
        <v>6833.5</v>
      </c>
      <c r="P10" s="15">
        <v>31351.35</v>
      </c>
      <c r="Q10" s="15">
        <v>39258.75</v>
      </c>
      <c r="R10" s="15">
        <v>56904.85</v>
      </c>
      <c r="S10" s="15">
        <v>30624.1</v>
      </c>
      <c r="T10" s="15">
        <v>45046.3</v>
      </c>
      <c r="U10" s="15">
        <v>277304.25</v>
      </c>
      <c r="V10" s="15">
        <v>23479.35</v>
      </c>
      <c r="W10" s="15">
        <v>110114.2</v>
      </c>
      <c r="X10" s="15">
        <v>140756.71</v>
      </c>
      <c r="Y10" s="15">
        <v>7308.85</v>
      </c>
      <c r="Z10" s="15">
        <v>19312.349999999999</v>
      </c>
      <c r="AA10" s="15">
        <v>57503.9</v>
      </c>
      <c r="AB10" s="15">
        <v>72909.710000000006</v>
      </c>
      <c r="AC10" s="15">
        <v>48126.35</v>
      </c>
      <c r="AD10" s="15">
        <v>36749.800000000003</v>
      </c>
      <c r="AE10" s="15">
        <v>168355.55</v>
      </c>
      <c r="AF10" s="15">
        <v>212679</v>
      </c>
      <c r="AG10" s="15">
        <v>12983.3</v>
      </c>
      <c r="AH10" s="15">
        <v>10483.35</v>
      </c>
      <c r="AI10" s="15">
        <v>151441.29999999999</v>
      </c>
      <c r="AJ10" s="15">
        <v>114577.22</v>
      </c>
      <c r="AK10" s="15">
        <v>121501.33</v>
      </c>
      <c r="AL10" s="15">
        <v>9069.5499999999993</v>
      </c>
      <c r="AM10" s="15">
        <v>101883.5</v>
      </c>
      <c r="AN10" s="15">
        <v>46064.55</v>
      </c>
      <c r="AO10" s="15">
        <v>62325.14</v>
      </c>
      <c r="AP10" s="15">
        <v>121869.34</v>
      </c>
      <c r="AQ10" s="15">
        <v>52380.33</v>
      </c>
      <c r="AR10" s="15">
        <v>117489.41</v>
      </c>
      <c r="AS10" s="15">
        <v>20635.46</v>
      </c>
      <c r="AT10" s="15">
        <v>122308.6</v>
      </c>
      <c r="AU10" s="15">
        <v>42809.13</v>
      </c>
      <c r="AV10" s="15">
        <v>23877.95</v>
      </c>
      <c r="AW10" s="15">
        <v>46986.15</v>
      </c>
      <c r="AX10" s="15">
        <v>122101.4</v>
      </c>
      <c r="AY10" s="15">
        <v>30989.8</v>
      </c>
      <c r="AZ10" s="15">
        <v>120786.08</v>
      </c>
      <c r="BA10" s="15">
        <v>24616.2</v>
      </c>
      <c r="BB10" s="15">
        <v>2415181.87</v>
      </c>
      <c r="BC10" s="15">
        <v>35609.050000000003</v>
      </c>
      <c r="BD10" s="15">
        <f t="shared" si="1"/>
        <v>11288631.559999999</v>
      </c>
      <c r="BE10" s="15">
        <f t="shared" si="2"/>
        <v>6463365.7799999984</v>
      </c>
      <c r="BF10" s="15">
        <f t="shared" si="3"/>
        <v>920762.42</v>
      </c>
      <c r="BG10" s="15">
        <f t="shared" si="4"/>
        <v>3904503.3599999994</v>
      </c>
    </row>
    <row r="11" spans="1:59" ht="16.5" customHeight="1" x14ac:dyDescent="0.25">
      <c r="A11" s="97"/>
      <c r="B11" s="7" t="s">
        <v>308</v>
      </c>
      <c r="C11" s="15">
        <v>94544.35</v>
      </c>
      <c r="D11" s="15">
        <v>18595.8</v>
      </c>
      <c r="E11" s="15">
        <v>24220.45</v>
      </c>
      <c r="F11" s="15">
        <v>94389.2</v>
      </c>
      <c r="G11" s="15">
        <v>335183.82</v>
      </c>
      <c r="H11" s="15">
        <v>262240</v>
      </c>
      <c r="I11" s="15">
        <v>214925.4</v>
      </c>
      <c r="J11" s="15">
        <v>2084211.47</v>
      </c>
      <c r="K11" s="15">
        <v>104090.1</v>
      </c>
      <c r="L11" s="15">
        <v>1705.16</v>
      </c>
      <c r="M11" s="15">
        <v>705583.95</v>
      </c>
      <c r="N11" s="15">
        <v>46582.85</v>
      </c>
      <c r="O11" s="15">
        <v>6215.4</v>
      </c>
      <c r="P11" s="15">
        <v>21859.599999999999</v>
      </c>
      <c r="Q11" s="15">
        <v>17499.25</v>
      </c>
      <c r="R11" s="15">
        <v>58630.3</v>
      </c>
      <c r="S11" s="15">
        <v>23876.85</v>
      </c>
      <c r="T11" s="15">
        <v>46581.02</v>
      </c>
      <c r="U11" s="15">
        <v>249385.42</v>
      </c>
      <c r="V11" s="15">
        <v>14576.3</v>
      </c>
      <c r="W11" s="15">
        <v>73913.69</v>
      </c>
      <c r="X11" s="15">
        <v>107111.95</v>
      </c>
      <c r="Y11" s="15">
        <v>4017.3</v>
      </c>
      <c r="Z11" s="15">
        <v>10433.049999999999</v>
      </c>
      <c r="AA11" s="15">
        <v>43561.7</v>
      </c>
      <c r="AB11" s="15">
        <v>79853.5</v>
      </c>
      <c r="AC11" s="15">
        <v>49454.45</v>
      </c>
      <c r="AD11" s="15">
        <v>41445.85</v>
      </c>
      <c r="AE11" s="15">
        <v>189316.8</v>
      </c>
      <c r="AF11" s="15">
        <v>218784.34</v>
      </c>
      <c r="AG11" s="15">
        <v>15562.15</v>
      </c>
      <c r="AH11" s="15">
        <v>18483.8</v>
      </c>
      <c r="AI11" s="15">
        <v>101780.75</v>
      </c>
      <c r="AJ11" s="15">
        <v>120358.85</v>
      </c>
      <c r="AK11" s="15">
        <v>90255.85</v>
      </c>
      <c r="AL11" s="15">
        <v>4944.2</v>
      </c>
      <c r="AM11" s="15">
        <v>45643.4</v>
      </c>
      <c r="AN11" s="15">
        <v>54294.37</v>
      </c>
      <c r="AO11" s="15">
        <v>48492.15</v>
      </c>
      <c r="AP11" s="15">
        <v>158904.66</v>
      </c>
      <c r="AQ11" s="15">
        <v>51559.3</v>
      </c>
      <c r="AR11" s="15">
        <v>87962.83</v>
      </c>
      <c r="AS11" s="15">
        <v>12590.15</v>
      </c>
      <c r="AT11" s="15">
        <v>91628.4</v>
      </c>
      <c r="AU11" s="15">
        <v>56447.82</v>
      </c>
      <c r="AV11" s="15">
        <v>22384.7</v>
      </c>
      <c r="AW11" s="15">
        <v>7409.6</v>
      </c>
      <c r="AX11" s="15">
        <v>120593.91</v>
      </c>
      <c r="AY11" s="15">
        <v>39912.800000000003</v>
      </c>
      <c r="AZ11" s="15">
        <v>131329.66</v>
      </c>
      <c r="BA11" s="15">
        <v>15319.05</v>
      </c>
      <c r="BB11" s="15">
        <v>1379671.74</v>
      </c>
      <c r="BC11" s="15">
        <v>53400.5</v>
      </c>
      <c r="BD11" s="15">
        <f t="shared" si="1"/>
        <v>7971719.9600000018</v>
      </c>
      <c r="BE11" s="15">
        <f t="shared" si="2"/>
        <v>4410320.3900000006</v>
      </c>
      <c r="BF11" s="15">
        <f t="shared" si="3"/>
        <v>866514.88</v>
      </c>
      <c r="BG11" s="15">
        <f t="shared" si="4"/>
        <v>2694884.69</v>
      </c>
    </row>
    <row r="12" spans="1:59" ht="16.5" customHeight="1" x14ac:dyDescent="0.25">
      <c r="A12" s="29"/>
      <c r="B12" s="6"/>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73"/>
      <c r="BE12" s="73"/>
      <c r="BF12" s="73"/>
      <c r="BG12" s="73"/>
    </row>
    <row r="13" spans="1:59" ht="16.5" customHeight="1" x14ac:dyDescent="0.25">
      <c r="A13" s="98">
        <v>2</v>
      </c>
      <c r="B13" s="76" t="s">
        <v>300</v>
      </c>
      <c r="C13" s="101">
        <f>C14-C15</f>
        <v>1308218.51</v>
      </c>
      <c r="D13" s="101">
        <f t="shared" ref="D13:BC13" si="6">D14-D15</f>
        <v>344557.35</v>
      </c>
      <c r="E13" s="101">
        <f t="shared" si="6"/>
        <v>623649.35</v>
      </c>
      <c r="F13" s="101">
        <f t="shared" si="6"/>
        <v>580040.98</v>
      </c>
      <c r="G13" s="101">
        <f t="shared" si="6"/>
        <v>4927294.6399999997</v>
      </c>
      <c r="H13" s="101">
        <f t="shared" si="6"/>
        <v>4378520</v>
      </c>
      <c r="I13" s="101">
        <f t="shared" si="6"/>
        <v>3531830.99</v>
      </c>
      <c r="J13" s="101">
        <f t="shared" si="6"/>
        <v>16340285.790000001</v>
      </c>
      <c r="K13" s="101">
        <f t="shared" si="6"/>
        <v>1859112.3099999998</v>
      </c>
      <c r="L13" s="101">
        <f t="shared" si="6"/>
        <v>135427</v>
      </c>
      <c r="M13" s="101">
        <f t="shared" si="6"/>
        <v>9514863.1999999993</v>
      </c>
      <c r="N13" s="101">
        <f t="shared" si="6"/>
        <v>787066.05</v>
      </c>
      <c r="O13" s="101">
        <f t="shared" si="6"/>
        <v>144939.32</v>
      </c>
      <c r="P13" s="101">
        <f t="shared" si="6"/>
        <v>537874.45000000007</v>
      </c>
      <c r="Q13" s="101">
        <f t="shared" si="6"/>
        <v>489261.91000000003</v>
      </c>
      <c r="R13" s="101">
        <f t="shared" si="6"/>
        <v>1019371.16</v>
      </c>
      <c r="S13" s="101">
        <f t="shared" si="6"/>
        <v>319243</v>
      </c>
      <c r="T13" s="101">
        <f t="shared" si="6"/>
        <v>573321.5</v>
      </c>
      <c r="U13" s="101">
        <f t="shared" si="6"/>
        <v>4281903.2300000004</v>
      </c>
      <c r="V13" s="101">
        <f t="shared" si="6"/>
        <v>350150.02999999997</v>
      </c>
      <c r="W13" s="101">
        <f t="shared" si="6"/>
        <v>1587108.81</v>
      </c>
      <c r="X13" s="101">
        <f t="shared" si="6"/>
        <v>1985618.9000000001</v>
      </c>
      <c r="Y13" s="101">
        <f t="shared" si="6"/>
        <v>166203.78</v>
      </c>
      <c r="Z13" s="101">
        <f t="shared" si="6"/>
        <v>184018.55</v>
      </c>
      <c r="AA13" s="101">
        <f t="shared" si="6"/>
        <v>664195.5</v>
      </c>
      <c r="AB13" s="101">
        <f t="shared" si="6"/>
        <v>907101.97999999986</v>
      </c>
      <c r="AC13" s="101">
        <f t="shared" si="6"/>
        <v>699953.03</v>
      </c>
      <c r="AD13" s="101">
        <f t="shared" si="6"/>
        <v>709814.52</v>
      </c>
      <c r="AE13" s="101">
        <f t="shared" si="6"/>
        <v>2713482.72</v>
      </c>
      <c r="AF13" s="101">
        <f t="shared" si="6"/>
        <v>3209252.74</v>
      </c>
      <c r="AG13" s="101">
        <f t="shared" si="6"/>
        <v>267521.2</v>
      </c>
      <c r="AH13" s="101">
        <f t="shared" si="6"/>
        <v>140486.35</v>
      </c>
      <c r="AI13" s="101">
        <f t="shared" si="6"/>
        <v>2428933.19</v>
      </c>
      <c r="AJ13" s="101">
        <f t="shared" si="6"/>
        <v>1474534.15</v>
      </c>
      <c r="AK13" s="101">
        <f t="shared" si="6"/>
        <v>1610859.9000000001</v>
      </c>
      <c r="AL13" s="101">
        <f t="shared" si="6"/>
        <v>128229.1</v>
      </c>
      <c r="AM13" s="101">
        <f t="shared" si="6"/>
        <v>3632547.74</v>
      </c>
      <c r="AN13" s="101">
        <f t="shared" si="6"/>
        <v>817045.05</v>
      </c>
      <c r="AO13" s="101">
        <f t="shared" si="6"/>
        <v>871415.45</v>
      </c>
      <c r="AP13" s="101">
        <f t="shared" si="6"/>
        <v>1620087.03</v>
      </c>
      <c r="AQ13" s="101">
        <f t="shared" si="6"/>
        <v>1018195.2999999999</v>
      </c>
      <c r="AR13" s="101">
        <f t="shared" si="6"/>
        <v>1349057.34</v>
      </c>
      <c r="AS13" s="101">
        <f t="shared" si="6"/>
        <v>376671</v>
      </c>
      <c r="AT13" s="101">
        <f t="shared" si="6"/>
        <v>3082118.3699999996</v>
      </c>
      <c r="AU13" s="101">
        <f t="shared" si="6"/>
        <v>997603.22</v>
      </c>
      <c r="AV13" s="101">
        <f t="shared" si="6"/>
        <v>232866.41</v>
      </c>
      <c r="AW13" s="101">
        <f t="shared" si="6"/>
        <v>435909.27</v>
      </c>
      <c r="AX13" s="101">
        <f t="shared" si="6"/>
        <v>2372113.71</v>
      </c>
      <c r="AY13" s="101">
        <f t="shared" si="6"/>
        <v>469157.08</v>
      </c>
      <c r="AZ13" s="101">
        <f t="shared" si="6"/>
        <v>1351036.4000000001</v>
      </c>
      <c r="BA13" s="101">
        <f t="shared" si="6"/>
        <v>222370.29</v>
      </c>
      <c r="BB13" s="101">
        <f t="shared" si="6"/>
        <v>7671008.9900000002</v>
      </c>
      <c r="BC13" s="101">
        <f t="shared" si="6"/>
        <v>683030.4</v>
      </c>
      <c r="BD13" s="101">
        <f t="shared" si="1"/>
        <v>98126478.24000001</v>
      </c>
      <c r="BE13" s="101">
        <f t="shared" si="2"/>
        <v>51696780.739999995</v>
      </c>
      <c r="BF13" s="101">
        <f t="shared" si="3"/>
        <v>13584908.109999999</v>
      </c>
      <c r="BG13" s="101">
        <f t="shared" si="4"/>
        <v>32844789.389999993</v>
      </c>
    </row>
    <row r="14" spans="1:59" ht="16.5" customHeight="1" x14ac:dyDescent="0.25">
      <c r="A14" s="29"/>
      <c r="B14" s="7" t="s">
        <v>307</v>
      </c>
      <c r="C14" s="15">
        <v>1337408.81</v>
      </c>
      <c r="D14" s="15">
        <v>355243.35</v>
      </c>
      <c r="E14" s="15">
        <v>635085.35</v>
      </c>
      <c r="F14" s="15">
        <v>589503.72</v>
      </c>
      <c r="G14" s="15">
        <v>5331283.3899999997</v>
      </c>
      <c r="H14" s="15">
        <v>4543394</v>
      </c>
      <c r="I14" s="15">
        <v>3563510.04</v>
      </c>
      <c r="J14" s="15">
        <v>17536442.890000001</v>
      </c>
      <c r="K14" s="15">
        <v>1903187.41</v>
      </c>
      <c r="L14" s="15">
        <v>135584</v>
      </c>
      <c r="M14" s="15">
        <v>9961882.7899999991</v>
      </c>
      <c r="N14" s="15">
        <v>833337</v>
      </c>
      <c r="O14" s="15">
        <v>146546.04</v>
      </c>
      <c r="P14" s="15">
        <v>548146.30000000005</v>
      </c>
      <c r="Q14" s="15">
        <v>563640.76</v>
      </c>
      <c r="R14" s="15">
        <v>1092508.82</v>
      </c>
      <c r="S14" s="15">
        <v>341150.45</v>
      </c>
      <c r="T14" s="15">
        <v>741074.2</v>
      </c>
      <c r="U14" s="15">
        <v>4681920.32</v>
      </c>
      <c r="V14" s="15">
        <v>401948.93</v>
      </c>
      <c r="W14" s="15">
        <v>1637047.87</v>
      </c>
      <c r="X14" s="15">
        <v>2578392.4500000002</v>
      </c>
      <c r="Y14" s="15">
        <v>170953.08</v>
      </c>
      <c r="Z14" s="15">
        <v>184220.55</v>
      </c>
      <c r="AA14" s="15">
        <v>736424.3</v>
      </c>
      <c r="AB14" s="15">
        <v>1117126.1499999999</v>
      </c>
      <c r="AC14" s="15">
        <v>852360.53</v>
      </c>
      <c r="AD14" s="15">
        <v>723461.52</v>
      </c>
      <c r="AE14" s="15">
        <v>2855749.62</v>
      </c>
      <c r="AF14" s="15">
        <v>3354218.04</v>
      </c>
      <c r="AG14" s="15">
        <v>307642</v>
      </c>
      <c r="AH14" s="15">
        <v>140529.35</v>
      </c>
      <c r="AI14" s="15">
        <v>2506216.61</v>
      </c>
      <c r="AJ14" s="15">
        <v>1564945.52</v>
      </c>
      <c r="AK14" s="15">
        <v>1866963.35</v>
      </c>
      <c r="AL14" s="15">
        <v>128296.1</v>
      </c>
      <c r="AM14" s="15">
        <v>3667757.64</v>
      </c>
      <c r="AN14" s="15">
        <v>909818.4</v>
      </c>
      <c r="AO14" s="15">
        <v>882264.95</v>
      </c>
      <c r="AP14" s="15">
        <v>1929816.58</v>
      </c>
      <c r="AQ14" s="15">
        <v>1148963.6499999999</v>
      </c>
      <c r="AR14" s="15">
        <v>1384900.84</v>
      </c>
      <c r="AS14" s="15">
        <v>389081.45</v>
      </c>
      <c r="AT14" s="15">
        <v>3199517.32</v>
      </c>
      <c r="AU14" s="15">
        <v>1051921.27</v>
      </c>
      <c r="AV14" s="15">
        <v>233202.41</v>
      </c>
      <c r="AW14" s="15">
        <v>441924.32</v>
      </c>
      <c r="AX14" s="15">
        <v>2503369.23</v>
      </c>
      <c r="AY14" s="15">
        <v>637367.28</v>
      </c>
      <c r="AZ14" s="15">
        <v>1395978.84</v>
      </c>
      <c r="BA14" s="15">
        <v>222651.29</v>
      </c>
      <c r="BB14" s="15">
        <v>8165657.5899999999</v>
      </c>
      <c r="BC14" s="15">
        <v>762761.4</v>
      </c>
      <c r="BD14" s="15">
        <f t="shared" si="1"/>
        <v>104894300.06999999</v>
      </c>
      <c r="BE14" s="15">
        <f t="shared" si="2"/>
        <v>54840849.639999993</v>
      </c>
      <c r="BF14" s="15">
        <f t="shared" si="3"/>
        <v>15060074.389999999</v>
      </c>
      <c r="BG14" s="15">
        <f t="shared" si="4"/>
        <v>34993376.039999999</v>
      </c>
    </row>
    <row r="15" spans="1:59" ht="16.5" customHeight="1" x14ac:dyDescent="0.25">
      <c r="A15" s="29"/>
      <c r="B15" s="7" t="s">
        <v>308</v>
      </c>
      <c r="C15" s="15">
        <v>29190.3</v>
      </c>
      <c r="D15" s="15">
        <v>10686</v>
      </c>
      <c r="E15" s="15">
        <v>11436</v>
      </c>
      <c r="F15" s="15">
        <v>9462.74</v>
      </c>
      <c r="G15" s="15">
        <v>403988.75</v>
      </c>
      <c r="H15" s="15">
        <v>164874</v>
      </c>
      <c r="I15" s="15">
        <v>31679.05</v>
      </c>
      <c r="J15" s="15">
        <v>1196157.1000000001</v>
      </c>
      <c r="K15" s="15">
        <v>44075.1</v>
      </c>
      <c r="L15" s="15">
        <v>157</v>
      </c>
      <c r="M15" s="15">
        <v>447019.59</v>
      </c>
      <c r="N15" s="15">
        <v>46270.95</v>
      </c>
      <c r="O15" s="15">
        <v>1606.72</v>
      </c>
      <c r="P15" s="15">
        <v>10271.85</v>
      </c>
      <c r="Q15" s="15">
        <v>74378.850000000006</v>
      </c>
      <c r="R15" s="15">
        <v>73137.66</v>
      </c>
      <c r="S15" s="15">
        <v>21907.45</v>
      </c>
      <c r="T15" s="15">
        <v>167752.70000000001</v>
      </c>
      <c r="U15" s="15">
        <v>400017.09</v>
      </c>
      <c r="V15" s="15">
        <v>51798.9</v>
      </c>
      <c r="W15" s="15">
        <v>49939.06</v>
      </c>
      <c r="X15" s="15">
        <v>592773.55000000005</v>
      </c>
      <c r="Y15" s="15">
        <v>4749.3</v>
      </c>
      <c r="Z15" s="15">
        <v>202</v>
      </c>
      <c r="AA15" s="15">
        <v>72228.800000000003</v>
      </c>
      <c r="AB15" s="15">
        <v>210024.17</v>
      </c>
      <c r="AC15" s="15">
        <v>152407.5</v>
      </c>
      <c r="AD15" s="15">
        <v>13647</v>
      </c>
      <c r="AE15" s="15">
        <v>142266.9</v>
      </c>
      <c r="AF15" s="15">
        <v>144965.29999999999</v>
      </c>
      <c r="AG15" s="15">
        <v>40120.800000000003</v>
      </c>
      <c r="AH15" s="15">
        <v>43</v>
      </c>
      <c r="AI15" s="15">
        <v>77283.42</v>
      </c>
      <c r="AJ15" s="15">
        <v>90411.37</v>
      </c>
      <c r="AK15" s="15">
        <v>256103.45</v>
      </c>
      <c r="AL15" s="15">
        <v>67</v>
      </c>
      <c r="AM15" s="15">
        <v>35209.9</v>
      </c>
      <c r="AN15" s="15">
        <v>92773.35</v>
      </c>
      <c r="AO15" s="15">
        <v>10849.5</v>
      </c>
      <c r="AP15" s="15">
        <v>309729.55</v>
      </c>
      <c r="AQ15" s="15">
        <v>130768.35</v>
      </c>
      <c r="AR15" s="15">
        <v>35843.5</v>
      </c>
      <c r="AS15" s="15">
        <v>12410.45</v>
      </c>
      <c r="AT15" s="15">
        <v>117398.95</v>
      </c>
      <c r="AU15" s="15">
        <v>54318.05</v>
      </c>
      <c r="AV15" s="15">
        <v>336</v>
      </c>
      <c r="AW15" s="15">
        <v>6015.05</v>
      </c>
      <c r="AX15" s="15">
        <v>131255.51999999999</v>
      </c>
      <c r="AY15" s="15">
        <v>168210.2</v>
      </c>
      <c r="AZ15" s="15">
        <v>44942.44</v>
      </c>
      <c r="BA15" s="15">
        <v>281</v>
      </c>
      <c r="BB15" s="15">
        <v>494648.6</v>
      </c>
      <c r="BC15" s="15">
        <v>79731</v>
      </c>
      <c r="BD15" s="15">
        <f t="shared" si="1"/>
        <v>6767821.8300000001</v>
      </c>
      <c r="BE15" s="15">
        <f t="shared" si="2"/>
        <v>3144068.9000000013</v>
      </c>
      <c r="BF15" s="15">
        <f t="shared" si="3"/>
        <v>1475166.2800000003</v>
      </c>
      <c r="BG15" s="15">
        <f t="shared" si="4"/>
        <v>2148586.65</v>
      </c>
    </row>
    <row r="16" spans="1:59" ht="16.5" customHeight="1" x14ac:dyDescent="0.25">
      <c r="A16" s="29"/>
      <c r="B16" s="6"/>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73"/>
      <c r="BE16" s="73"/>
      <c r="BF16" s="73"/>
      <c r="BG16" s="73"/>
    </row>
    <row r="17" spans="1:59" ht="16.5" customHeight="1" x14ac:dyDescent="0.25">
      <c r="A17" s="98">
        <v>3</v>
      </c>
      <c r="B17" s="76" t="s">
        <v>301</v>
      </c>
      <c r="C17" s="101">
        <f>C18-C19</f>
        <v>26712.3</v>
      </c>
      <c r="D17" s="101">
        <f t="shared" ref="D17:BC17" si="7">D18-D19</f>
        <v>11649.98</v>
      </c>
      <c r="E17" s="101">
        <f t="shared" si="7"/>
        <v>7042.25</v>
      </c>
      <c r="F17" s="101">
        <f t="shared" si="7"/>
        <v>8211</v>
      </c>
      <c r="G17" s="101">
        <f t="shared" si="7"/>
        <v>141192.04999999999</v>
      </c>
      <c r="H17" s="101">
        <f t="shared" si="7"/>
        <v>223090</v>
      </c>
      <c r="I17" s="101">
        <f t="shared" si="7"/>
        <v>238750.99999999997</v>
      </c>
      <c r="J17" s="101">
        <f t="shared" si="7"/>
        <v>5017183.68</v>
      </c>
      <c r="K17" s="101">
        <f t="shared" si="7"/>
        <v>80755.760000000009</v>
      </c>
      <c r="L17" s="101">
        <f t="shared" si="7"/>
        <v>0</v>
      </c>
      <c r="M17" s="101">
        <f t="shared" si="7"/>
        <v>615835.57999999996</v>
      </c>
      <c r="N17" s="101">
        <f t="shared" si="7"/>
        <v>17317.899999999998</v>
      </c>
      <c r="O17" s="101">
        <f t="shared" si="7"/>
        <v>2284.6499999999996</v>
      </c>
      <c r="P17" s="101">
        <f t="shared" si="7"/>
        <v>8719.5499999999993</v>
      </c>
      <c r="Q17" s="101">
        <f t="shared" si="7"/>
        <v>36553.65</v>
      </c>
      <c r="R17" s="101">
        <f t="shared" si="7"/>
        <v>18640.3</v>
      </c>
      <c r="S17" s="101">
        <f t="shared" si="7"/>
        <v>22869.09</v>
      </c>
      <c r="T17" s="101">
        <f t="shared" si="7"/>
        <v>50662.499999999993</v>
      </c>
      <c r="U17" s="101">
        <f t="shared" si="7"/>
        <v>83704.87</v>
      </c>
      <c r="V17" s="101">
        <f t="shared" si="7"/>
        <v>30645.73</v>
      </c>
      <c r="W17" s="101">
        <f t="shared" si="7"/>
        <v>367657.64999999997</v>
      </c>
      <c r="X17" s="101">
        <f t="shared" si="7"/>
        <v>366870.68</v>
      </c>
      <c r="Y17" s="101">
        <f t="shared" si="7"/>
        <v>7589.64</v>
      </c>
      <c r="Z17" s="101">
        <f t="shared" si="7"/>
        <v>13594</v>
      </c>
      <c r="AA17" s="101">
        <f t="shared" si="7"/>
        <v>90507.71</v>
      </c>
      <c r="AB17" s="101">
        <f t="shared" si="7"/>
        <v>164666.25999999998</v>
      </c>
      <c r="AC17" s="101">
        <f t="shared" si="7"/>
        <v>80960.899999999994</v>
      </c>
      <c r="AD17" s="101">
        <f t="shared" si="7"/>
        <v>43722.52</v>
      </c>
      <c r="AE17" s="101">
        <f t="shared" si="7"/>
        <v>252469.82</v>
      </c>
      <c r="AF17" s="101">
        <f t="shared" si="7"/>
        <v>604607.5</v>
      </c>
      <c r="AG17" s="101">
        <f t="shared" si="7"/>
        <v>16532.55</v>
      </c>
      <c r="AH17" s="101">
        <f t="shared" si="7"/>
        <v>10434.15</v>
      </c>
      <c r="AI17" s="101">
        <f t="shared" si="7"/>
        <v>248008.97</v>
      </c>
      <c r="AJ17" s="101">
        <f t="shared" si="7"/>
        <v>81810</v>
      </c>
      <c r="AK17" s="101">
        <f t="shared" si="7"/>
        <v>119889.78</v>
      </c>
      <c r="AL17" s="101">
        <f t="shared" si="7"/>
        <v>8143.5499999999993</v>
      </c>
      <c r="AM17" s="101">
        <f t="shared" si="7"/>
        <v>798497.16</v>
      </c>
      <c r="AN17" s="101">
        <f t="shared" si="7"/>
        <v>73078.600000000006</v>
      </c>
      <c r="AO17" s="101">
        <f t="shared" si="7"/>
        <v>46816.15</v>
      </c>
      <c r="AP17" s="101">
        <f t="shared" si="7"/>
        <v>102432.9</v>
      </c>
      <c r="AQ17" s="101">
        <f t="shared" si="7"/>
        <v>57474.590000000004</v>
      </c>
      <c r="AR17" s="101">
        <f t="shared" si="7"/>
        <v>62117.7</v>
      </c>
      <c r="AS17" s="101">
        <f t="shared" si="7"/>
        <v>29306</v>
      </c>
      <c r="AT17" s="101">
        <f t="shared" si="7"/>
        <v>404432.39999999997</v>
      </c>
      <c r="AU17" s="101">
        <f t="shared" si="7"/>
        <v>77970.900000000009</v>
      </c>
      <c r="AV17" s="101">
        <f t="shared" si="7"/>
        <v>16324.45</v>
      </c>
      <c r="AW17" s="101">
        <f t="shared" si="7"/>
        <v>146745.25</v>
      </c>
      <c r="AX17" s="101">
        <f t="shared" si="7"/>
        <v>150381.16</v>
      </c>
      <c r="AY17" s="101">
        <f t="shared" si="7"/>
        <v>26621.15</v>
      </c>
      <c r="AZ17" s="101">
        <f t="shared" si="7"/>
        <v>115988.37</v>
      </c>
      <c r="BA17" s="101">
        <f t="shared" si="7"/>
        <v>20242.18</v>
      </c>
      <c r="BB17" s="101">
        <f t="shared" si="7"/>
        <v>3327023.36</v>
      </c>
      <c r="BC17" s="101">
        <f t="shared" si="7"/>
        <v>128013.25</v>
      </c>
      <c r="BD17" s="101">
        <f t="shared" si="1"/>
        <v>14702753.09</v>
      </c>
      <c r="BE17" s="101">
        <f t="shared" si="2"/>
        <v>6611176.1100000003</v>
      </c>
      <c r="BF17" s="101">
        <f t="shared" si="3"/>
        <v>2050259.1099999999</v>
      </c>
      <c r="BG17" s="101">
        <f t="shared" si="4"/>
        <v>6041317.8700000001</v>
      </c>
    </row>
    <row r="18" spans="1:59" ht="16.5" customHeight="1" x14ac:dyDescent="0.25">
      <c r="A18" s="29"/>
      <c r="B18" s="7" t="s">
        <v>307</v>
      </c>
      <c r="C18" s="15">
        <v>26712.3</v>
      </c>
      <c r="D18" s="15">
        <v>15742.38</v>
      </c>
      <c r="E18" s="15">
        <v>7042.25</v>
      </c>
      <c r="F18" s="15">
        <v>8211</v>
      </c>
      <c r="G18" s="15">
        <v>157192.04999999999</v>
      </c>
      <c r="H18" s="15">
        <v>274733</v>
      </c>
      <c r="I18" s="15">
        <v>285717.59999999998</v>
      </c>
      <c r="J18" s="15">
        <v>5997756.4699999997</v>
      </c>
      <c r="K18" s="15">
        <v>104811.86</v>
      </c>
      <c r="L18" s="15">
        <v>0</v>
      </c>
      <c r="M18" s="15">
        <v>761014.85</v>
      </c>
      <c r="N18" s="15">
        <v>19345.849999999999</v>
      </c>
      <c r="O18" s="15">
        <v>8967.65</v>
      </c>
      <c r="P18" s="15">
        <v>9529.15</v>
      </c>
      <c r="Q18" s="15">
        <v>37103.65</v>
      </c>
      <c r="R18" s="15">
        <v>18640.3</v>
      </c>
      <c r="S18" s="15">
        <v>22869.09</v>
      </c>
      <c r="T18" s="15">
        <v>75199.899999999994</v>
      </c>
      <c r="U18" s="15">
        <v>90909.87</v>
      </c>
      <c r="V18" s="15">
        <v>30645.73</v>
      </c>
      <c r="W18" s="15">
        <v>379928.3</v>
      </c>
      <c r="X18" s="15">
        <v>386025.83</v>
      </c>
      <c r="Y18" s="15">
        <v>7589.64</v>
      </c>
      <c r="Z18" s="15">
        <v>13594</v>
      </c>
      <c r="AA18" s="15">
        <v>117077.16</v>
      </c>
      <c r="AB18" s="15">
        <v>200860.27</v>
      </c>
      <c r="AC18" s="15">
        <v>80960.899999999994</v>
      </c>
      <c r="AD18" s="15">
        <v>43722.52</v>
      </c>
      <c r="AE18" s="15">
        <v>266498.37</v>
      </c>
      <c r="AF18" s="15">
        <v>604607.5</v>
      </c>
      <c r="AG18" s="15">
        <v>16532.55</v>
      </c>
      <c r="AH18" s="15">
        <v>10434.15</v>
      </c>
      <c r="AI18" s="15">
        <v>248008.97</v>
      </c>
      <c r="AJ18" s="15">
        <v>125335</v>
      </c>
      <c r="AK18" s="15">
        <v>129239.78</v>
      </c>
      <c r="AL18" s="15">
        <v>9033.5499999999993</v>
      </c>
      <c r="AM18" s="15">
        <v>897104.91</v>
      </c>
      <c r="AN18" s="15">
        <v>77474.600000000006</v>
      </c>
      <c r="AO18" s="15">
        <v>47383.15</v>
      </c>
      <c r="AP18" s="15">
        <v>148782.9</v>
      </c>
      <c r="AQ18" s="15">
        <v>69916.240000000005</v>
      </c>
      <c r="AR18" s="15">
        <v>65569.149999999994</v>
      </c>
      <c r="AS18" s="15">
        <v>29644</v>
      </c>
      <c r="AT18" s="15">
        <v>445743.1</v>
      </c>
      <c r="AU18" s="15">
        <v>81732.850000000006</v>
      </c>
      <c r="AV18" s="15">
        <v>18721.45</v>
      </c>
      <c r="AW18" s="15">
        <v>159575.6</v>
      </c>
      <c r="AX18" s="15">
        <v>172609.51</v>
      </c>
      <c r="AY18" s="15">
        <v>27050.15</v>
      </c>
      <c r="AZ18" s="15">
        <v>131981.37</v>
      </c>
      <c r="BA18" s="15">
        <v>20761.330000000002</v>
      </c>
      <c r="BB18" s="15">
        <v>3497697.9</v>
      </c>
      <c r="BC18" s="15">
        <v>141628.25</v>
      </c>
      <c r="BD18" s="15">
        <f t="shared" si="1"/>
        <v>16624969.9</v>
      </c>
      <c r="BE18" s="15">
        <f t="shared" si="2"/>
        <v>7921499.2200000007</v>
      </c>
      <c r="BF18" s="15">
        <f t="shared" si="3"/>
        <v>2158476.9199999995</v>
      </c>
      <c r="BG18" s="15">
        <f t="shared" si="4"/>
        <v>6544993.7599999998</v>
      </c>
    </row>
    <row r="19" spans="1:59" ht="16.5" customHeight="1" x14ac:dyDescent="0.25">
      <c r="A19" s="29"/>
      <c r="B19" s="7" t="s">
        <v>308</v>
      </c>
      <c r="C19" s="15">
        <v>0</v>
      </c>
      <c r="D19" s="15">
        <v>4092.4</v>
      </c>
      <c r="E19" s="15">
        <v>0</v>
      </c>
      <c r="F19" s="15">
        <v>0</v>
      </c>
      <c r="G19" s="15">
        <v>16000</v>
      </c>
      <c r="H19" s="15">
        <v>51643</v>
      </c>
      <c r="I19" s="15">
        <v>46966.6</v>
      </c>
      <c r="J19" s="15">
        <v>980572.79</v>
      </c>
      <c r="K19" s="15">
        <v>24056.1</v>
      </c>
      <c r="L19" s="15">
        <v>0</v>
      </c>
      <c r="M19" s="15">
        <v>145179.26999999999</v>
      </c>
      <c r="N19" s="15">
        <v>2027.95</v>
      </c>
      <c r="O19" s="15">
        <v>6683</v>
      </c>
      <c r="P19" s="15">
        <v>809.6</v>
      </c>
      <c r="Q19" s="15">
        <v>550</v>
      </c>
      <c r="R19" s="15">
        <v>0</v>
      </c>
      <c r="S19" s="15">
        <v>0</v>
      </c>
      <c r="T19" s="15">
        <v>24537.4</v>
      </c>
      <c r="U19" s="15">
        <v>7205</v>
      </c>
      <c r="V19" s="15">
        <v>0</v>
      </c>
      <c r="W19" s="15">
        <v>12270.65</v>
      </c>
      <c r="X19" s="15">
        <v>19155.150000000001</v>
      </c>
      <c r="Y19" s="15">
        <v>0</v>
      </c>
      <c r="Z19" s="15">
        <v>0</v>
      </c>
      <c r="AA19" s="15">
        <v>26569.45</v>
      </c>
      <c r="AB19" s="15">
        <v>36194.01</v>
      </c>
      <c r="AC19" s="15">
        <v>0</v>
      </c>
      <c r="AD19" s="15">
        <v>0</v>
      </c>
      <c r="AE19" s="15">
        <v>14028.55</v>
      </c>
      <c r="AF19" s="15">
        <v>0</v>
      </c>
      <c r="AG19" s="15">
        <v>0</v>
      </c>
      <c r="AH19" s="15">
        <v>0</v>
      </c>
      <c r="AI19" s="15">
        <v>0</v>
      </c>
      <c r="AJ19" s="15">
        <v>43525</v>
      </c>
      <c r="AK19" s="15">
        <v>9350</v>
      </c>
      <c r="AL19" s="15">
        <v>890</v>
      </c>
      <c r="AM19" s="15">
        <v>98607.75</v>
      </c>
      <c r="AN19" s="15">
        <v>4396</v>
      </c>
      <c r="AO19" s="15">
        <v>567</v>
      </c>
      <c r="AP19" s="15">
        <v>46350</v>
      </c>
      <c r="AQ19" s="15">
        <v>12441.65</v>
      </c>
      <c r="AR19" s="15">
        <v>3451.45</v>
      </c>
      <c r="AS19" s="15">
        <v>338</v>
      </c>
      <c r="AT19" s="15">
        <v>41310.699999999997</v>
      </c>
      <c r="AU19" s="15">
        <v>3761.95</v>
      </c>
      <c r="AV19" s="15">
        <v>2397</v>
      </c>
      <c r="AW19" s="15">
        <v>12830.35</v>
      </c>
      <c r="AX19" s="15">
        <v>22228.35</v>
      </c>
      <c r="AY19" s="15">
        <v>429</v>
      </c>
      <c r="AZ19" s="15">
        <v>15993</v>
      </c>
      <c r="BA19" s="15">
        <v>519.15</v>
      </c>
      <c r="BB19" s="15">
        <v>170674.54</v>
      </c>
      <c r="BC19" s="15">
        <v>13615</v>
      </c>
      <c r="BD19" s="15">
        <f t="shared" si="1"/>
        <v>1922216.8099999998</v>
      </c>
      <c r="BE19" s="15">
        <f t="shared" si="2"/>
        <v>1310323.1100000001</v>
      </c>
      <c r="BF19" s="15">
        <f t="shared" si="3"/>
        <v>108217.81000000001</v>
      </c>
      <c r="BG19" s="15">
        <f t="shared" si="4"/>
        <v>503675.89</v>
      </c>
    </row>
    <row r="20" spans="1:59" ht="16.5" customHeight="1" x14ac:dyDescent="0.25">
      <c r="A20" s="29"/>
      <c r="B20" s="6"/>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73"/>
      <c r="BE20" s="73"/>
      <c r="BF20" s="73"/>
      <c r="BG20" s="73"/>
    </row>
    <row r="21" spans="1:59" ht="16.5" customHeight="1" x14ac:dyDescent="0.25">
      <c r="A21" s="98">
        <v>4</v>
      </c>
      <c r="B21" s="76" t="s">
        <v>302</v>
      </c>
      <c r="C21" s="101">
        <f>C22-C23</f>
        <v>5002.87</v>
      </c>
      <c r="D21" s="101">
        <f t="shared" ref="D21:BC21" si="8">D22-D23</f>
        <v>3624.05</v>
      </c>
      <c r="E21" s="101">
        <f t="shared" si="8"/>
        <v>3710.55</v>
      </c>
      <c r="F21" s="101">
        <f t="shared" si="8"/>
        <v>2376.35</v>
      </c>
      <c r="G21" s="101">
        <f t="shared" si="8"/>
        <v>33205.07</v>
      </c>
      <c r="H21" s="101">
        <f t="shared" si="8"/>
        <v>23284</v>
      </c>
      <c r="I21" s="101">
        <f t="shared" si="8"/>
        <v>26113.81</v>
      </c>
      <c r="J21" s="101">
        <f t="shared" si="8"/>
        <v>92744</v>
      </c>
      <c r="K21" s="101">
        <f t="shared" si="8"/>
        <v>11106.630000000001</v>
      </c>
      <c r="L21" s="101">
        <f t="shared" si="8"/>
        <v>1596.4</v>
      </c>
      <c r="M21" s="101">
        <f t="shared" si="8"/>
        <v>59301.42</v>
      </c>
      <c r="N21" s="101">
        <f t="shared" si="8"/>
        <v>5713.67</v>
      </c>
      <c r="O21" s="101">
        <f t="shared" si="8"/>
        <v>1192.29</v>
      </c>
      <c r="P21" s="101">
        <f t="shared" si="8"/>
        <v>2425.0700000000002</v>
      </c>
      <c r="Q21" s="101">
        <f t="shared" si="8"/>
        <v>3367.84</v>
      </c>
      <c r="R21" s="101">
        <f t="shared" si="8"/>
        <v>4876.1000000000004</v>
      </c>
      <c r="S21" s="101">
        <f t="shared" si="8"/>
        <v>2734.69</v>
      </c>
      <c r="T21" s="101">
        <f t="shared" si="8"/>
        <v>3293.75</v>
      </c>
      <c r="U21" s="101">
        <f t="shared" si="8"/>
        <v>29772.81</v>
      </c>
      <c r="V21" s="101">
        <f t="shared" si="8"/>
        <v>1490.24</v>
      </c>
      <c r="W21" s="101">
        <f t="shared" si="8"/>
        <v>8636.9500000000007</v>
      </c>
      <c r="X21" s="101">
        <f t="shared" si="8"/>
        <v>12264.58</v>
      </c>
      <c r="Y21" s="101">
        <f t="shared" si="8"/>
        <v>416.17</v>
      </c>
      <c r="Z21" s="101">
        <f t="shared" si="8"/>
        <v>641.6</v>
      </c>
      <c r="AA21" s="101">
        <f t="shared" si="8"/>
        <v>3611.55</v>
      </c>
      <c r="AB21" s="101">
        <f t="shared" si="8"/>
        <v>5122.6499999999996</v>
      </c>
      <c r="AC21" s="101">
        <f t="shared" si="8"/>
        <v>2432</v>
      </c>
      <c r="AD21" s="101">
        <f t="shared" si="8"/>
        <v>5467.27</v>
      </c>
      <c r="AE21" s="101">
        <f t="shared" si="8"/>
        <v>17390.54</v>
      </c>
      <c r="AF21" s="101">
        <f t="shared" si="8"/>
        <v>13677.15</v>
      </c>
      <c r="AG21" s="101">
        <f t="shared" si="8"/>
        <v>2185.87</v>
      </c>
      <c r="AH21" s="101">
        <f t="shared" si="8"/>
        <v>559.20000000000005</v>
      </c>
      <c r="AI21" s="101">
        <f t="shared" si="8"/>
        <v>20018.14</v>
      </c>
      <c r="AJ21" s="101">
        <f t="shared" si="8"/>
        <v>6780.05</v>
      </c>
      <c r="AK21" s="101">
        <f t="shared" si="8"/>
        <v>10212.200000000001</v>
      </c>
      <c r="AL21" s="101">
        <f t="shared" si="8"/>
        <v>507.2</v>
      </c>
      <c r="AM21" s="101">
        <f t="shared" si="8"/>
        <v>10768.48</v>
      </c>
      <c r="AN21" s="101">
        <f t="shared" si="8"/>
        <v>3483.1</v>
      </c>
      <c r="AO21" s="101">
        <f t="shared" si="8"/>
        <v>4585.6499999999996</v>
      </c>
      <c r="AP21" s="101">
        <f t="shared" si="8"/>
        <v>7432.8</v>
      </c>
      <c r="AQ21" s="101">
        <f t="shared" si="8"/>
        <v>4097.6000000000004</v>
      </c>
      <c r="AR21" s="101">
        <f t="shared" si="8"/>
        <v>6183.09</v>
      </c>
      <c r="AS21" s="101">
        <f t="shared" si="8"/>
        <v>1417.86</v>
      </c>
      <c r="AT21" s="101">
        <f t="shared" si="8"/>
        <v>23014.25</v>
      </c>
      <c r="AU21" s="101">
        <f t="shared" si="8"/>
        <v>5898.33</v>
      </c>
      <c r="AV21" s="101">
        <f t="shared" si="8"/>
        <v>1385.49</v>
      </c>
      <c r="AW21" s="101">
        <f t="shared" si="8"/>
        <v>2473.9299999999998</v>
      </c>
      <c r="AX21" s="101">
        <f t="shared" si="8"/>
        <v>12578.8</v>
      </c>
      <c r="AY21" s="101">
        <f t="shared" si="8"/>
        <v>3159.93</v>
      </c>
      <c r="AZ21" s="101">
        <f t="shared" si="8"/>
        <v>7138.04</v>
      </c>
      <c r="BA21" s="101">
        <f t="shared" si="8"/>
        <v>1553.8</v>
      </c>
      <c r="BB21" s="101">
        <f t="shared" si="8"/>
        <v>58111.65</v>
      </c>
      <c r="BC21" s="101">
        <f t="shared" si="8"/>
        <v>5996.05</v>
      </c>
      <c r="BD21" s="101">
        <f t="shared" si="1"/>
        <v>586133.57999999996</v>
      </c>
      <c r="BE21" s="101">
        <f t="shared" si="2"/>
        <v>315441.37</v>
      </c>
      <c r="BF21" s="101">
        <f t="shared" si="3"/>
        <v>73895.76999999999</v>
      </c>
      <c r="BG21" s="101">
        <f t="shared" si="4"/>
        <v>196796.43999999997</v>
      </c>
    </row>
    <row r="22" spans="1:59" ht="16.5" customHeight="1" x14ac:dyDescent="0.25">
      <c r="A22" s="29"/>
      <c r="B22" s="7" t="s">
        <v>307</v>
      </c>
      <c r="C22" s="15">
        <v>5002.87</v>
      </c>
      <c r="D22" s="15">
        <v>3624.05</v>
      </c>
      <c r="E22" s="15">
        <v>3710.55</v>
      </c>
      <c r="F22" s="15">
        <v>2376.35</v>
      </c>
      <c r="G22" s="15">
        <v>33205.07</v>
      </c>
      <c r="H22" s="15">
        <v>23284</v>
      </c>
      <c r="I22" s="15">
        <v>26113.81</v>
      </c>
      <c r="J22" s="15">
        <v>108046.8</v>
      </c>
      <c r="K22" s="15">
        <v>11160.18</v>
      </c>
      <c r="L22" s="15">
        <v>1596.4</v>
      </c>
      <c r="M22" s="15">
        <v>59301.42</v>
      </c>
      <c r="N22" s="15">
        <v>5713.67</v>
      </c>
      <c r="O22" s="15">
        <v>1192.29</v>
      </c>
      <c r="P22" s="15">
        <v>2425.0700000000002</v>
      </c>
      <c r="Q22" s="15">
        <v>3367.84</v>
      </c>
      <c r="R22" s="15">
        <v>4876.1000000000004</v>
      </c>
      <c r="S22" s="15">
        <v>2734.69</v>
      </c>
      <c r="T22" s="15">
        <v>3293.75</v>
      </c>
      <c r="U22" s="15">
        <v>29772.81</v>
      </c>
      <c r="V22" s="15">
        <v>1490.24</v>
      </c>
      <c r="W22" s="15">
        <v>8636.9500000000007</v>
      </c>
      <c r="X22" s="15">
        <v>12264.58</v>
      </c>
      <c r="Y22" s="15">
        <v>416.17</v>
      </c>
      <c r="Z22" s="15">
        <v>641.6</v>
      </c>
      <c r="AA22" s="15">
        <v>4760.8500000000004</v>
      </c>
      <c r="AB22" s="15">
        <v>5322.65</v>
      </c>
      <c r="AC22" s="15">
        <v>2432</v>
      </c>
      <c r="AD22" s="15">
        <v>5467.27</v>
      </c>
      <c r="AE22" s="15">
        <v>17390.54</v>
      </c>
      <c r="AF22" s="15">
        <v>13677.15</v>
      </c>
      <c r="AG22" s="15">
        <v>2185.87</v>
      </c>
      <c r="AH22" s="15">
        <v>559.20000000000005</v>
      </c>
      <c r="AI22" s="15">
        <v>20018.14</v>
      </c>
      <c r="AJ22" s="15">
        <v>6780.05</v>
      </c>
      <c r="AK22" s="15">
        <v>10212.200000000001</v>
      </c>
      <c r="AL22" s="15">
        <v>507.2</v>
      </c>
      <c r="AM22" s="15">
        <v>10768.48</v>
      </c>
      <c r="AN22" s="15">
        <v>3483.1</v>
      </c>
      <c r="AO22" s="15">
        <v>4585.6499999999996</v>
      </c>
      <c r="AP22" s="15">
        <v>7432.8</v>
      </c>
      <c r="AQ22" s="15">
        <v>4097.6000000000004</v>
      </c>
      <c r="AR22" s="15">
        <v>6183.09</v>
      </c>
      <c r="AS22" s="15">
        <v>1417.86</v>
      </c>
      <c r="AT22" s="15">
        <v>23014.25</v>
      </c>
      <c r="AU22" s="15">
        <v>6408.33</v>
      </c>
      <c r="AV22" s="15">
        <v>1385.49</v>
      </c>
      <c r="AW22" s="15">
        <v>2473.9299999999998</v>
      </c>
      <c r="AX22" s="15">
        <v>22578.799999999999</v>
      </c>
      <c r="AY22" s="15">
        <v>3159.93</v>
      </c>
      <c r="AZ22" s="15">
        <v>7138.04</v>
      </c>
      <c r="BA22" s="15">
        <v>1553.8</v>
      </c>
      <c r="BB22" s="15">
        <v>61551.65</v>
      </c>
      <c r="BC22" s="15">
        <v>5996.05</v>
      </c>
      <c r="BD22" s="15">
        <f t="shared" si="1"/>
        <v>616789.23000000021</v>
      </c>
      <c r="BE22" s="15">
        <f t="shared" si="2"/>
        <v>330797.71999999997</v>
      </c>
      <c r="BF22" s="15">
        <f t="shared" si="3"/>
        <v>75245.069999999992</v>
      </c>
      <c r="BG22" s="15">
        <f t="shared" si="4"/>
        <v>210746.43999999997</v>
      </c>
    </row>
    <row r="23" spans="1:59" ht="16.5" customHeight="1" x14ac:dyDescent="0.25">
      <c r="A23" s="29"/>
      <c r="B23" s="7" t="s">
        <v>308</v>
      </c>
      <c r="C23" s="15">
        <v>0</v>
      </c>
      <c r="D23" s="15">
        <v>0</v>
      </c>
      <c r="E23" s="15">
        <v>0</v>
      </c>
      <c r="F23" s="15">
        <v>0</v>
      </c>
      <c r="G23" s="15">
        <v>0</v>
      </c>
      <c r="H23" s="15">
        <v>0</v>
      </c>
      <c r="I23" s="15">
        <v>0</v>
      </c>
      <c r="J23" s="15">
        <v>15302.8</v>
      </c>
      <c r="K23" s="15">
        <v>53.55</v>
      </c>
      <c r="L23" s="15">
        <v>0</v>
      </c>
      <c r="M23" s="15">
        <v>0</v>
      </c>
      <c r="N23" s="15">
        <v>0</v>
      </c>
      <c r="O23" s="15">
        <v>0</v>
      </c>
      <c r="P23" s="15">
        <v>0</v>
      </c>
      <c r="Q23" s="15">
        <v>0</v>
      </c>
      <c r="R23" s="15">
        <v>0</v>
      </c>
      <c r="S23" s="15">
        <v>0</v>
      </c>
      <c r="T23" s="15">
        <v>0</v>
      </c>
      <c r="U23" s="15">
        <v>0</v>
      </c>
      <c r="V23" s="15">
        <v>0</v>
      </c>
      <c r="W23" s="15">
        <v>0</v>
      </c>
      <c r="X23" s="15">
        <v>0</v>
      </c>
      <c r="Y23" s="15">
        <v>0</v>
      </c>
      <c r="Z23" s="15">
        <v>0</v>
      </c>
      <c r="AA23" s="15">
        <v>1149.3</v>
      </c>
      <c r="AB23" s="15">
        <v>200</v>
      </c>
      <c r="AC23" s="15">
        <v>0</v>
      </c>
      <c r="AD23" s="15">
        <v>0</v>
      </c>
      <c r="AE23" s="15">
        <v>0</v>
      </c>
      <c r="AF23" s="15">
        <v>0</v>
      </c>
      <c r="AG23" s="15">
        <v>0</v>
      </c>
      <c r="AH23" s="15">
        <v>0</v>
      </c>
      <c r="AI23" s="15">
        <v>0</v>
      </c>
      <c r="AJ23" s="15">
        <v>0</v>
      </c>
      <c r="AK23" s="15">
        <v>0</v>
      </c>
      <c r="AL23" s="15">
        <v>0</v>
      </c>
      <c r="AM23" s="15">
        <v>0</v>
      </c>
      <c r="AN23" s="15">
        <v>0</v>
      </c>
      <c r="AO23" s="15">
        <v>0</v>
      </c>
      <c r="AP23" s="15">
        <v>0</v>
      </c>
      <c r="AQ23" s="15">
        <v>0</v>
      </c>
      <c r="AR23" s="15">
        <v>0</v>
      </c>
      <c r="AS23" s="15">
        <v>0</v>
      </c>
      <c r="AT23" s="15">
        <v>0</v>
      </c>
      <c r="AU23" s="15">
        <v>510</v>
      </c>
      <c r="AV23" s="15">
        <v>0</v>
      </c>
      <c r="AW23" s="15">
        <v>0</v>
      </c>
      <c r="AX23" s="15">
        <v>10000</v>
      </c>
      <c r="AY23" s="15">
        <v>0</v>
      </c>
      <c r="AZ23" s="15">
        <v>0</v>
      </c>
      <c r="BA23" s="15">
        <v>0</v>
      </c>
      <c r="BB23" s="15">
        <v>3440</v>
      </c>
      <c r="BC23" s="15">
        <v>0</v>
      </c>
      <c r="BD23" s="15">
        <f t="shared" si="1"/>
        <v>30655.649999999998</v>
      </c>
      <c r="BE23" s="15">
        <f t="shared" si="2"/>
        <v>15356.349999999999</v>
      </c>
      <c r="BF23" s="15">
        <f t="shared" si="3"/>
        <v>1349.3</v>
      </c>
      <c r="BG23" s="15">
        <f t="shared" si="4"/>
        <v>13950</v>
      </c>
    </row>
    <row r="24" spans="1:59" ht="16.5" customHeight="1" x14ac:dyDescent="0.25">
      <c r="A24" s="29"/>
      <c r="B24" s="6"/>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73"/>
      <c r="BE24" s="73"/>
      <c r="BF24" s="73"/>
      <c r="BG24" s="73"/>
    </row>
    <row r="25" spans="1:59" ht="16.5" customHeight="1" x14ac:dyDescent="0.25">
      <c r="A25" s="98">
        <v>5</v>
      </c>
      <c r="B25" s="76" t="s">
        <v>303</v>
      </c>
      <c r="C25" s="101">
        <f>C26-C27</f>
        <v>747980.14999999991</v>
      </c>
      <c r="D25" s="101">
        <f t="shared" ref="D25:BC25" si="9">D26-D27</f>
        <v>205279.90000000002</v>
      </c>
      <c r="E25" s="101">
        <f t="shared" si="9"/>
        <v>379104.39</v>
      </c>
      <c r="F25" s="101">
        <f t="shared" si="9"/>
        <v>390518.10000000003</v>
      </c>
      <c r="G25" s="101">
        <f t="shared" si="9"/>
        <v>3116498.12</v>
      </c>
      <c r="H25" s="101">
        <f t="shared" si="9"/>
        <v>2669577</v>
      </c>
      <c r="I25" s="101">
        <f t="shared" si="9"/>
        <v>2109412.2800000003</v>
      </c>
      <c r="J25" s="101">
        <f t="shared" si="9"/>
        <v>10410699.889999999</v>
      </c>
      <c r="K25" s="101">
        <f t="shared" si="9"/>
        <v>1160971.44</v>
      </c>
      <c r="L25" s="101">
        <f t="shared" si="9"/>
        <v>87867.8</v>
      </c>
      <c r="M25" s="101">
        <f t="shared" si="9"/>
        <v>5830857.0800000001</v>
      </c>
      <c r="N25" s="101">
        <f t="shared" si="9"/>
        <v>461211.6</v>
      </c>
      <c r="O25" s="101">
        <f t="shared" si="9"/>
        <v>89787.75</v>
      </c>
      <c r="P25" s="101">
        <f t="shared" si="9"/>
        <v>306477.5</v>
      </c>
      <c r="Q25" s="101">
        <f t="shared" si="9"/>
        <v>288327.44</v>
      </c>
      <c r="R25" s="101">
        <f t="shared" si="9"/>
        <v>840991</v>
      </c>
      <c r="S25" s="101">
        <f t="shared" si="9"/>
        <v>197429.55000000002</v>
      </c>
      <c r="T25" s="101">
        <f t="shared" si="9"/>
        <v>376255.98000000004</v>
      </c>
      <c r="U25" s="101">
        <f t="shared" si="9"/>
        <v>2661484.61</v>
      </c>
      <c r="V25" s="101">
        <f t="shared" si="9"/>
        <v>274912.40000000002</v>
      </c>
      <c r="W25" s="101">
        <f t="shared" si="9"/>
        <v>1078958.6299999999</v>
      </c>
      <c r="X25" s="101">
        <f t="shared" si="9"/>
        <v>1270959.05</v>
      </c>
      <c r="Y25" s="101">
        <f t="shared" si="9"/>
        <v>74527.8</v>
      </c>
      <c r="Z25" s="101">
        <f t="shared" si="9"/>
        <v>114861.75</v>
      </c>
      <c r="AA25" s="101">
        <f t="shared" si="9"/>
        <v>404479.55</v>
      </c>
      <c r="AB25" s="101">
        <f t="shared" si="9"/>
        <v>729818.25</v>
      </c>
      <c r="AC25" s="101">
        <f t="shared" si="9"/>
        <v>414974.69999999995</v>
      </c>
      <c r="AD25" s="101">
        <f t="shared" si="9"/>
        <v>390862.25</v>
      </c>
      <c r="AE25" s="101">
        <f t="shared" si="9"/>
        <v>1533401.5</v>
      </c>
      <c r="AF25" s="101">
        <f t="shared" si="9"/>
        <v>2292154.0900000003</v>
      </c>
      <c r="AG25" s="101">
        <f t="shared" si="9"/>
        <v>180631.5</v>
      </c>
      <c r="AH25" s="101">
        <f t="shared" si="9"/>
        <v>105363.05</v>
      </c>
      <c r="AI25" s="101">
        <f t="shared" si="9"/>
        <v>1472058.3200000003</v>
      </c>
      <c r="AJ25" s="101">
        <f t="shared" si="9"/>
        <v>852282.70000000007</v>
      </c>
      <c r="AK25" s="101">
        <f t="shared" si="9"/>
        <v>1011888.1100000001</v>
      </c>
      <c r="AL25" s="101">
        <f t="shared" si="9"/>
        <v>88082.15</v>
      </c>
      <c r="AM25" s="101">
        <f t="shared" si="9"/>
        <v>747215.62999999989</v>
      </c>
      <c r="AN25" s="101">
        <f t="shared" si="9"/>
        <v>515196.44999999995</v>
      </c>
      <c r="AO25" s="101">
        <f t="shared" si="9"/>
        <v>571192</v>
      </c>
      <c r="AP25" s="101">
        <f t="shared" si="9"/>
        <v>853198.10000000009</v>
      </c>
      <c r="AQ25" s="101">
        <f t="shared" si="9"/>
        <v>657886.85</v>
      </c>
      <c r="AR25" s="101">
        <f t="shared" si="9"/>
        <v>782392.29999999993</v>
      </c>
      <c r="AS25" s="101">
        <f t="shared" si="9"/>
        <v>226572.40000000002</v>
      </c>
      <c r="AT25" s="101">
        <f t="shared" si="9"/>
        <v>1950350.5</v>
      </c>
      <c r="AU25" s="101">
        <f t="shared" si="9"/>
        <v>584040.05000000005</v>
      </c>
      <c r="AV25" s="101">
        <f t="shared" si="9"/>
        <v>185459.80000000002</v>
      </c>
      <c r="AW25" s="101">
        <f t="shared" si="9"/>
        <v>295382.5</v>
      </c>
      <c r="AX25" s="101">
        <f t="shared" si="9"/>
        <v>1357964.3499999999</v>
      </c>
      <c r="AY25" s="101">
        <f t="shared" si="9"/>
        <v>286311.90000000002</v>
      </c>
      <c r="AZ25" s="101">
        <f t="shared" si="9"/>
        <v>885797.33000000007</v>
      </c>
      <c r="BA25" s="101">
        <f t="shared" si="9"/>
        <v>210396</v>
      </c>
      <c r="BB25" s="101">
        <f t="shared" si="9"/>
        <v>5308255.9600000009</v>
      </c>
      <c r="BC25" s="101">
        <f t="shared" si="9"/>
        <v>444380.04999999993</v>
      </c>
      <c r="BD25" s="101">
        <f t="shared" si="1"/>
        <v>60482939.54999999</v>
      </c>
      <c r="BE25" s="101">
        <f t="shared" si="2"/>
        <v>32330731.580000002</v>
      </c>
      <c r="BF25" s="101">
        <f t="shared" si="3"/>
        <v>8865904.5200000014</v>
      </c>
      <c r="BG25" s="101">
        <f t="shared" si="4"/>
        <v>19286303.450000007</v>
      </c>
    </row>
    <row r="26" spans="1:59" ht="16.5" customHeight="1" x14ac:dyDescent="0.25">
      <c r="A26" s="29"/>
      <c r="B26" s="7" t="s">
        <v>307</v>
      </c>
      <c r="C26" s="15">
        <v>959335.2</v>
      </c>
      <c r="D26" s="15">
        <v>311100.90000000002</v>
      </c>
      <c r="E26" s="15">
        <v>401550.64</v>
      </c>
      <c r="F26" s="15">
        <v>399530.95</v>
      </c>
      <c r="G26" s="15">
        <v>3908460.07</v>
      </c>
      <c r="H26" s="15">
        <v>3881157</v>
      </c>
      <c r="I26" s="15">
        <v>2906033.2</v>
      </c>
      <c r="J26" s="15">
        <v>22898799.449999999</v>
      </c>
      <c r="K26" s="15">
        <v>1617727.79</v>
      </c>
      <c r="L26" s="15">
        <v>88364.32</v>
      </c>
      <c r="M26" s="15">
        <v>6264636.6799999997</v>
      </c>
      <c r="N26" s="15">
        <v>480240.5</v>
      </c>
      <c r="O26" s="15">
        <v>91242.05</v>
      </c>
      <c r="P26" s="15">
        <v>313108.75</v>
      </c>
      <c r="Q26" s="15">
        <v>290255.74</v>
      </c>
      <c r="R26" s="15">
        <v>843512</v>
      </c>
      <c r="S26" s="15">
        <v>227983.85</v>
      </c>
      <c r="T26" s="15">
        <v>638499.06000000006</v>
      </c>
      <c r="U26" s="15">
        <v>3432578.26</v>
      </c>
      <c r="V26" s="15">
        <v>276829.75</v>
      </c>
      <c r="W26" s="15">
        <v>2075503.99</v>
      </c>
      <c r="X26" s="15">
        <v>2572559.23</v>
      </c>
      <c r="Y26" s="15">
        <v>74527.8</v>
      </c>
      <c r="Z26" s="15">
        <v>117800.75</v>
      </c>
      <c r="AA26" s="15">
        <v>417291.25</v>
      </c>
      <c r="AB26" s="15">
        <v>897361.75</v>
      </c>
      <c r="AC26" s="15">
        <v>441583.1</v>
      </c>
      <c r="AD26" s="15">
        <v>393345.25</v>
      </c>
      <c r="AE26" s="15">
        <v>1891963.95</v>
      </c>
      <c r="AF26" s="15">
        <v>2780459.99</v>
      </c>
      <c r="AG26" s="15">
        <v>183582.65</v>
      </c>
      <c r="AH26" s="15">
        <v>129639</v>
      </c>
      <c r="AI26" s="15">
        <v>2206555.91</v>
      </c>
      <c r="AJ26" s="15">
        <v>1284671.8500000001</v>
      </c>
      <c r="AK26" s="15">
        <v>1359825.78</v>
      </c>
      <c r="AL26" s="15">
        <v>93089.2</v>
      </c>
      <c r="AM26" s="15">
        <v>1356172.88</v>
      </c>
      <c r="AN26" s="15">
        <v>1412549.69</v>
      </c>
      <c r="AO26" s="15">
        <v>584607.65</v>
      </c>
      <c r="AP26" s="15">
        <v>1937101.05</v>
      </c>
      <c r="AQ26" s="15">
        <v>700446.85</v>
      </c>
      <c r="AR26" s="15">
        <v>1158020.7</v>
      </c>
      <c r="AS26" s="15">
        <v>319747.65000000002</v>
      </c>
      <c r="AT26" s="15">
        <v>3314871</v>
      </c>
      <c r="AU26" s="15">
        <v>623449.05000000005</v>
      </c>
      <c r="AV26" s="15">
        <v>187011.85</v>
      </c>
      <c r="AW26" s="15">
        <v>297282.45</v>
      </c>
      <c r="AX26" s="15">
        <v>1571883.45</v>
      </c>
      <c r="AY26" s="15">
        <v>305873.90000000002</v>
      </c>
      <c r="AZ26" s="15">
        <v>1791980.77</v>
      </c>
      <c r="BA26" s="15">
        <v>213040.05</v>
      </c>
      <c r="BB26" s="15">
        <v>14696376.07</v>
      </c>
      <c r="BC26" s="15">
        <v>558714.44999999995</v>
      </c>
      <c r="BD26" s="15">
        <f t="shared" si="1"/>
        <v>98179837.11999999</v>
      </c>
      <c r="BE26" s="15">
        <f t="shared" si="2"/>
        <v>49954116.409999996</v>
      </c>
      <c r="BF26" s="15">
        <f t="shared" si="3"/>
        <v>12252448.460000001</v>
      </c>
      <c r="BG26" s="15">
        <f t="shared" si="4"/>
        <v>35973272.25</v>
      </c>
    </row>
    <row r="27" spans="1:59" ht="16.5" customHeight="1" x14ac:dyDescent="0.25">
      <c r="A27" s="29"/>
      <c r="B27" s="7" t="s">
        <v>308</v>
      </c>
      <c r="C27" s="15">
        <v>211355.05</v>
      </c>
      <c r="D27" s="15">
        <v>105821</v>
      </c>
      <c r="E27" s="15">
        <v>22446.25</v>
      </c>
      <c r="F27" s="15">
        <v>9012.85</v>
      </c>
      <c r="G27" s="15">
        <v>791961.95</v>
      </c>
      <c r="H27" s="15">
        <v>1211580</v>
      </c>
      <c r="I27" s="15">
        <v>796620.92</v>
      </c>
      <c r="J27" s="15">
        <v>12488099.560000001</v>
      </c>
      <c r="K27" s="15">
        <v>456756.35</v>
      </c>
      <c r="L27" s="15">
        <v>496.52</v>
      </c>
      <c r="M27" s="15">
        <v>433779.6</v>
      </c>
      <c r="N27" s="15">
        <v>19028.900000000001</v>
      </c>
      <c r="O27" s="15">
        <v>1454.3</v>
      </c>
      <c r="P27" s="15">
        <v>6631.25</v>
      </c>
      <c r="Q27" s="15">
        <v>1928.3</v>
      </c>
      <c r="R27" s="15">
        <v>2521</v>
      </c>
      <c r="S27" s="15">
        <v>30554.3</v>
      </c>
      <c r="T27" s="15">
        <v>262243.08</v>
      </c>
      <c r="U27" s="15">
        <v>771093.65</v>
      </c>
      <c r="V27" s="15">
        <v>1917.35</v>
      </c>
      <c r="W27" s="15">
        <v>996545.36</v>
      </c>
      <c r="X27" s="15">
        <v>1301600.18</v>
      </c>
      <c r="Y27" s="15">
        <v>0</v>
      </c>
      <c r="Z27" s="15">
        <v>2939</v>
      </c>
      <c r="AA27" s="15">
        <v>12811.7</v>
      </c>
      <c r="AB27" s="15">
        <v>167543.5</v>
      </c>
      <c r="AC27" s="15">
        <v>26608.400000000001</v>
      </c>
      <c r="AD27" s="15">
        <v>2483</v>
      </c>
      <c r="AE27" s="15">
        <v>358562.45</v>
      </c>
      <c r="AF27" s="15">
        <v>488305.9</v>
      </c>
      <c r="AG27" s="15">
        <v>2951.15</v>
      </c>
      <c r="AH27" s="15">
        <v>24275.95</v>
      </c>
      <c r="AI27" s="15">
        <v>734497.59</v>
      </c>
      <c r="AJ27" s="15">
        <v>432389.15</v>
      </c>
      <c r="AK27" s="15">
        <v>347937.67</v>
      </c>
      <c r="AL27" s="15">
        <v>5007.05</v>
      </c>
      <c r="AM27" s="15">
        <v>608957.25</v>
      </c>
      <c r="AN27" s="15">
        <v>897353.24</v>
      </c>
      <c r="AO27" s="15">
        <v>13415.65</v>
      </c>
      <c r="AP27" s="15">
        <v>1083902.95</v>
      </c>
      <c r="AQ27" s="15">
        <v>42560</v>
      </c>
      <c r="AR27" s="15">
        <v>375628.4</v>
      </c>
      <c r="AS27" s="15">
        <v>93175.25</v>
      </c>
      <c r="AT27" s="15">
        <v>1364520.5</v>
      </c>
      <c r="AU27" s="15">
        <v>39409</v>
      </c>
      <c r="AV27" s="15">
        <v>1552.05</v>
      </c>
      <c r="AW27" s="15">
        <v>1899.95</v>
      </c>
      <c r="AX27" s="15">
        <v>213919.1</v>
      </c>
      <c r="AY27" s="15">
        <v>19562</v>
      </c>
      <c r="AZ27" s="15">
        <v>906183.44</v>
      </c>
      <c r="BA27" s="15">
        <v>2644.05</v>
      </c>
      <c r="BB27" s="15">
        <v>9388120.1099999994</v>
      </c>
      <c r="BC27" s="15">
        <v>114334.39999999999</v>
      </c>
      <c r="BD27" s="15">
        <f t="shared" si="1"/>
        <v>37696897.569999985</v>
      </c>
      <c r="BE27" s="15">
        <f t="shared" si="2"/>
        <v>17623384.829999998</v>
      </c>
      <c r="BF27" s="15">
        <f t="shared" si="3"/>
        <v>3386543.94</v>
      </c>
      <c r="BG27" s="15">
        <f t="shared" si="4"/>
        <v>16686968.799999999</v>
      </c>
    </row>
    <row r="28" spans="1:59" ht="16.5" customHeight="1" x14ac:dyDescent="0.25">
      <c r="A28" s="29"/>
      <c r="B28" s="6"/>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73"/>
      <c r="BE28" s="73"/>
      <c r="BF28" s="73"/>
      <c r="BG28" s="73"/>
    </row>
    <row r="29" spans="1:59" ht="16.5" customHeight="1" x14ac:dyDescent="0.25">
      <c r="A29" s="98">
        <v>6</v>
      </c>
      <c r="B29" s="76" t="s">
        <v>861</v>
      </c>
      <c r="C29" s="101">
        <f>C30-C31</f>
        <v>315301.91000000003</v>
      </c>
      <c r="D29" s="101">
        <f t="shared" ref="D29:BC29" si="10">D30-D31</f>
        <v>57418.749999999985</v>
      </c>
      <c r="E29" s="101">
        <f t="shared" si="10"/>
        <v>47225.749999999993</v>
      </c>
      <c r="F29" s="101">
        <f t="shared" si="10"/>
        <v>46134.149999999994</v>
      </c>
      <c r="G29" s="101">
        <f t="shared" si="10"/>
        <v>596903.41999999993</v>
      </c>
      <c r="H29" s="101">
        <f t="shared" si="10"/>
        <v>766282</v>
      </c>
      <c r="I29" s="101">
        <f t="shared" si="10"/>
        <v>470309.88000000006</v>
      </c>
      <c r="J29" s="101">
        <f t="shared" si="10"/>
        <v>5574243.3900000006</v>
      </c>
      <c r="K29" s="101">
        <f t="shared" si="10"/>
        <v>263161.86</v>
      </c>
      <c r="L29" s="101">
        <f t="shared" si="10"/>
        <v>29986.73</v>
      </c>
      <c r="M29" s="101">
        <f t="shared" si="10"/>
        <v>1150066.45</v>
      </c>
      <c r="N29" s="101">
        <f t="shared" si="10"/>
        <v>41290.5</v>
      </c>
      <c r="O29" s="101">
        <f t="shared" si="10"/>
        <v>5926.6500000000005</v>
      </c>
      <c r="P29" s="101">
        <f t="shared" si="10"/>
        <v>75517.25</v>
      </c>
      <c r="Q29" s="101">
        <f t="shared" si="10"/>
        <v>49579.65</v>
      </c>
      <c r="R29" s="101">
        <f t="shared" si="10"/>
        <v>56224.700000000004</v>
      </c>
      <c r="S29" s="101">
        <f t="shared" si="10"/>
        <v>52789.58</v>
      </c>
      <c r="T29" s="101">
        <f t="shared" si="10"/>
        <v>123527.15000000001</v>
      </c>
      <c r="U29" s="101">
        <f t="shared" si="10"/>
        <v>663548.21</v>
      </c>
      <c r="V29" s="101">
        <f t="shared" si="10"/>
        <v>75574.649999999994</v>
      </c>
      <c r="W29" s="101">
        <f t="shared" si="10"/>
        <v>288631.84999999998</v>
      </c>
      <c r="X29" s="101">
        <f t="shared" si="10"/>
        <v>543124.34000000008</v>
      </c>
      <c r="Y29" s="101">
        <f t="shared" si="10"/>
        <v>52802.6</v>
      </c>
      <c r="Z29" s="101">
        <f t="shared" si="10"/>
        <v>2597.25</v>
      </c>
      <c r="AA29" s="101">
        <f t="shared" si="10"/>
        <v>170714.2</v>
      </c>
      <c r="AB29" s="101">
        <f t="shared" si="10"/>
        <v>200300.46000000002</v>
      </c>
      <c r="AC29" s="101">
        <f t="shared" si="10"/>
        <v>184451.31</v>
      </c>
      <c r="AD29" s="101">
        <f t="shared" si="10"/>
        <v>183414.86</v>
      </c>
      <c r="AE29" s="101">
        <f t="shared" si="10"/>
        <v>627333.07000000007</v>
      </c>
      <c r="AF29" s="101">
        <f t="shared" si="10"/>
        <v>670328.48</v>
      </c>
      <c r="AG29" s="101">
        <f t="shared" si="10"/>
        <v>-5967.5199999999968</v>
      </c>
      <c r="AH29" s="101">
        <f t="shared" si="10"/>
        <v>27065</v>
      </c>
      <c r="AI29" s="101">
        <f t="shared" si="10"/>
        <v>244597.84999999998</v>
      </c>
      <c r="AJ29" s="101">
        <f t="shared" si="10"/>
        <v>236740.77</v>
      </c>
      <c r="AK29" s="101">
        <f t="shared" si="10"/>
        <v>331074.01999999996</v>
      </c>
      <c r="AL29" s="101">
        <f t="shared" si="10"/>
        <v>33598.449999999997</v>
      </c>
      <c r="AM29" s="101">
        <f t="shared" si="10"/>
        <v>673647.26</v>
      </c>
      <c r="AN29" s="101">
        <f t="shared" si="10"/>
        <v>168837.25</v>
      </c>
      <c r="AO29" s="101">
        <f t="shared" si="10"/>
        <v>152762.63</v>
      </c>
      <c r="AP29" s="101">
        <f t="shared" si="10"/>
        <v>174987.33</v>
      </c>
      <c r="AQ29" s="101">
        <f t="shared" si="10"/>
        <v>164542.60999999999</v>
      </c>
      <c r="AR29" s="101">
        <f t="shared" si="10"/>
        <v>266678.35000000003</v>
      </c>
      <c r="AS29" s="101">
        <f t="shared" si="10"/>
        <v>64718.500000000007</v>
      </c>
      <c r="AT29" s="101">
        <f t="shared" si="10"/>
        <v>678349.95</v>
      </c>
      <c r="AU29" s="101">
        <f t="shared" si="10"/>
        <v>226959.06</v>
      </c>
      <c r="AV29" s="101">
        <f t="shared" si="10"/>
        <v>5161.75</v>
      </c>
      <c r="AW29" s="101">
        <f t="shared" si="10"/>
        <v>80151.7</v>
      </c>
      <c r="AX29" s="101">
        <f t="shared" si="10"/>
        <v>553576.44999999995</v>
      </c>
      <c r="AY29" s="101">
        <f t="shared" si="10"/>
        <v>42758.850000000006</v>
      </c>
      <c r="AZ29" s="101">
        <f t="shared" si="10"/>
        <v>528877.85</v>
      </c>
      <c r="BA29" s="101">
        <f t="shared" si="10"/>
        <v>46639.100000000006</v>
      </c>
      <c r="BB29" s="101">
        <f t="shared" si="10"/>
        <v>2489745.8400000003</v>
      </c>
      <c r="BC29" s="101">
        <f t="shared" si="10"/>
        <v>186868.15</v>
      </c>
      <c r="BD29" s="101">
        <f t="shared" si="1"/>
        <v>20757082.25</v>
      </c>
      <c r="BE29" s="101">
        <f t="shared" si="2"/>
        <v>10385437.98</v>
      </c>
      <c r="BF29" s="101">
        <f t="shared" si="3"/>
        <v>3020370.55</v>
      </c>
      <c r="BG29" s="101">
        <f t="shared" si="4"/>
        <v>7351273.7200000007</v>
      </c>
    </row>
    <row r="30" spans="1:59" ht="16.5" customHeight="1" x14ac:dyDescent="0.25">
      <c r="A30" s="29"/>
      <c r="B30" s="7" t="s">
        <v>307</v>
      </c>
      <c r="C30" s="15">
        <v>397712.96</v>
      </c>
      <c r="D30" s="15">
        <v>131082.96</v>
      </c>
      <c r="E30" s="15">
        <v>67082.649999999994</v>
      </c>
      <c r="F30" s="15">
        <v>75284.95</v>
      </c>
      <c r="G30" s="15">
        <v>852772.32</v>
      </c>
      <c r="H30" s="15">
        <v>1054722</v>
      </c>
      <c r="I30" s="15">
        <v>868964.43</v>
      </c>
      <c r="J30" s="15">
        <v>7886777.9199999999</v>
      </c>
      <c r="K30" s="15">
        <v>512983.16</v>
      </c>
      <c r="L30" s="15">
        <v>37432.18</v>
      </c>
      <c r="M30" s="15">
        <v>1898096.65</v>
      </c>
      <c r="N30" s="15">
        <v>88609.3</v>
      </c>
      <c r="O30" s="15">
        <v>10055.35</v>
      </c>
      <c r="P30" s="15">
        <v>180384.35</v>
      </c>
      <c r="Q30" s="15">
        <v>67838.05</v>
      </c>
      <c r="R30" s="15">
        <v>82927.8</v>
      </c>
      <c r="S30" s="15">
        <v>74295.38</v>
      </c>
      <c r="T30" s="15">
        <v>191113.7</v>
      </c>
      <c r="U30" s="15">
        <v>849812.86</v>
      </c>
      <c r="V30" s="15">
        <v>90089.95</v>
      </c>
      <c r="W30" s="15">
        <v>340813.25</v>
      </c>
      <c r="X30" s="15">
        <v>637164.04</v>
      </c>
      <c r="Y30" s="15">
        <v>51093.1</v>
      </c>
      <c r="Z30" s="15">
        <v>197011.13</v>
      </c>
      <c r="AA30" s="15">
        <v>221638.35</v>
      </c>
      <c r="AB30" s="15">
        <v>379225.82</v>
      </c>
      <c r="AC30" s="15">
        <v>240343.51</v>
      </c>
      <c r="AD30" s="15">
        <v>295565.31</v>
      </c>
      <c r="AE30" s="15">
        <v>768082.42</v>
      </c>
      <c r="AF30" s="15">
        <v>996839.03</v>
      </c>
      <c r="AG30" s="15">
        <v>51016.23</v>
      </c>
      <c r="AH30" s="15">
        <v>38311</v>
      </c>
      <c r="AI30" s="15">
        <v>396169.3</v>
      </c>
      <c r="AJ30" s="15">
        <v>303042.17</v>
      </c>
      <c r="AK30" s="15">
        <v>371821.6</v>
      </c>
      <c r="AL30" s="15">
        <v>44219.7</v>
      </c>
      <c r="AM30" s="15">
        <v>720725.81</v>
      </c>
      <c r="AN30" s="15">
        <v>258113.45</v>
      </c>
      <c r="AO30" s="15">
        <v>188329.48</v>
      </c>
      <c r="AP30" s="15">
        <v>373454.3</v>
      </c>
      <c r="AQ30" s="15">
        <v>279879.15999999997</v>
      </c>
      <c r="AR30" s="15">
        <v>382952.4</v>
      </c>
      <c r="AS30" s="15">
        <v>81189.850000000006</v>
      </c>
      <c r="AT30" s="15">
        <v>872281.7</v>
      </c>
      <c r="AU30" s="15">
        <v>263362.01</v>
      </c>
      <c r="AV30" s="15">
        <v>14903.2</v>
      </c>
      <c r="AW30" s="15">
        <v>96630.399999999994</v>
      </c>
      <c r="AX30" s="15">
        <v>727241.75</v>
      </c>
      <c r="AY30" s="15">
        <v>62737.9</v>
      </c>
      <c r="AZ30" s="15">
        <v>640912.71</v>
      </c>
      <c r="BA30" s="15">
        <v>55930.15</v>
      </c>
      <c r="BB30" s="15">
        <v>3041093.66</v>
      </c>
      <c r="BC30" s="15">
        <v>218712.8</v>
      </c>
      <c r="BD30" s="15">
        <f t="shared" si="1"/>
        <v>29028845.610000007</v>
      </c>
      <c r="BE30" s="15">
        <f t="shared" si="2"/>
        <v>15327948.970000001</v>
      </c>
      <c r="BF30" s="15">
        <f t="shared" si="3"/>
        <v>4307193.1400000006</v>
      </c>
      <c r="BG30" s="15">
        <f t="shared" si="4"/>
        <v>9393703.5000000019</v>
      </c>
    </row>
    <row r="31" spans="1:59" ht="16.5" customHeight="1" x14ac:dyDescent="0.25">
      <c r="A31" s="29"/>
      <c r="B31" s="7" t="s">
        <v>308</v>
      </c>
      <c r="C31" s="15">
        <v>82411.05</v>
      </c>
      <c r="D31" s="15">
        <v>73664.210000000006</v>
      </c>
      <c r="E31" s="15">
        <v>19856.900000000001</v>
      </c>
      <c r="F31" s="15">
        <v>29150.799999999999</v>
      </c>
      <c r="G31" s="15">
        <v>255868.9</v>
      </c>
      <c r="H31" s="15">
        <v>288440</v>
      </c>
      <c r="I31" s="15">
        <v>398654.55</v>
      </c>
      <c r="J31" s="15">
        <v>2312534.5299999998</v>
      </c>
      <c r="K31" s="15">
        <v>249821.3</v>
      </c>
      <c r="L31" s="15">
        <v>7445.45</v>
      </c>
      <c r="M31" s="15">
        <v>748030.2</v>
      </c>
      <c r="N31" s="15">
        <v>47318.8</v>
      </c>
      <c r="O31" s="15">
        <v>4128.7</v>
      </c>
      <c r="P31" s="15">
        <v>104867.1</v>
      </c>
      <c r="Q31" s="15">
        <v>18258.400000000001</v>
      </c>
      <c r="R31" s="15">
        <v>26703.1</v>
      </c>
      <c r="S31" s="15">
        <v>21505.8</v>
      </c>
      <c r="T31" s="15">
        <v>67586.55</v>
      </c>
      <c r="U31" s="15">
        <v>186264.65</v>
      </c>
      <c r="V31" s="15">
        <v>14515.3</v>
      </c>
      <c r="W31" s="15">
        <v>52181.4</v>
      </c>
      <c r="X31" s="15">
        <v>94039.7</v>
      </c>
      <c r="Y31" s="15">
        <v>-1709.5</v>
      </c>
      <c r="Z31" s="15">
        <v>194413.88</v>
      </c>
      <c r="AA31" s="15">
        <v>50924.15</v>
      </c>
      <c r="AB31" s="15">
        <v>178925.36</v>
      </c>
      <c r="AC31" s="15">
        <v>55892.2</v>
      </c>
      <c r="AD31" s="15">
        <v>112150.45</v>
      </c>
      <c r="AE31" s="15">
        <v>140749.35</v>
      </c>
      <c r="AF31" s="15">
        <v>326510.55</v>
      </c>
      <c r="AG31" s="15">
        <v>56983.75</v>
      </c>
      <c r="AH31" s="15">
        <v>11246</v>
      </c>
      <c r="AI31" s="15">
        <v>151571.45000000001</v>
      </c>
      <c r="AJ31" s="15">
        <v>66301.399999999994</v>
      </c>
      <c r="AK31" s="15">
        <v>40747.58</v>
      </c>
      <c r="AL31" s="15">
        <v>10621.25</v>
      </c>
      <c r="AM31" s="15">
        <v>47078.55</v>
      </c>
      <c r="AN31" s="15">
        <v>89276.2</v>
      </c>
      <c r="AO31" s="15">
        <v>35566.85</v>
      </c>
      <c r="AP31" s="15">
        <v>198466.97</v>
      </c>
      <c r="AQ31" s="15">
        <v>115336.55</v>
      </c>
      <c r="AR31" s="15">
        <v>116274.05</v>
      </c>
      <c r="AS31" s="15">
        <v>16471.349999999999</v>
      </c>
      <c r="AT31" s="15">
        <v>193931.75</v>
      </c>
      <c r="AU31" s="15">
        <v>36402.949999999997</v>
      </c>
      <c r="AV31" s="15">
        <v>9741.4500000000007</v>
      </c>
      <c r="AW31" s="15">
        <v>16478.7</v>
      </c>
      <c r="AX31" s="15">
        <v>173665.3</v>
      </c>
      <c r="AY31" s="15">
        <v>19979.05</v>
      </c>
      <c r="AZ31" s="15">
        <v>112034.86</v>
      </c>
      <c r="BA31" s="15">
        <v>9291.0499999999993</v>
      </c>
      <c r="BB31" s="15">
        <v>551347.81999999995</v>
      </c>
      <c r="BC31" s="15">
        <v>31844.65</v>
      </c>
      <c r="BD31" s="15">
        <f t="shared" si="1"/>
        <v>8271763.3600000003</v>
      </c>
      <c r="BE31" s="15">
        <f t="shared" si="2"/>
        <v>4942510.9899999993</v>
      </c>
      <c r="BF31" s="15">
        <f t="shared" si="3"/>
        <v>1286822.5899999999</v>
      </c>
      <c r="BG31" s="15">
        <f t="shared" si="4"/>
        <v>2042429.7800000003</v>
      </c>
    </row>
    <row r="32" spans="1:59" ht="16.5" customHeight="1" x14ac:dyDescent="0.25">
      <c r="A32" s="29"/>
      <c r="B32" s="6"/>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73"/>
      <c r="BE32" s="73"/>
      <c r="BF32" s="73"/>
      <c r="BG32" s="73"/>
    </row>
    <row r="33" spans="1:59" ht="16.5" customHeight="1" x14ac:dyDescent="0.25">
      <c r="A33" s="98">
        <v>7</v>
      </c>
      <c r="B33" s="76" t="s">
        <v>304</v>
      </c>
      <c r="C33" s="101">
        <f>C34-C35</f>
        <v>-322300.57</v>
      </c>
      <c r="D33" s="101">
        <f t="shared" ref="D33:BC33" si="11">D34-D35</f>
        <v>-6403.820000000007</v>
      </c>
      <c r="E33" s="101">
        <f t="shared" si="11"/>
        <v>-29710.590000000026</v>
      </c>
      <c r="F33" s="101">
        <f t="shared" si="11"/>
        <v>-68052.999999999985</v>
      </c>
      <c r="G33" s="101">
        <f t="shared" si="11"/>
        <v>-119069.92999999993</v>
      </c>
      <c r="H33" s="101">
        <f t="shared" si="11"/>
        <v>-10229</v>
      </c>
      <c r="I33" s="101">
        <f t="shared" si="11"/>
        <v>-234495.37999999989</v>
      </c>
      <c r="J33" s="101">
        <f t="shared" si="11"/>
        <v>-984166.70000000112</v>
      </c>
      <c r="K33" s="101">
        <f t="shared" si="11"/>
        <v>-81805.719999999972</v>
      </c>
      <c r="L33" s="101">
        <f t="shared" si="11"/>
        <v>1328.7200000000012</v>
      </c>
      <c r="M33" s="101">
        <f t="shared" si="11"/>
        <v>-605585.83999999985</v>
      </c>
      <c r="N33" s="101">
        <f t="shared" si="11"/>
        <v>23697.739999999991</v>
      </c>
      <c r="O33" s="101">
        <f t="shared" si="11"/>
        <v>-644.40000000000146</v>
      </c>
      <c r="P33" s="101">
        <f t="shared" si="11"/>
        <v>26514.869999999995</v>
      </c>
      <c r="Q33" s="101">
        <f t="shared" si="11"/>
        <v>-34845.279999999999</v>
      </c>
      <c r="R33" s="101">
        <f t="shared" si="11"/>
        <v>-170704.00999999998</v>
      </c>
      <c r="S33" s="101">
        <f t="shared" si="11"/>
        <v>-35536.700000000012</v>
      </c>
      <c r="T33" s="101">
        <f t="shared" si="11"/>
        <v>38569.729999999981</v>
      </c>
      <c r="U33" s="101">
        <f t="shared" si="11"/>
        <v>-342980.41000000003</v>
      </c>
      <c r="V33" s="101">
        <f t="shared" si="11"/>
        <v>10624.819999999978</v>
      </c>
      <c r="W33" s="101">
        <f t="shared" si="11"/>
        <v>-83953.13</v>
      </c>
      <c r="X33" s="101">
        <f t="shared" si="11"/>
        <v>-240438.60000000009</v>
      </c>
      <c r="Y33" s="101">
        <f t="shared" si="11"/>
        <v>9195.3000000000029</v>
      </c>
      <c r="Z33" s="101">
        <f t="shared" si="11"/>
        <v>-26603.290000000008</v>
      </c>
      <c r="AA33" s="101">
        <f t="shared" si="11"/>
        <v>3297.0599999999977</v>
      </c>
      <c r="AB33" s="101">
        <f t="shared" si="11"/>
        <v>-108161</v>
      </c>
      <c r="AC33" s="101">
        <f t="shared" si="11"/>
        <v>122947.39000000001</v>
      </c>
      <c r="AD33" s="101">
        <f t="shared" si="11"/>
        <v>-126.02000000001863</v>
      </c>
      <c r="AE33" s="101">
        <f t="shared" si="11"/>
        <v>-532378.58999999985</v>
      </c>
      <c r="AF33" s="101">
        <f t="shared" si="11"/>
        <v>-373695.44999999995</v>
      </c>
      <c r="AG33" s="101">
        <f t="shared" si="11"/>
        <v>-35482.449999999983</v>
      </c>
      <c r="AH33" s="101">
        <f t="shared" si="11"/>
        <v>-9569.9199999999983</v>
      </c>
      <c r="AI33" s="101">
        <f t="shared" si="11"/>
        <v>-148961.12</v>
      </c>
      <c r="AJ33" s="101">
        <f t="shared" si="11"/>
        <v>-24205.599999999977</v>
      </c>
      <c r="AK33" s="101">
        <f t="shared" si="11"/>
        <v>15310.119999999995</v>
      </c>
      <c r="AL33" s="101">
        <f t="shared" si="11"/>
        <v>25655.839999999997</v>
      </c>
      <c r="AM33" s="101">
        <f t="shared" si="11"/>
        <v>84738.599999999977</v>
      </c>
      <c r="AN33" s="101">
        <f t="shared" si="11"/>
        <v>-18558.309999999998</v>
      </c>
      <c r="AO33" s="101">
        <f t="shared" si="11"/>
        <v>12678.640000000014</v>
      </c>
      <c r="AP33" s="101">
        <f t="shared" si="11"/>
        <v>-4133.5600000000559</v>
      </c>
      <c r="AQ33" s="101">
        <f t="shared" si="11"/>
        <v>66871.27999999997</v>
      </c>
      <c r="AR33" s="101">
        <f t="shared" si="11"/>
        <v>-47584.29999999993</v>
      </c>
      <c r="AS33" s="101">
        <f t="shared" si="11"/>
        <v>-104438.58999999997</v>
      </c>
      <c r="AT33" s="101">
        <f t="shared" si="11"/>
        <v>-81717.899999999907</v>
      </c>
      <c r="AU33" s="101">
        <f t="shared" si="11"/>
        <v>-4827.9800000000396</v>
      </c>
      <c r="AV33" s="101">
        <f t="shared" si="11"/>
        <v>6866.7600000000093</v>
      </c>
      <c r="AW33" s="101">
        <f t="shared" si="11"/>
        <v>-80745.51999999999</v>
      </c>
      <c r="AX33" s="101">
        <f t="shared" si="11"/>
        <v>-53094.280000000028</v>
      </c>
      <c r="AY33" s="101">
        <f t="shared" si="11"/>
        <v>-95140.600000000035</v>
      </c>
      <c r="AZ33" s="101">
        <f t="shared" si="11"/>
        <v>-65771.520000000019</v>
      </c>
      <c r="BA33" s="101">
        <f t="shared" si="11"/>
        <v>10985.799999999988</v>
      </c>
      <c r="BB33" s="101">
        <f t="shared" si="11"/>
        <v>-432092.04000000004</v>
      </c>
      <c r="BC33" s="101">
        <f t="shared" si="11"/>
        <v>1186.0300000000279</v>
      </c>
      <c r="BD33" s="101">
        <f t="shared" si="1"/>
        <v>-5157742.4200000009</v>
      </c>
      <c r="BE33" s="101">
        <f t="shared" si="2"/>
        <v>-2956420.2900000005</v>
      </c>
      <c r="BF33" s="101">
        <f t="shared" si="3"/>
        <v>-1264343.8799999999</v>
      </c>
      <c r="BG33" s="101">
        <f t="shared" si="4"/>
        <v>-936978.25</v>
      </c>
    </row>
    <row r="34" spans="1:59" ht="16.5" customHeight="1" x14ac:dyDescent="0.25">
      <c r="A34" s="29"/>
      <c r="B34" s="7" t="s">
        <v>307</v>
      </c>
      <c r="C34" s="15">
        <v>420995.2</v>
      </c>
      <c r="D34" s="15">
        <v>179270.34</v>
      </c>
      <c r="E34" s="15">
        <v>139313.10999999999</v>
      </c>
      <c r="F34" s="15">
        <v>67524.240000000005</v>
      </c>
      <c r="G34" s="15">
        <v>1696858.36</v>
      </c>
      <c r="H34" s="15">
        <v>1219013</v>
      </c>
      <c r="I34" s="15">
        <v>1313923.8400000001</v>
      </c>
      <c r="J34" s="15">
        <v>10402673.359999999</v>
      </c>
      <c r="K34" s="15">
        <v>1008027.55</v>
      </c>
      <c r="L34" s="15">
        <v>43173.62</v>
      </c>
      <c r="M34" s="15">
        <v>3658409.08</v>
      </c>
      <c r="N34" s="15">
        <v>173215.78</v>
      </c>
      <c r="O34" s="15">
        <v>45504.85</v>
      </c>
      <c r="P34" s="15">
        <v>180641.5</v>
      </c>
      <c r="Q34" s="15">
        <v>170888.92</v>
      </c>
      <c r="R34" s="15">
        <v>236539.59</v>
      </c>
      <c r="S34" s="15">
        <v>136467.75</v>
      </c>
      <c r="T34" s="15">
        <v>242798.65</v>
      </c>
      <c r="U34" s="15">
        <v>1019333.13</v>
      </c>
      <c r="V34" s="15">
        <v>189774.55</v>
      </c>
      <c r="W34" s="15">
        <v>745238.25</v>
      </c>
      <c r="X34" s="15">
        <v>887963</v>
      </c>
      <c r="Y34" s="15">
        <v>73763.3</v>
      </c>
      <c r="Z34" s="15">
        <v>101707.51</v>
      </c>
      <c r="AA34" s="15">
        <v>433519.91</v>
      </c>
      <c r="AB34" s="15">
        <v>416126.14</v>
      </c>
      <c r="AC34" s="15">
        <v>497152.03</v>
      </c>
      <c r="AD34" s="15">
        <v>262689.42</v>
      </c>
      <c r="AE34" s="15">
        <v>1220165.6200000001</v>
      </c>
      <c r="AF34" s="15">
        <v>1702945.5</v>
      </c>
      <c r="AG34" s="15">
        <v>168809.85</v>
      </c>
      <c r="AH34" s="15">
        <v>100856.28</v>
      </c>
      <c r="AI34" s="15">
        <v>872653.21</v>
      </c>
      <c r="AJ34" s="15">
        <v>663955.30000000005</v>
      </c>
      <c r="AK34" s="15">
        <v>671877.87</v>
      </c>
      <c r="AL34" s="15">
        <v>113965.89</v>
      </c>
      <c r="AM34" s="15">
        <v>917289.03</v>
      </c>
      <c r="AN34" s="15">
        <v>320091.84000000003</v>
      </c>
      <c r="AO34" s="15">
        <v>350892.88</v>
      </c>
      <c r="AP34" s="15">
        <v>1441407.5</v>
      </c>
      <c r="AQ34" s="15">
        <v>432547.05</v>
      </c>
      <c r="AR34" s="15">
        <v>648828.65</v>
      </c>
      <c r="AS34" s="15">
        <v>221626.89</v>
      </c>
      <c r="AT34" s="15">
        <v>1371440.75</v>
      </c>
      <c r="AU34" s="15">
        <v>356289.42</v>
      </c>
      <c r="AV34" s="15">
        <v>131166.79</v>
      </c>
      <c r="AW34" s="15">
        <v>138294.26</v>
      </c>
      <c r="AX34" s="15">
        <v>781184.25</v>
      </c>
      <c r="AY34" s="15">
        <v>194133.55</v>
      </c>
      <c r="AZ34" s="15">
        <v>622100.16</v>
      </c>
      <c r="BA34" s="15">
        <v>88580.65</v>
      </c>
      <c r="BB34" s="15">
        <v>3823797.54</v>
      </c>
      <c r="BC34" s="15">
        <v>293432.78000000003</v>
      </c>
      <c r="BD34" s="15">
        <f t="shared" si="1"/>
        <v>43610839.490000002</v>
      </c>
      <c r="BE34" s="15">
        <f t="shared" si="2"/>
        <v>22354571.870000001</v>
      </c>
      <c r="BF34" s="15">
        <f t="shared" si="3"/>
        <v>6800711.3600000003</v>
      </c>
      <c r="BG34" s="15">
        <f t="shared" si="4"/>
        <v>14455556.26</v>
      </c>
    </row>
    <row r="35" spans="1:59" ht="16.5" customHeight="1" x14ac:dyDescent="0.25">
      <c r="A35" s="29"/>
      <c r="B35" s="7" t="s">
        <v>308</v>
      </c>
      <c r="C35" s="15">
        <v>743295.77</v>
      </c>
      <c r="D35" s="15">
        <v>185674.16</v>
      </c>
      <c r="E35" s="15">
        <v>169023.7</v>
      </c>
      <c r="F35" s="15">
        <v>135577.24</v>
      </c>
      <c r="G35" s="15">
        <v>1815928.29</v>
      </c>
      <c r="H35" s="15">
        <v>1229242</v>
      </c>
      <c r="I35" s="15">
        <v>1548419.22</v>
      </c>
      <c r="J35" s="15">
        <v>11386840.060000001</v>
      </c>
      <c r="K35" s="15">
        <v>1089833.27</v>
      </c>
      <c r="L35" s="15">
        <v>41844.9</v>
      </c>
      <c r="M35" s="15">
        <v>4263994.92</v>
      </c>
      <c r="N35" s="15">
        <v>149518.04</v>
      </c>
      <c r="O35" s="15">
        <v>46149.25</v>
      </c>
      <c r="P35" s="15">
        <v>154126.63</v>
      </c>
      <c r="Q35" s="15">
        <v>205734.2</v>
      </c>
      <c r="R35" s="15">
        <v>407243.6</v>
      </c>
      <c r="S35" s="15">
        <v>172004.45</v>
      </c>
      <c r="T35" s="15">
        <v>204228.92</v>
      </c>
      <c r="U35" s="15">
        <v>1362313.54</v>
      </c>
      <c r="V35" s="15">
        <v>179149.73</v>
      </c>
      <c r="W35" s="15">
        <v>829191.38</v>
      </c>
      <c r="X35" s="15">
        <v>1128401.6000000001</v>
      </c>
      <c r="Y35" s="15">
        <v>64568</v>
      </c>
      <c r="Z35" s="15">
        <v>128310.8</v>
      </c>
      <c r="AA35" s="15">
        <v>430222.85</v>
      </c>
      <c r="AB35" s="15">
        <v>524287.14</v>
      </c>
      <c r="AC35" s="15">
        <v>374204.64</v>
      </c>
      <c r="AD35" s="15">
        <v>262815.44</v>
      </c>
      <c r="AE35" s="15">
        <v>1752544.21</v>
      </c>
      <c r="AF35" s="15">
        <v>2076640.95</v>
      </c>
      <c r="AG35" s="15">
        <v>204292.3</v>
      </c>
      <c r="AH35" s="15">
        <v>110426.2</v>
      </c>
      <c r="AI35" s="15">
        <v>1021614.33</v>
      </c>
      <c r="AJ35" s="15">
        <v>688160.9</v>
      </c>
      <c r="AK35" s="15">
        <v>656567.75</v>
      </c>
      <c r="AL35" s="15">
        <v>88310.05</v>
      </c>
      <c r="AM35" s="15">
        <v>832550.43</v>
      </c>
      <c r="AN35" s="15">
        <v>338650.15</v>
      </c>
      <c r="AO35" s="15">
        <v>338214.24</v>
      </c>
      <c r="AP35" s="15">
        <v>1445541.06</v>
      </c>
      <c r="AQ35" s="15">
        <v>365675.77</v>
      </c>
      <c r="AR35" s="15">
        <v>696412.95</v>
      </c>
      <c r="AS35" s="15">
        <v>326065.48</v>
      </c>
      <c r="AT35" s="15">
        <v>1453158.65</v>
      </c>
      <c r="AU35" s="15">
        <v>361117.4</v>
      </c>
      <c r="AV35" s="15">
        <v>124300.03</v>
      </c>
      <c r="AW35" s="15">
        <v>219039.78</v>
      </c>
      <c r="AX35" s="15">
        <v>834278.53</v>
      </c>
      <c r="AY35" s="15">
        <v>289274.15000000002</v>
      </c>
      <c r="AZ35" s="15">
        <v>687871.68</v>
      </c>
      <c r="BA35" s="15">
        <v>77594.850000000006</v>
      </c>
      <c r="BB35" s="15">
        <v>4255889.58</v>
      </c>
      <c r="BC35" s="15">
        <v>292246.75</v>
      </c>
      <c r="BD35" s="15">
        <f t="shared" si="1"/>
        <v>48768581.910000004</v>
      </c>
      <c r="BE35" s="15">
        <f t="shared" si="2"/>
        <v>25310992.16</v>
      </c>
      <c r="BF35" s="15">
        <f t="shared" si="3"/>
        <v>8065055.2400000002</v>
      </c>
      <c r="BG35" s="15">
        <f t="shared" si="4"/>
        <v>15392534.509999998</v>
      </c>
    </row>
    <row r="36" spans="1:59" ht="16.5" customHeight="1" x14ac:dyDescent="0.25">
      <c r="A36" s="29"/>
      <c r="B36" s="6"/>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73"/>
      <c r="BE36" s="73"/>
      <c r="BF36" s="73"/>
      <c r="BG36" s="73"/>
    </row>
    <row r="37" spans="1:59" ht="16.5" customHeight="1" x14ac:dyDescent="0.25">
      <c r="A37" s="98">
        <v>8</v>
      </c>
      <c r="B37" s="76" t="s">
        <v>305</v>
      </c>
      <c r="C37" s="101">
        <f>C38-C39</f>
        <v>4270.9000000000015</v>
      </c>
      <c r="D37" s="101">
        <f t="shared" ref="D37:BC37" si="12">D38-D39</f>
        <v>1348</v>
      </c>
      <c r="E37" s="101">
        <f t="shared" si="12"/>
        <v>3401.9500000000007</v>
      </c>
      <c r="F37" s="101">
        <f t="shared" si="12"/>
        <v>17442.549999999988</v>
      </c>
      <c r="G37" s="101">
        <f t="shared" si="12"/>
        <v>117217.20999999996</v>
      </c>
      <c r="H37" s="101">
        <f t="shared" si="12"/>
        <v>-223257</v>
      </c>
      <c r="I37" s="101">
        <f t="shared" si="12"/>
        <v>-7307.1100000001024</v>
      </c>
      <c r="J37" s="101">
        <f t="shared" si="12"/>
        <v>978700.63000000268</v>
      </c>
      <c r="K37" s="101">
        <f t="shared" si="12"/>
        <v>-49759.229999999981</v>
      </c>
      <c r="L37" s="101">
        <f t="shared" si="12"/>
        <v>2329.1999999999998</v>
      </c>
      <c r="M37" s="101">
        <f t="shared" si="12"/>
        <v>69358.390000000014</v>
      </c>
      <c r="N37" s="101">
        <f t="shared" si="12"/>
        <v>-16390.050000000003</v>
      </c>
      <c r="O37" s="101">
        <f t="shared" si="12"/>
        <v>-6266.8499999999995</v>
      </c>
      <c r="P37" s="101">
        <f t="shared" si="12"/>
        <v>-10780.65</v>
      </c>
      <c r="Q37" s="101">
        <f t="shared" si="12"/>
        <v>-8358.4499999999989</v>
      </c>
      <c r="R37" s="101">
        <f t="shared" si="12"/>
        <v>-5180.710000000021</v>
      </c>
      <c r="S37" s="101">
        <f t="shared" si="12"/>
        <v>-488.80000000000018</v>
      </c>
      <c r="T37" s="101">
        <f t="shared" si="12"/>
        <v>-3762.3999999999996</v>
      </c>
      <c r="U37" s="101">
        <f t="shared" si="12"/>
        <v>9192.5200000000041</v>
      </c>
      <c r="V37" s="101">
        <f t="shared" si="12"/>
        <v>-71253.900000000023</v>
      </c>
      <c r="W37" s="101">
        <f t="shared" si="12"/>
        <v>11237.199999999997</v>
      </c>
      <c r="X37" s="101">
        <f t="shared" si="12"/>
        <v>-85852.75</v>
      </c>
      <c r="Y37" s="101">
        <f t="shared" si="12"/>
        <v>28016.399999999994</v>
      </c>
      <c r="Z37" s="101">
        <f t="shared" si="12"/>
        <v>-13533.650000000023</v>
      </c>
      <c r="AA37" s="101">
        <f t="shared" si="12"/>
        <v>-32903.489999999991</v>
      </c>
      <c r="AB37" s="101">
        <f t="shared" si="12"/>
        <v>-23519.049999999988</v>
      </c>
      <c r="AC37" s="101">
        <f t="shared" si="12"/>
        <v>-23611.289999999979</v>
      </c>
      <c r="AD37" s="101">
        <f t="shared" si="12"/>
        <v>-78972.050000000047</v>
      </c>
      <c r="AE37" s="101">
        <f t="shared" si="12"/>
        <v>17580</v>
      </c>
      <c r="AF37" s="101">
        <f t="shared" si="12"/>
        <v>2428.7299999999814</v>
      </c>
      <c r="AG37" s="101">
        <f t="shared" si="12"/>
        <v>2580.4000000000087</v>
      </c>
      <c r="AH37" s="101">
        <f t="shared" si="12"/>
        <v>-20466.689999999973</v>
      </c>
      <c r="AI37" s="101">
        <f t="shared" si="12"/>
        <v>-30692.540000000008</v>
      </c>
      <c r="AJ37" s="101">
        <f t="shared" si="12"/>
        <v>-102054.53000000003</v>
      </c>
      <c r="AK37" s="101">
        <f t="shared" si="12"/>
        <v>-137243.68</v>
      </c>
      <c r="AL37" s="101">
        <f t="shared" si="12"/>
        <v>-38776.25</v>
      </c>
      <c r="AM37" s="101">
        <f t="shared" si="12"/>
        <v>74879.63</v>
      </c>
      <c r="AN37" s="101">
        <f t="shared" si="12"/>
        <v>-130044.53</v>
      </c>
      <c r="AO37" s="101">
        <f t="shared" si="12"/>
        <v>-36885.03</v>
      </c>
      <c r="AP37" s="101">
        <f t="shared" si="12"/>
        <v>118062.02000000002</v>
      </c>
      <c r="AQ37" s="101">
        <f t="shared" si="12"/>
        <v>-19084.330000000016</v>
      </c>
      <c r="AR37" s="101">
        <f t="shared" si="12"/>
        <v>-42433.16</v>
      </c>
      <c r="AS37" s="101">
        <f t="shared" si="12"/>
        <v>-22857.64</v>
      </c>
      <c r="AT37" s="101">
        <f t="shared" si="12"/>
        <v>10492.050000000017</v>
      </c>
      <c r="AU37" s="101">
        <f t="shared" si="12"/>
        <v>14843.869999999995</v>
      </c>
      <c r="AV37" s="101">
        <f t="shared" si="12"/>
        <v>-27510.550000000003</v>
      </c>
      <c r="AW37" s="101">
        <f t="shared" si="12"/>
        <v>-1055.3999999999978</v>
      </c>
      <c r="AX37" s="101">
        <f t="shared" si="12"/>
        <v>5893.9700000000012</v>
      </c>
      <c r="AY37" s="101">
        <f t="shared" si="12"/>
        <v>-19733.05</v>
      </c>
      <c r="AZ37" s="101">
        <f t="shared" si="12"/>
        <v>-155767.9</v>
      </c>
      <c r="BA37" s="101">
        <f t="shared" si="12"/>
        <v>-47628.800000000003</v>
      </c>
      <c r="BB37" s="101">
        <f t="shared" si="12"/>
        <v>406455.94</v>
      </c>
      <c r="BC37" s="101">
        <f t="shared" si="12"/>
        <v>-24114.049999999988</v>
      </c>
      <c r="BD37" s="101">
        <f t="shared" si="1"/>
        <v>378186.00000000239</v>
      </c>
      <c r="BE37" s="101">
        <f t="shared" si="2"/>
        <v>871710.10000000254</v>
      </c>
      <c r="BF37" s="101">
        <f t="shared" si="3"/>
        <v>-288270.14</v>
      </c>
      <c r="BG37" s="101">
        <f t="shared" si="4"/>
        <v>-205253.95999999996</v>
      </c>
    </row>
    <row r="38" spans="1:59" ht="16.5" customHeight="1" x14ac:dyDescent="0.25">
      <c r="A38" s="29"/>
      <c r="B38" s="7" t="s">
        <v>307</v>
      </c>
      <c r="C38" s="15">
        <v>19174.900000000001</v>
      </c>
      <c r="D38" s="15">
        <v>1360</v>
      </c>
      <c r="E38" s="15">
        <v>7534.1</v>
      </c>
      <c r="F38" s="15">
        <v>380472.55</v>
      </c>
      <c r="G38" s="15">
        <v>1957323.46</v>
      </c>
      <c r="H38" s="15">
        <v>1399543</v>
      </c>
      <c r="I38" s="15">
        <v>558352.18999999994</v>
      </c>
      <c r="J38" s="15">
        <v>31404276.850000001</v>
      </c>
      <c r="K38" s="15">
        <v>1941112.93</v>
      </c>
      <c r="L38" s="15">
        <v>2423.1999999999998</v>
      </c>
      <c r="M38" s="15">
        <v>362402.84</v>
      </c>
      <c r="N38" s="15">
        <v>41056.35</v>
      </c>
      <c r="O38" s="15">
        <v>689.1</v>
      </c>
      <c r="P38" s="15">
        <v>1684</v>
      </c>
      <c r="Q38" s="15">
        <v>11236.65</v>
      </c>
      <c r="R38" s="15">
        <v>355210.85</v>
      </c>
      <c r="S38" s="15">
        <v>4384.55</v>
      </c>
      <c r="T38" s="15">
        <v>11706.35</v>
      </c>
      <c r="U38" s="15">
        <v>95974.27</v>
      </c>
      <c r="V38" s="15">
        <v>727437.32</v>
      </c>
      <c r="W38" s="15">
        <v>36842.1</v>
      </c>
      <c r="X38" s="15">
        <v>1033052.2</v>
      </c>
      <c r="Y38" s="15">
        <v>221085.5</v>
      </c>
      <c r="Z38" s="15">
        <v>324007.55</v>
      </c>
      <c r="AA38" s="15">
        <v>429042.71</v>
      </c>
      <c r="AB38" s="15">
        <v>184481.54</v>
      </c>
      <c r="AC38" s="15">
        <v>485925.71</v>
      </c>
      <c r="AD38" s="15">
        <v>1343683.52</v>
      </c>
      <c r="AE38" s="15">
        <v>832013.1</v>
      </c>
      <c r="AF38" s="15">
        <v>1016934.88</v>
      </c>
      <c r="AG38" s="15">
        <v>78090.3</v>
      </c>
      <c r="AH38" s="15">
        <v>234049.92000000001</v>
      </c>
      <c r="AI38" s="15">
        <v>156464.75</v>
      </c>
      <c r="AJ38" s="15">
        <v>700082.08</v>
      </c>
      <c r="AK38" s="15">
        <v>59781.42</v>
      </c>
      <c r="AL38" s="15">
        <v>74229.3</v>
      </c>
      <c r="AM38" s="15">
        <v>311209.43</v>
      </c>
      <c r="AN38" s="15">
        <v>248262.97</v>
      </c>
      <c r="AO38" s="15">
        <v>5316.6</v>
      </c>
      <c r="AP38" s="15">
        <v>508793.14</v>
      </c>
      <c r="AQ38" s="15">
        <v>252947.82</v>
      </c>
      <c r="AR38" s="15">
        <v>198322.07</v>
      </c>
      <c r="AS38" s="15">
        <v>67908.95</v>
      </c>
      <c r="AT38" s="15">
        <v>147395.89000000001</v>
      </c>
      <c r="AU38" s="15">
        <v>143272.01999999999</v>
      </c>
      <c r="AV38" s="15">
        <v>86908.75</v>
      </c>
      <c r="AW38" s="15">
        <v>18255.650000000001</v>
      </c>
      <c r="AX38" s="15">
        <v>158712.09</v>
      </c>
      <c r="AY38" s="15">
        <v>15259.8</v>
      </c>
      <c r="AZ38" s="15">
        <v>133726.85</v>
      </c>
      <c r="BA38" s="15">
        <v>48607.199999999997</v>
      </c>
      <c r="BB38" s="15">
        <v>459041.99</v>
      </c>
      <c r="BC38" s="15">
        <v>161296.75</v>
      </c>
      <c r="BD38" s="15">
        <f t="shared" si="1"/>
        <v>49458360.010000028</v>
      </c>
      <c r="BE38" s="15">
        <f t="shared" si="2"/>
        <v>38555918.140000008</v>
      </c>
      <c r="BF38" s="15">
        <f t="shared" si="3"/>
        <v>6946646.3499999996</v>
      </c>
      <c r="BG38" s="15">
        <f t="shared" si="4"/>
        <v>3955795.5199999996</v>
      </c>
    </row>
    <row r="39" spans="1:59" ht="16.5" customHeight="1" x14ac:dyDescent="0.25">
      <c r="A39" s="29"/>
      <c r="B39" s="7" t="s">
        <v>308</v>
      </c>
      <c r="C39" s="15">
        <v>14904</v>
      </c>
      <c r="D39" s="15">
        <v>12</v>
      </c>
      <c r="E39" s="15">
        <v>4132.1499999999996</v>
      </c>
      <c r="F39" s="15">
        <v>363030</v>
      </c>
      <c r="G39" s="15">
        <v>1840106.25</v>
      </c>
      <c r="H39" s="15">
        <v>1622800</v>
      </c>
      <c r="I39" s="15">
        <v>565659.30000000005</v>
      </c>
      <c r="J39" s="15">
        <v>30425576.219999999</v>
      </c>
      <c r="K39" s="15">
        <v>1990872.16</v>
      </c>
      <c r="L39" s="15">
        <v>94</v>
      </c>
      <c r="M39" s="15">
        <v>293044.45</v>
      </c>
      <c r="N39" s="15">
        <v>57446.400000000001</v>
      </c>
      <c r="O39" s="15">
        <v>6955.95</v>
      </c>
      <c r="P39" s="15">
        <v>12464.65</v>
      </c>
      <c r="Q39" s="15">
        <v>19595.099999999999</v>
      </c>
      <c r="R39" s="15">
        <v>360391.56</v>
      </c>
      <c r="S39" s="15">
        <v>4873.3500000000004</v>
      </c>
      <c r="T39" s="15">
        <v>15468.75</v>
      </c>
      <c r="U39" s="15">
        <v>86781.75</v>
      </c>
      <c r="V39" s="15">
        <v>798691.22</v>
      </c>
      <c r="W39" s="15">
        <v>25604.9</v>
      </c>
      <c r="X39" s="15">
        <v>1118904.95</v>
      </c>
      <c r="Y39" s="15">
        <v>193069.1</v>
      </c>
      <c r="Z39" s="15">
        <v>337541.2</v>
      </c>
      <c r="AA39" s="15">
        <v>461946.2</v>
      </c>
      <c r="AB39" s="15">
        <v>208000.59</v>
      </c>
      <c r="AC39" s="15">
        <v>509537</v>
      </c>
      <c r="AD39" s="15">
        <v>1422655.57</v>
      </c>
      <c r="AE39" s="15">
        <v>814433.1</v>
      </c>
      <c r="AF39" s="15">
        <v>1014506.15</v>
      </c>
      <c r="AG39" s="15">
        <v>75509.899999999994</v>
      </c>
      <c r="AH39" s="15">
        <v>254516.61</v>
      </c>
      <c r="AI39" s="15">
        <v>187157.29</v>
      </c>
      <c r="AJ39" s="15">
        <v>802136.61</v>
      </c>
      <c r="AK39" s="15">
        <v>197025.1</v>
      </c>
      <c r="AL39" s="15">
        <v>113005.55</v>
      </c>
      <c r="AM39" s="15">
        <v>236329.8</v>
      </c>
      <c r="AN39" s="15">
        <v>378307.5</v>
      </c>
      <c r="AO39" s="15">
        <v>42201.63</v>
      </c>
      <c r="AP39" s="15">
        <v>390731.12</v>
      </c>
      <c r="AQ39" s="15">
        <v>272032.15000000002</v>
      </c>
      <c r="AR39" s="15">
        <v>240755.23</v>
      </c>
      <c r="AS39" s="15">
        <v>90766.59</v>
      </c>
      <c r="AT39" s="15">
        <v>136903.84</v>
      </c>
      <c r="AU39" s="15">
        <v>128428.15</v>
      </c>
      <c r="AV39" s="15">
        <v>114419.3</v>
      </c>
      <c r="AW39" s="15">
        <v>19311.05</v>
      </c>
      <c r="AX39" s="15">
        <v>152818.12</v>
      </c>
      <c r="AY39" s="15">
        <v>34992.85</v>
      </c>
      <c r="AZ39" s="15">
        <v>289494.75</v>
      </c>
      <c r="BA39" s="15">
        <v>96236</v>
      </c>
      <c r="BB39" s="15">
        <v>52586.05</v>
      </c>
      <c r="BC39" s="15">
        <v>185410.8</v>
      </c>
      <c r="BD39" s="15">
        <f t="shared" si="1"/>
        <v>49080174.009999998</v>
      </c>
      <c r="BE39" s="15">
        <f t="shared" si="2"/>
        <v>37684208.040000007</v>
      </c>
      <c r="BF39" s="15">
        <f t="shared" si="3"/>
        <v>7234916.4900000012</v>
      </c>
      <c r="BG39" s="15">
        <f t="shared" si="4"/>
        <v>4161049.4799999991</v>
      </c>
    </row>
    <row r="40" spans="1:59" ht="16.5" customHeight="1" x14ac:dyDescent="0.25">
      <c r="A40" s="29"/>
      <c r="B40" s="6"/>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73"/>
      <c r="BE40" s="73"/>
      <c r="BF40" s="73"/>
      <c r="BG40" s="73"/>
    </row>
    <row r="41" spans="1:59" ht="16.5" customHeight="1" x14ac:dyDescent="0.25">
      <c r="A41" s="98">
        <v>9</v>
      </c>
      <c r="B41" s="76" t="s">
        <v>306</v>
      </c>
      <c r="C41" s="101">
        <f>C42-C43</f>
        <v>-2491722.98</v>
      </c>
      <c r="D41" s="101">
        <f t="shared" ref="D41:BC41" si="13">D42-D43</f>
        <v>-496337.07000000007</v>
      </c>
      <c r="E41" s="101">
        <f t="shared" si="13"/>
        <v>-1473485.55</v>
      </c>
      <c r="F41" s="101">
        <f t="shared" si="13"/>
        <v>-1147486.0999999999</v>
      </c>
      <c r="G41" s="101">
        <f t="shared" si="13"/>
        <v>-10026847.59</v>
      </c>
      <c r="H41" s="101">
        <f t="shared" si="13"/>
        <v>-8884109</v>
      </c>
      <c r="I41" s="101">
        <f t="shared" si="13"/>
        <v>-6936931.5100000007</v>
      </c>
      <c r="J41" s="101">
        <f t="shared" si="13"/>
        <v>-45260046.950000003</v>
      </c>
      <c r="K41" s="101">
        <f t="shared" si="13"/>
        <v>-3597747.9699999997</v>
      </c>
      <c r="L41" s="101">
        <f t="shared" si="13"/>
        <v>-344754.39999999997</v>
      </c>
      <c r="M41" s="101">
        <f t="shared" si="13"/>
        <v>-19142447.879999999</v>
      </c>
      <c r="N41" s="101">
        <f t="shared" si="13"/>
        <v>-1504345.5</v>
      </c>
      <c r="O41" s="101">
        <f t="shared" si="13"/>
        <v>-336561.75</v>
      </c>
      <c r="P41" s="101">
        <f t="shared" si="13"/>
        <v>-1143482.04</v>
      </c>
      <c r="Q41" s="101">
        <f t="shared" si="13"/>
        <v>-1013100.6500000001</v>
      </c>
      <c r="R41" s="101">
        <f t="shared" si="13"/>
        <v>-2348805.33</v>
      </c>
      <c r="S41" s="101">
        <f t="shared" si="13"/>
        <v>-592316.63</v>
      </c>
      <c r="T41" s="101">
        <f t="shared" si="13"/>
        <v>-1427713.74</v>
      </c>
      <c r="U41" s="101">
        <f t="shared" si="13"/>
        <v>-8399791.8800000008</v>
      </c>
      <c r="V41" s="101">
        <f t="shared" si="13"/>
        <v>-866221.25</v>
      </c>
      <c r="W41" s="101">
        <f t="shared" si="13"/>
        <v>-3896228.8</v>
      </c>
      <c r="X41" s="101">
        <f t="shared" si="13"/>
        <v>-6386478.6399999987</v>
      </c>
      <c r="Y41" s="101">
        <f t="shared" si="13"/>
        <v>-286608.2</v>
      </c>
      <c r="Z41" s="101">
        <f t="shared" si="13"/>
        <v>-344985.51</v>
      </c>
      <c r="AA41" s="101">
        <f t="shared" si="13"/>
        <v>-1560639.23</v>
      </c>
      <c r="AB41" s="101">
        <f t="shared" si="13"/>
        <v>-2199157.6800000002</v>
      </c>
      <c r="AC41" s="101">
        <f t="shared" si="13"/>
        <v>-1787001.8</v>
      </c>
      <c r="AD41" s="101">
        <f t="shared" si="13"/>
        <v>-1340451.02</v>
      </c>
      <c r="AE41" s="101">
        <f t="shared" si="13"/>
        <v>-5303099.37</v>
      </c>
      <c r="AF41" s="101">
        <f t="shared" si="13"/>
        <v>-7506365.1200000001</v>
      </c>
      <c r="AG41" s="101">
        <f t="shared" si="13"/>
        <v>-592294.81000000006</v>
      </c>
      <c r="AH41" s="101">
        <f t="shared" si="13"/>
        <v>-327940.54000000004</v>
      </c>
      <c r="AI41" s="101">
        <f t="shared" si="13"/>
        <v>-5111274.1099999994</v>
      </c>
      <c r="AJ41" s="101">
        <f t="shared" si="13"/>
        <v>-3041394.6</v>
      </c>
      <c r="AK41" s="101">
        <f t="shared" si="13"/>
        <v>-3356974.26</v>
      </c>
      <c r="AL41" s="101">
        <f t="shared" si="13"/>
        <v>-319730.92</v>
      </c>
      <c r="AM41" s="101">
        <f t="shared" si="13"/>
        <v>-6845367.3900000006</v>
      </c>
      <c r="AN41" s="101">
        <f t="shared" si="13"/>
        <v>-1669839.1099999999</v>
      </c>
      <c r="AO41" s="101">
        <f t="shared" si="13"/>
        <v>-1920651.8499999999</v>
      </c>
      <c r="AP41" s="101">
        <f t="shared" si="13"/>
        <v>-3395652.8600000003</v>
      </c>
      <c r="AQ41" s="101">
        <f t="shared" si="13"/>
        <v>-2127712.44</v>
      </c>
      <c r="AR41" s="101">
        <f t="shared" si="13"/>
        <v>-2871510.11</v>
      </c>
      <c r="AS41" s="101">
        <f t="shared" si="13"/>
        <v>-522300.16999999993</v>
      </c>
      <c r="AT41" s="101">
        <f t="shared" si="13"/>
        <v>-6765859.3900000006</v>
      </c>
      <c r="AU41" s="101">
        <f t="shared" si="13"/>
        <v>-2522919.5699999998</v>
      </c>
      <c r="AV41" s="101">
        <f t="shared" si="13"/>
        <v>-472912.79</v>
      </c>
      <c r="AW41" s="101">
        <f t="shared" si="13"/>
        <v>-970198.48</v>
      </c>
      <c r="AX41" s="101">
        <f t="shared" si="13"/>
        <v>-4901147.4800000004</v>
      </c>
      <c r="AY41" s="101">
        <f t="shared" si="13"/>
        <v>-969126.19000000006</v>
      </c>
      <c r="AZ41" s="101">
        <f t="shared" si="13"/>
        <v>-3224164.35</v>
      </c>
      <c r="BA41" s="101">
        <f t="shared" si="13"/>
        <v>-573352.03</v>
      </c>
      <c r="BB41" s="101">
        <f t="shared" si="13"/>
        <v>-23169284.140000001</v>
      </c>
      <c r="BC41" s="101">
        <f t="shared" si="13"/>
        <v>-1712029.1600000001</v>
      </c>
      <c r="BD41" s="101">
        <f t="shared" si="1"/>
        <v>-225428907.88999996</v>
      </c>
      <c r="BE41" s="101">
        <f t="shared" si="2"/>
        <v>-116568034.52</v>
      </c>
      <c r="BF41" s="101">
        <f t="shared" si="3"/>
        <v>-32397471.969999995</v>
      </c>
      <c r="BG41" s="101">
        <f t="shared" si="4"/>
        <v>-76463401.400000006</v>
      </c>
    </row>
    <row r="42" spans="1:59" ht="16.5" customHeight="1" x14ac:dyDescent="0.35">
      <c r="A42" s="99"/>
      <c r="B42" s="7" t="s">
        <v>307</v>
      </c>
      <c r="C42" s="15">
        <v>376371.86</v>
      </c>
      <c r="D42" s="15">
        <v>150764.10999999999</v>
      </c>
      <c r="E42" s="15">
        <v>157915.22</v>
      </c>
      <c r="F42" s="15">
        <v>107073.34</v>
      </c>
      <c r="G42" s="15">
        <v>1655532.82</v>
      </c>
      <c r="H42" s="15">
        <v>1713040</v>
      </c>
      <c r="I42" s="15">
        <v>1750972.38</v>
      </c>
      <c r="J42" s="15">
        <v>12724033.390000001</v>
      </c>
      <c r="K42" s="15">
        <v>126926.87</v>
      </c>
      <c r="L42" s="15">
        <v>50574.83</v>
      </c>
      <c r="M42" s="15">
        <v>2249920.75</v>
      </c>
      <c r="N42" s="15">
        <v>122502.02</v>
      </c>
      <c r="O42" s="15">
        <v>12989.09</v>
      </c>
      <c r="P42" s="15">
        <v>208102.42</v>
      </c>
      <c r="Q42" s="15">
        <v>277753.18</v>
      </c>
      <c r="R42" s="15">
        <v>112497.8</v>
      </c>
      <c r="S42" s="15">
        <v>40995.99</v>
      </c>
      <c r="T42" s="15">
        <v>149499.57999999999</v>
      </c>
      <c r="U42" s="15">
        <v>2326322.2799999998</v>
      </c>
      <c r="V42" s="15">
        <v>9886.9500000000007</v>
      </c>
      <c r="W42" s="15">
        <v>1063675.42</v>
      </c>
      <c r="X42" s="15">
        <v>4649384.2300000004</v>
      </c>
      <c r="Y42" s="15">
        <v>8068.95</v>
      </c>
      <c r="Z42" s="15">
        <v>113513</v>
      </c>
      <c r="AA42" s="15">
        <v>99323.199999999997</v>
      </c>
      <c r="AB42" s="15">
        <v>167337.06</v>
      </c>
      <c r="AC42" s="15">
        <v>140659.17000000001</v>
      </c>
      <c r="AD42" s="15">
        <v>287137.99</v>
      </c>
      <c r="AE42" s="15">
        <v>1633026.67</v>
      </c>
      <c r="AF42" s="15">
        <v>557255.54</v>
      </c>
      <c r="AG42" s="15">
        <v>115621.75</v>
      </c>
      <c r="AH42" s="15">
        <v>263610.5</v>
      </c>
      <c r="AI42" s="15">
        <v>1287662.1100000001</v>
      </c>
      <c r="AJ42" s="15">
        <v>359011.06</v>
      </c>
      <c r="AK42" s="15">
        <v>200549.04</v>
      </c>
      <c r="AL42" s="15">
        <v>61469.2</v>
      </c>
      <c r="AM42" s="15">
        <v>2570238.11</v>
      </c>
      <c r="AN42" s="15">
        <v>124801.28</v>
      </c>
      <c r="AO42" s="15">
        <v>200750.51</v>
      </c>
      <c r="AP42" s="15">
        <v>397796.55</v>
      </c>
      <c r="AQ42" s="15">
        <v>93544.09</v>
      </c>
      <c r="AR42" s="15">
        <v>263980.95</v>
      </c>
      <c r="AS42" s="15">
        <v>454728.02</v>
      </c>
      <c r="AT42" s="15">
        <v>500196.05</v>
      </c>
      <c r="AU42" s="15">
        <v>91620.14</v>
      </c>
      <c r="AV42" s="15">
        <v>11108.88</v>
      </c>
      <c r="AW42" s="15">
        <v>57006.8</v>
      </c>
      <c r="AX42" s="15">
        <v>525193.39</v>
      </c>
      <c r="AY42" s="15">
        <v>47076.83</v>
      </c>
      <c r="AZ42" s="15">
        <v>628688.31000000006</v>
      </c>
      <c r="BA42" s="15">
        <v>10787.4</v>
      </c>
      <c r="BB42" s="15">
        <v>6109582.5599999996</v>
      </c>
      <c r="BC42" s="15">
        <v>107697.15</v>
      </c>
      <c r="BD42" s="15">
        <f t="shared" si="1"/>
        <v>47525776.789999999</v>
      </c>
      <c r="BE42" s="15">
        <f t="shared" si="2"/>
        <v>24313787.93</v>
      </c>
      <c r="BF42" s="15">
        <f t="shared" si="3"/>
        <v>9108500.4299999997</v>
      </c>
      <c r="BG42" s="15">
        <f t="shared" si="4"/>
        <v>14103488.429999998</v>
      </c>
    </row>
    <row r="43" spans="1:59" ht="16.5" customHeight="1" x14ac:dyDescent="0.35">
      <c r="A43" s="99"/>
      <c r="B43" s="7" t="s">
        <v>308</v>
      </c>
      <c r="C43" s="15">
        <v>2868094.84</v>
      </c>
      <c r="D43" s="15">
        <v>647101.18000000005</v>
      </c>
      <c r="E43" s="15">
        <v>1631400.77</v>
      </c>
      <c r="F43" s="15">
        <v>1254559.44</v>
      </c>
      <c r="G43" s="15">
        <v>11682380.41</v>
      </c>
      <c r="H43" s="15">
        <v>10597149</v>
      </c>
      <c r="I43" s="15">
        <v>8687903.8900000006</v>
      </c>
      <c r="J43" s="15">
        <v>57984080.340000004</v>
      </c>
      <c r="K43" s="15">
        <v>3724674.84</v>
      </c>
      <c r="L43" s="15">
        <v>395329.23</v>
      </c>
      <c r="M43" s="15">
        <v>21392368.629999999</v>
      </c>
      <c r="N43" s="15">
        <v>1626847.52</v>
      </c>
      <c r="O43" s="15">
        <v>349550.84</v>
      </c>
      <c r="P43" s="15">
        <v>1351584.46</v>
      </c>
      <c r="Q43" s="15">
        <v>1290853.83</v>
      </c>
      <c r="R43" s="15">
        <v>2461303.13</v>
      </c>
      <c r="S43" s="15">
        <v>633312.62</v>
      </c>
      <c r="T43" s="15">
        <v>1577213.32</v>
      </c>
      <c r="U43" s="15">
        <v>10726114.16</v>
      </c>
      <c r="V43" s="15">
        <v>876108.2</v>
      </c>
      <c r="W43" s="15">
        <v>4959904.22</v>
      </c>
      <c r="X43" s="15">
        <v>11035862.869999999</v>
      </c>
      <c r="Y43" s="15">
        <v>294677.15000000002</v>
      </c>
      <c r="Z43" s="15">
        <v>458498.51</v>
      </c>
      <c r="AA43" s="15">
        <v>1659962.43</v>
      </c>
      <c r="AB43" s="15">
        <v>2366494.7400000002</v>
      </c>
      <c r="AC43" s="15">
        <v>1927660.97</v>
      </c>
      <c r="AD43" s="15">
        <v>1627589.01</v>
      </c>
      <c r="AE43" s="15">
        <v>6936126.04</v>
      </c>
      <c r="AF43" s="15">
        <v>8063620.6600000001</v>
      </c>
      <c r="AG43" s="15">
        <v>707916.56</v>
      </c>
      <c r="AH43" s="15">
        <v>591551.04</v>
      </c>
      <c r="AI43" s="15">
        <v>6398936.2199999997</v>
      </c>
      <c r="AJ43" s="15">
        <v>3400405.66</v>
      </c>
      <c r="AK43" s="15">
        <v>3557523.3</v>
      </c>
      <c r="AL43" s="15">
        <v>381200.12</v>
      </c>
      <c r="AM43" s="15">
        <v>9415605.5</v>
      </c>
      <c r="AN43" s="15">
        <v>1794640.39</v>
      </c>
      <c r="AO43" s="15">
        <v>2121402.36</v>
      </c>
      <c r="AP43" s="15">
        <v>3793449.41</v>
      </c>
      <c r="AQ43" s="15">
        <v>2221256.5299999998</v>
      </c>
      <c r="AR43" s="15">
        <v>3135491.06</v>
      </c>
      <c r="AS43" s="15">
        <v>977028.19</v>
      </c>
      <c r="AT43" s="15">
        <v>7266055.4400000004</v>
      </c>
      <c r="AU43" s="15">
        <v>2614539.71</v>
      </c>
      <c r="AV43" s="15">
        <v>484021.67</v>
      </c>
      <c r="AW43" s="15">
        <v>1027205.28</v>
      </c>
      <c r="AX43" s="15">
        <v>5426340.8700000001</v>
      </c>
      <c r="AY43" s="15">
        <v>1016203.02</v>
      </c>
      <c r="AZ43" s="15">
        <v>3852852.66</v>
      </c>
      <c r="BA43" s="15">
        <v>584139.43000000005</v>
      </c>
      <c r="BB43" s="15">
        <v>29278866.699999999</v>
      </c>
      <c r="BC43" s="15">
        <v>1819726.31</v>
      </c>
      <c r="BD43" s="15">
        <f t="shared" si="1"/>
        <v>272954684.68000001</v>
      </c>
      <c r="BE43" s="15">
        <f t="shared" si="2"/>
        <v>140881822.44999999</v>
      </c>
      <c r="BF43" s="15">
        <f t="shared" si="3"/>
        <v>41505972.399999999</v>
      </c>
      <c r="BG43" s="15">
        <f t="shared" si="4"/>
        <v>90566889.829999998</v>
      </c>
    </row>
    <row r="44" spans="1:59" ht="16.5" customHeight="1" x14ac:dyDescent="0.35">
      <c r="A44" s="99"/>
      <c r="B44" s="100"/>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row>
    <row r="45" spans="1:59" ht="16.5" customHeight="1" x14ac:dyDescent="0.25">
      <c r="A45" s="98"/>
      <c r="B45" s="76" t="s">
        <v>309</v>
      </c>
      <c r="C45" s="101">
        <f>C5+C9+C13+C17+C21+C25+C29+C33+C37+C41</f>
        <v>-5248.7999999993481</v>
      </c>
      <c r="D45" s="101">
        <f t="shared" ref="D45:BG45" si="14">D5+D9+D13+D17+D21+D25+D29+D33+D37+D41</f>
        <v>200798.41999999993</v>
      </c>
      <c r="E45" s="101">
        <f t="shared" si="14"/>
        <v>-236110.32000000007</v>
      </c>
      <c r="F45" s="101">
        <f t="shared" si="14"/>
        <v>54896.010000000009</v>
      </c>
      <c r="G45" s="101">
        <f t="shared" si="14"/>
        <v>0</v>
      </c>
      <c r="H45" s="101">
        <f t="shared" si="14"/>
        <v>-127035</v>
      </c>
      <c r="I45" s="101">
        <f t="shared" si="14"/>
        <v>0</v>
      </c>
      <c r="J45" s="101">
        <f t="shared" si="14"/>
        <v>0</v>
      </c>
      <c r="K45" s="101">
        <f t="shared" si="14"/>
        <v>113213.43999999994</v>
      </c>
      <c r="L45" s="101">
        <f t="shared" si="14"/>
        <v>-5101.0699999999488</v>
      </c>
      <c r="M45" s="101">
        <f t="shared" si="14"/>
        <v>0</v>
      </c>
      <c r="N45" s="101">
        <f t="shared" si="14"/>
        <v>0</v>
      </c>
      <c r="O45" s="101">
        <f t="shared" si="14"/>
        <v>-27333.609999999986</v>
      </c>
      <c r="P45" s="101">
        <f t="shared" si="14"/>
        <v>0</v>
      </c>
      <c r="Q45" s="101">
        <f t="shared" si="14"/>
        <v>0</v>
      </c>
      <c r="R45" s="101">
        <f t="shared" si="14"/>
        <v>-269472.09000000008</v>
      </c>
      <c r="S45" s="101">
        <f t="shared" si="14"/>
        <v>92483.039999999921</v>
      </c>
      <c r="T45" s="101">
        <f t="shared" si="14"/>
        <v>0</v>
      </c>
      <c r="U45" s="101">
        <f t="shared" si="14"/>
        <v>0</v>
      </c>
      <c r="V45" s="101">
        <f t="shared" si="14"/>
        <v>-64094.420000000042</v>
      </c>
      <c r="W45" s="101">
        <f t="shared" si="14"/>
        <v>0</v>
      </c>
      <c r="X45" s="101">
        <f t="shared" si="14"/>
        <v>-1866501.5799999982</v>
      </c>
      <c r="Y45" s="101">
        <f t="shared" si="14"/>
        <v>116577.54999999999</v>
      </c>
      <c r="Z45" s="101">
        <f t="shared" si="14"/>
        <v>0</v>
      </c>
      <c r="AA45" s="101">
        <f t="shared" si="14"/>
        <v>0</v>
      </c>
      <c r="AB45" s="101">
        <f t="shared" si="14"/>
        <v>0</v>
      </c>
      <c r="AC45" s="101">
        <f t="shared" si="14"/>
        <v>0</v>
      </c>
      <c r="AD45" s="101">
        <f t="shared" si="14"/>
        <v>125962.72999999975</v>
      </c>
      <c r="AE45" s="101">
        <f t="shared" si="14"/>
        <v>0</v>
      </c>
      <c r="AF45" s="101">
        <f t="shared" si="14"/>
        <v>-495635.45000000019</v>
      </c>
      <c r="AG45" s="101">
        <f t="shared" si="14"/>
        <v>-48632.109999999986</v>
      </c>
      <c r="AH45" s="101">
        <f t="shared" si="14"/>
        <v>0</v>
      </c>
      <c r="AI45" s="101">
        <f t="shared" si="14"/>
        <v>0</v>
      </c>
      <c r="AJ45" s="101">
        <f t="shared" si="14"/>
        <v>-100441.81999999983</v>
      </c>
      <c r="AK45" s="101">
        <f t="shared" si="14"/>
        <v>22426.510000000708</v>
      </c>
      <c r="AL45" s="101">
        <f t="shared" si="14"/>
        <v>9442.2400000000489</v>
      </c>
      <c r="AM45" s="101">
        <f t="shared" si="14"/>
        <v>0</v>
      </c>
      <c r="AN45" s="101">
        <f t="shared" si="14"/>
        <v>28465.240000000224</v>
      </c>
      <c r="AO45" s="101">
        <f t="shared" si="14"/>
        <v>0</v>
      </c>
      <c r="AP45" s="101">
        <f t="shared" si="14"/>
        <v>0</v>
      </c>
      <c r="AQ45" s="101">
        <f t="shared" si="14"/>
        <v>163520.97999999952</v>
      </c>
      <c r="AR45" s="101">
        <f t="shared" si="14"/>
        <v>0</v>
      </c>
      <c r="AS45" s="101">
        <f t="shared" si="14"/>
        <v>213500.08000000007</v>
      </c>
      <c r="AT45" s="101">
        <f t="shared" si="14"/>
        <v>0</v>
      </c>
      <c r="AU45" s="101">
        <f t="shared" si="14"/>
        <v>-250458.32999999961</v>
      </c>
      <c r="AV45" s="101">
        <f t="shared" si="14"/>
        <v>44181.130000000005</v>
      </c>
      <c r="AW45" s="101">
        <f t="shared" si="14"/>
        <v>87327.440000000177</v>
      </c>
      <c r="AX45" s="101">
        <f t="shared" si="14"/>
        <v>0</v>
      </c>
      <c r="AY45" s="101">
        <f t="shared" si="14"/>
        <v>-131178.64000000001</v>
      </c>
      <c r="AZ45" s="101">
        <f t="shared" si="14"/>
        <v>-54631.449999999721</v>
      </c>
      <c r="BA45" s="101">
        <f t="shared" si="14"/>
        <v>-1611.3700000001118</v>
      </c>
      <c r="BB45" s="101">
        <f t="shared" si="14"/>
        <v>0</v>
      </c>
      <c r="BC45" s="101">
        <f t="shared" si="14"/>
        <v>-65056.200000000186</v>
      </c>
      <c r="BD45" s="101">
        <f t="shared" si="14"/>
        <v>-2475747.4499999285</v>
      </c>
      <c r="BE45" s="101">
        <f t="shared" si="14"/>
        <v>-208909.97999998927</v>
      </c>
      <c r="BF45" s="101">
        <f t="shared" si="14"/>
        <v>-2232323.2799999975</v>
      </c>
      <c r="BG45" s="101">
        <f t="shared" si="14"/>
        <v>-34514.189999997616</v>
      </c>
    </row>
    <row r="46" spans="1:59" ht="16.5" customHeight="1" x14ac:dyDescent="0.35">
      <c r="A46" s="99"/>
      <c r="B46" s="7" t="s">
        <v>307</v>
      </c>
      <c r="C46" s="15">
        <f>C6+C10+C14+C18+C22+C26+C30+C34+C38+C42</f>
        <v>4051482.96</v>
      </c>
      <c r="D46" s="15">
        <f t="shared" ref="D46:BG46" si="15">D6+D10+D14+D18+D22+D26+D30+D34+D38+D42</f>
        <v>1257562.92</v>
      </c>
      <c r="E46" s="15">
        <f t="shared" si="15"/>
        <v>1653793.45</v>
      </c>
      <c r="F46" s="15">
        <f t="shared" si="15"/>
        <v>1982427.98</v>
      </c>
      <c r="G46" s="15">
        <f t="shared" si="15"/>
        <v>17207745.57</v>
      </c>
      <c r="H46" s="15">
        <f t="shared" si="15"/>
        <v>15430901</v>
      </c>
      <c r="I46" s="15">
        <f t="shared" si="15"/>
        <v>12322576.579999998</v>
      </c>
      <c r="J46" s="15">
        <f t="shared" si="15"/>
        <v>119861915.25000001</v>
      </c>
      <c r="K46" s="15">
        <f t="shared" si="15"/>
        <v>8021131.0099999998</v>
      </c>
      <c r="L46" s="15">
        <f t="shared" si="15"/>
        <v>461420.52999999997</v>
      </c>
      <c r="M46" s="15">
        <f t="shared" si="15"/>
        <v>28879036.939999994</v>
      </c>
      <c r="N46" s="15">
        <f t="shared" si="15"/>
        <v>2039770.6500000001</v>
      </c>
      <c r="O46" s="15">
        <f t="shared" si="15"/>
        <v>399389.94999999995</v>
      </c>
      <c r="P46" s="15">
        <f t="shared" si="15"/>
        <v>1671918.19</v>
      </c>
      <c r="Q46" s="15">
        <f t="shared" si="15"/>
        <v>1669195.7799999998</v>
      </c>
      <c r="R46" s="15">
        <f t="shared" si="15"/>
        <v>3155185.6599999997</v>
      </c>
      <c r="S46" s="15">
        <f t="shared" si="15"/>
        <v>1022491.76</v>
      </c>
      <c r="T46" s="15">
        <f t="shared" si="15"/>
        <v>2392482.59</v>
      </c>
      <c r="U46" s="15">
        <f t="shared" si="15"/>
        <v>14076836.799999999</v>
      </c>
      <c r="V46" s="15">
        <f t="shared" si="15"/>
        <v>1876207.8799999997</v>
      </c>
      <c r="W46" s="15">
        <f t="shared" si="15"/>
        <v>7010818.71</v>
      </c>
      <c r="X46" s="15">
        <f t="shared" si="15"/>
        <v>13597631.770000001</v>
      </c>
      <c r="Y46" s="15">
        <f t="shared" si="15"/>
        <v>699538.09999999986</v>
      </c>
      <c r="Z46" s="15">
        <f t="shared" si="15"/>
        <v>1144444.74</v>
      </c>
      <c r="AA46" s="15">
        <f t="shared" si="15"/>
        <v>2778517.2300000004</v>
      </c>
      <c r="AB46" s="15">
        <f t="shared" si="15"/>
        <v>3811739.42</v>
      </c>
      <c r="AC46" s="15">
        <f t="shared" si="15"/>
        <v>3124115.51</v>
      </c>
      <c r="AD46" s="15">
        <f t="shared" si="15"/>
        <v>3658906.5</v>
      </c>
      <c r="AE46" s="15">
        <f t="shared" si="15"/>
        <v>10401311.810000001</v>
      </c>
      <c r="AF46" s="15">
        <f t="shared" si="15"/>
        <v>11964360.300000001</v>
      </c>
      <c r="AG46" s="15">
        <f t="shared" si="15"/>
        <v>1074552.1000000001</v>
      </c>
      <c r="AH46" s="15">
        <f t="shared" si="15"/>
        <v>1018347.3</v>
      </c>
      <c r="AI46" s="15">
        <f t="shared" si="15"/>
        <v>8739521.0700000003</v>
      </c>
      <c r="AJ46" s="15">
        <f t="shared" si="15"/>
        <v>5549509.8199999994</v>
      </c>
      <c r="AK46" s="15">
        <f t="shared" si="15"/>
        <v>5210622.3099999996</v>
      </c>
      <c r="AL46" s="15">
        <f t="shared" si="15"/>
        <v>618294.16</v>
      </c>
      <c r="AM46" s="15">
        <f t="shared" si="15"/>
        <v>11356988.809999999</v>
      </c>
      <c r="AN46" s="15">
        <f t="shared" si="15"/>
        <v>3722006.1900000004</v>
      </c>
      <c r="AO46" s="15">
        <f t="shared" si="15"/>
        <v>2648849.33</v>
      </c>
      <c r="AP46" s="15">
        <f t="shared" si="15"/>
        <v>7465714.1199999992</v>
      </c>
      <c r="AQ46" s="15">
        <f t="shared" si="15"/>
        <v>3426257.4799999995</v>
      </c>
      <c r="AR46" s="15">
        <f t="shared" si="15"/>
        <v>4713266.9200000009</v>
      </c>
      <c r="AS46" s="15">
        <f t="shared" si="15"/>
        <v>1763416.44</v>
      </c>
      <c r="AT46" s="15">
        <f t="shared" si="15"/>
        <v>10706712.180000002</v>
      </c>
      <c r="AU46" s="15">
        <f t="shared" si="15"/>
        <v>3053176.3</v>
      </c>
      <c r="AV46" s="15">
        <f t="shared" si="15"/>
        <v>813505.38</v>
      </c>
      <c r="AW46" s="15">
        <f t="shared" si="15"/>
        <v>1399191.0499999998</v>
      </c>
      <c r="AX46" s="15">
        <f t="shared" si="15"/>
        <v>7122012.2899999991</v>
      </c>
      <c r="AY46" s="15">
        <f t="shared" si="15"/>
        <v>1484629.5300000003</v>
      </c>
      <c r="AZ46" s="15">
        <f t="shared" si="15"/>
        <v>6092350.9000000004</v>
      </c>
      <c r="BA46" s="15">
        <f t="shared" si="15"/>
        <v>793806.77</v>
      </c>
      <c r="BB46" s="15">
        <f t="shared" si="15"/>
        <v>45861224.170000002</v>
      </c>
      <c r="BC46" s="15">
        <f t="shared" si="15"/>
        <v>2541491.39</v>
      </c>
      <c r="BD46" s="15">
        <f t="shared" si="15"/>
        <v>434800303.55000007</v>
      </c>
      <c r="BE46" s="15">
        <f t="shared" si="15"/>
        <v>237557265.56999999</v>
      </c>
      <c r="BF46" s="15">
        <f t="shared" si="15"/>
        <v>62160491.369999997</v>
      </c>
      <c r="BG46" s="15">
        <f t="shared" si="15"/>
        <v>135082546.61000001</v>
      </c>
    </row>
    <row r="47" spans="1:59" ht="16.5" customHeight="1" x14ac:dyDescent="0.35">
      <c r="A47" s="99"/>
      <c r="B47" s="7" t="s">
        <v>308</v>
      </c>
      <c r="C47" s="15">
        <f>C7+C11+C15+C19+C23+C27+C31+C35+C39+C43</f>
        <v>4056731.76</v>
      </c>
      <c r="D47" s="15">
        <f t="shared" ref="D47:BG47" si="16">D7+D11+D15+D19+D23+D27+D31+D35+D39+D43</f>
        <v>1056764.5</v>
      </c>
      <c r="E47" s="15">
        <f t="shared" si="16"/>
        <v>1889903.77</v>
      </c>
      <c r="F47" s="15">
        <f t="shared" si="16"/>
        <v>1927531.97</v>
      </c>
      <c r="G47" s="15">
        <f t="shared" si="16"/>
        <v>17207745.57</v>
      </c>
      <c r="H47" s="15">
        <f t="shared" si="16"/>
        <v>15557936</v>
      </c>
      <c r="I47" s="15">
        <f t="shared" si="16"/>
        <v>12322576.580000002</v>
      </c>
      <c r="J47" s="15">
        <f t="shared" si="16"/>
        <v>119861915.25</v>
      </c>
      <c r="K47" s="15">
        <f t="shared" si="16"/>
        <v>7907917.5700000003</v>
      </c>
      <c r="L47" s="15">
        <f t="shared" si="16"/>
        <v>466521.59999999998</v>
      </c>
      <c r="M47" s="15">
        <f t="shared" si="16"/>
        <v>28879036.939999998</v>
      </c>
      <c r="N47" s="15">
        <f t="shared" si="16"/>
        <v>2039770.65</v>
      </c>
      <c r="O47" s="15">
        <f t="shared" si="16"/>
        <v>426723.56</v>
      </c>
      <c r="P47" s="15">
        <f t="shared" si="16"/>
        <v>1671918.19</v>
      </c>
      <c r="Q47" s="15">
        <f t="shared" si="16"/>
        <v>1669195.78</v>
      </c>
      <c r="R47" s="15">
        <f t="shared" si="16"/>
        <v>3424657.75</v>
      </c>
      <c r="S47" s="15">
        <f t="shared" si="16"/>
        <v>930008.72</v>
      </c>
      <c r="T47" s="15">
        <f t="shared" si="16"/>
        <v>2392482.5900000003</v>
      </c>
      <c r="U47" s="15">
        <f t="shared" si="16"/>
        <v>14076836.800000001</v>
      </c>
      <c r="V47" s="15">
        <f t="shared" si="16"/>
        <v>1940302.3</v>
      </c>
      <c r="W47" s="15">
        <f t="shared" si="16"/>
        <v>7010818.709999999</v>
      </c>
      <c r="X47" s="15">
        <f t="shared" si="16"/>
        <v>15464133.35</v>
      </c>
      <c r="Y47" s="15">
        <f t="shared" si="16"/>
        <v>582960.55000000005</v>
      </c>
      <c r="Z47" s="15">
        <f t="shared" si="16"/>
        <v>1144444.74</v>
      </c>
      <c r="AA47" s="15">
        <f t="shared" si="16"/>
        <v>2778517.23</v>
      </c>
      <c r="AB47" s="15">
        <f t="shared" si="16"/>
        <v>3811739.4200000004</v>
      </c>
      <c r="AC47" s="15">
        <f t="shared" si="16"/>
        <v>3124115.51</v>
      </c>
      <c r="AD47" s="15">
        <f t="shared" si="16"/>
        <v>3532943.77</v>
      </c>
      <c r="AE47" s="15">
        <f t="shared" si="16"/>
        <v>10401311.810000001</v>
      </c>
      <c r="AF47" s="15">
        <f t="shared" si="16"/>
        <v>12459995.75</v>
      </c>
      <c r="AG47" s="15">
        <f t="shared" si="16"/>
        <v>1123184.21</v>
      </c>
      <c r="AH47" s="15">
        <f t="shared" si="16"/>
        <v>1018347.3</v>
      </c>
      <c r="AI47" s="15">
        <f t="shared" si="16"/>
        <v>8739521.0700000003</v>
      </c>
      <c r="AJ47" s="15">
        <f t="shared" si="16"/>
        <v>5649951.6400000006</v>
      </c>
      <c r="AK47" s="15">
        <f t="shared" si="16"/>
        <v>5188195.8</v>
      </c>
      <c r="AL47" s="15">
        <f t="shared" si="16"/>
        <v>608851.91999999993</v>
      </c>
      <c r="AM47" s="15">
        <f t="shared" si="16"/>
        <v>11356988.810000001</v>
      </c>
      <c r="AN47" s="15">
        <f t="shared" si="16"/>
        <v>3693540.95</v>
      </c>
      <c r="AO47" s="15">
        <f t="shared" si="16"/>
        <v>2648849.33</v>
      </c>
      <c r="AP47" s="15">
        <f t="shared" si="16"/>
        <v>7465714.1200000001</v>
      </c>
      <c r="AQ47" s="15">
        <f t="shared" si="16"/>
        <v>3262736.5</v>
      </c>
      <c r="AR47" s="15">
        <f t="shared" si="16"/>
        <v>4713266.92</v>
      </c>
      <c r="AS47" s="15">
        <f t="shared" si="16"/>
        <v>1549916.3599999999</v>
      </c>
      <c r="AT47" s="15">
        <f t="shared" si="16"/>
        <v>10706712.18</v>
      </c>
      <c r="AU47" s="15">
        <f t="shared" si="16"/>
        <v>3303634.63</v>
      </c>
      <c r="AV47" s="15">
        <f t="shared" si="16"/>
        <v>769324.25</v>
      </c>
      <c r="AW47" s="15">
        <f t="shared" si="16"/>
        <v>1311863.6100000001</v>
      </c>
      <c r="AX47" s="15">
        <f t="shared" si="16"/>
        <v>7122012.29</v>
      </c>
      <c r="AY47" s="15">
        <f t="shared" si="16"/>
        <v>1615808.17</v>
      </c>
      <c r="AZ47" s="15">
        <f t="shared" si="16"/>
        <v>6146982.3499999996</v>
      </c>
      <c r="BA47" s="15">
        <f t="shared" si="16"/>
        <v>795418.14000000013</v>
      </c>
      <c r="BB47" s="15">
        <f t="shared" si="16"/>
        <v>45861224.170000002</v>
      </c>
      <c r="BC47" s="15">
        <f t="shared" si="16"/>
        <v>2606547.59</v>
      </c>
      <c r="BD47" s="15">
        <f t="shared" si="16"/>
        <v>437276051</v>
      </c>
      <c r="BE47" s="15">
        <f t="shared" si="16"/>
        <v>237766175.55000001</v>
      </c>
      <c r="BF47" s="15">
        <f t="shared" si="16"/>
        <v>64392814.649999999</v>
      </c>
      <c r="BG47" s="15">
        <f t="shared" si="16"/>
        <v>135117060.79999998</v>
      </c>
    </row>
    <row r="48" spans="1:59" ht="20.399999999999999" x14ac:dyDescent="0.35">
      <c r="A48" s="100"/>
      <c r="B48" s="100"/>
    </row>
    <row r="49" spans="1:2" ht="20.399999999999999" x14ac:dyDescent="0.35">
      <c r="A49" s="100"/>
      <c r="B49" s="100"/>
    </row>
    <row r="50" spans="1:2" ht="20.399999999999999" x14ac:dyDescent="0.35">
      <c r="A50" s="100"/>
      <c r="B50" s="100"/>
    </row>
    <row r="51" spans="1:2" ht="20.399999999999999" x14ac:dyDescent="0.35">
      <c r="A51" s="100"/>
      <c r="B51" s="100"/>
    </row>
    <row r="52" spans="1:2" ht="20.399999999999999" x14ac:dyDescent="0.35">
      <c r="A52" s="100"/>
      <c r="B52" s="100"/>
    </row>
    <row r="53" spans="1:2" ht="20.399999999999999" x14ac:dyDescent="0.35">
      <c r="A53" s="100"/>
      <c r="B53" s="100"/>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pageSetUpPr fitToPage="1"/>
  </sheetPr>
  <dimension ref="A2:C51"/>
  <sheetViews>
    <sheetView workbookViewId="0"/>
  </sheetViews>
  <sheetFormatPr baseColWidth="10" defaultColWidth="11.44140625" defaultRowHeight="13.8" x14ac:dyDescent="0.25"/>
  <cols>
    <col min="1" max="1" width="5.6640625" style="7" customWidth="1"/>
    <col min="2" max="2" width="63.5546875" style="7" customWidth="1"/>
    <col min="3" max="3" width="23" style="7" customWidth="1"/>
    <col min="4" max="16384" width="11.44140625" style="7"/>
  </cols>
  <sheetData>
    <row r="2" spans="1:3" ht="21" x14ac:dyDescent="0.4">
      <c r="A2" s="79" t="s">
        <v>837</v>
      </c>
      <c r="B2" s="6"/>
    </row>
    <row r="4" spans="1:3" ht="14.4" thickBot="1" x14ac:dyDescent="0.3"/>
    <row r="5" spans="1:3" ht="14.4" thickBot="1" x14ac:dyDescent="0.3">
      <c r="B5" s="83" t="s">
        <v>49</v>
      </c>
    </row>
    <row r="7" spans="1:3" x14ac:dyDescent="0.25">
      <c r="C7" s="29" t="s">
        <v>201</v>
      </c>
    </row>
    <row r="8" spans="1:3" x14ac:dyDescent="0.25">
      <c r="A8" s="95">
        <v>0</v>
      </c>
      <c r="B8" s="76" t="s">
        <v>297</v>
      </c>
      <c r="C8" s="96">
        <f>C9-C10</f>
        <v>500225.83000000007</v>
      </c>
    </row>
    <row r="9" spans="1:3" x14ac:dyDescent="0.25">
      <c r="A9" s="97"/>
      <c r="B9" s="7" t="s">
        <v>307</v>
      </c>
      <c r="C9" s="12">
        <f>HLOOKUP($B$5,'4.11 Comptes 2020 fonctionnelle'!$C$4:$BC$48,3,0)</f>
        <v>537138.42000000004</v>
      </c>
    </row>
    <row r="10" spans="1:3" x14ac:dyDescent="0.25">
      <c r="A10" s="97"/>
      <c r="B10" s="7" t="s">
        <v>308</v>
      </c>
      <c r="C10" s="12">
        <f>HLOOKUP($B$5,'4.11 Comptes 2020 fonctionnelle'!$C$4:$BC$48,4,0)</f>
        <v>36912.589999999997</v>
      </c>
    </row>
    <row r="11" spans="1:3" x14ac:dyDescent="0.25">
      <c r="A11" s="29"/>
      <c r="B11" s="6"/>
      <c r="C11" s="12"/>
    </row>
    <row r="12" spans="1:3" x14ac:dyDescent="0.25">
      <c r="A12" s="95" t="s">
        <v>298</v>
      </c>
      <c r="B12" s="76" t="s">
        <v>299</v>
      </c>
      <c r="C12" s="96">
        <f>C13-C14</f>
        <v>1507.4899999999907</v>
      </c>
    </row>
    <row r="13" spans="1:3" x14ac:dyDescent="0.25">
      <c r="A13" s="97"/>
      <c r="B13" s="7" t="s">
        <v>307</v>
      </c>
      <c r="C13" s="12">
        <f>HLOOKUP($B$5,'4.11 Comptes 2020 fonctionnelle'!$C$4:$BC$48,7,0)</f>
        <v>122101.4</v>
      </c>
    </row>
    <row r="14" spans="1:3" x14ac:dyDescent="0.25">
      <c r="A14" s="97"/>
      <c r="B14" s="7" t="s">
        <v>308</v>
      </c>
      <c r="C14" s="12">
        <f>HLOOKUP($B$5,'4.11 Comptes 2020 fonctionnelle'!$C$4:$BC$48,8,0)</f>
        <v>120593.91</v>
      </c>
    </row>
    <row r="15" spans="1:3" x14ac:dyDescent="0.25">
      <c r="A15" s="29"/>
      <c r="B15" s="6"/>
      <c r="C15" s="12"/>
    </row>
    <row r="16" spans="1:3" x14ac:dyDescent="0.25">
      <c r="A16" s="98">
        <v>2</v>
      </c>
      <c r="B16" s="76" t="s">
        <v>300</v>
      </c>
      <c r="C16" s="96">
        <f>C17-C18</f>
        <v>2372113.71</v>
      </c>
    </row>
    <row r="17" spans="1:3" x14ac:dyDescent="0.25">
      <c r="A17" s="29"/>
      <c r="B17" s="7" t="s">
        <v>307</v>
      </c>
      <c r="C17" s="12">
        <f>HLOOKUP($B$5,'4.11 Comptes 2020 fonctionnelle'!$C$4:$BC$48,11,0)</f>
        <v>2503369.23</v>
      </c>
    </row>
    <row r="18" spans="1:3" x14ac:dyDescent="0.25">
      <c r="A18" s="29"/>
      <c r="B18" s="7" t="s">
        <v>308</v>
      </c>
      <c r="C18" s="12">
        <f>HLOOKUP($B$5,'4.11 Comptes 2020 fonctionnelle'!$C$4:$BC$48,12,0)</f>
        <v>131255.51999999999</v>
      </c>
    </row>
    <row r="19" spans="1:3" x14ac:dyDescent="0.25">
      <c r="A19" s="29"/>
      <c r="B19" s="6"/>
      <c r="C19" s="12"/>
    </row>
    <row r="20" spans="1:3" x14ac:dyDescent="0.25">
      <c r="A20" s="98">
        <v>3</v>
      </c>
      <c r="B20" s="76" t="s">
        <v>301</v>
      </c>
      <c r="C20" s="96">
        <f>C21-C22</f>
        <v>150381.16</v>
      </c>
    </row>
    <row r="21" spans="1:3" x14ac:dyDescent="0.25">
      <c r="A21" s="29"/>
      <c r="B21" s="7" t="s">
        <v>307</v>
      </c>
      <c r="C21" s="12">
        <f>HLOOKUP($B$5,'4.11 Comptes 2020 fonctionnelle'!$C$4:$BC$48,15,0)</f>
        <v>172609.51</v>
      </c>
    </row>
    <row r="22" spans="1:3" x14ac:dyDescent="0.25">
      <c r="A22" s="29"/>
      <c r="B22" s="7" t="s">
        <v>308</v>
      </c>
      <c r="C22" s="12">
        <f>HLOOKUP($B$5,'4.11 Comptes 2020 fonctionnelle'!$C$4:$BC$48,16,0)</f>
        <v>22228.35</v>
      </c>
    </row>
    <row r="23" spans="1:3" x14ac:dyDescent="0.25">
      <c r="A23" s="29"/>
      <c r="B23" s="6"/>
      <c r="C23" s="12"/>
    </row>
    <row r="24" spans="1:3" x14ac:dyDescent="0.25">
      <c r="A24" s="98">
        <v>4</v>
      </c>
      <c r="B24" s="76" t="s">
        <v>302</v>
      </c>
      <c r="C24" s="96">
        <f>C25-C26</f>
        <v>12578.8</v>
      </c>
    </row>
    <row r="25" spans="1:3" x14ac:dyDescent="0.25">
      <c r="A25" s="29"/>
      <c r="B25" s="7" t="s">
        <v>307</v>
      </c>
      <c r="C25" s="12">
        <f>HLOOKUP($B$5,'4.11 Comptes 2020 fonctionnelle'!$C$4:$BC$48,19,0)</f>
        <v>22578.799999999999</v>
      </c>
    </row>
    <row r="26" spans="1:3" x14ac:dyDescent="0.25">
      <c r="A26" s="29"/>
      <c r="B26" s="7" t="s">
        <v>308</v>
      </c>
      <c r="C26" s="12">
        <f>HLOOKUP($B$5,'4.11 Comptes 2020 fonctionnelle'!$C$4:$BC$48,20,0)</f>
        <v>10000</v>
      </c>
    </row>
    <row r="27" spans="1:3" x14ac:dyDescent="0.25">
      <c r="A27" s="29"/>
      <c r="B27" s="6"/>
      <c r="C27" s="12"/>
    </row>
    <row r="28" spans="1:3" x14ac:dyDescent="0.25">
      <c r="A28" s="98">
        <v>5</v>
      </c>
      <c r="B28" s="76" t="s">
        <v>303</v>
      </c>
      <c r="C28" s="96">
        <f>C29-C30</f>
        <v>1357964.3499999999</v>
      </c>
    </row>
    <row r="29" spans="1:3" x14ac:dyDescent="0.25">
      <c r="A29" s="29"/>
      <c r="B29" s="7" t="s">
        <v>307</v>
      </c>
      <c r="C29" s="12">
        <f>HLOOKUP($B$5,'4.11 Comptes 2020 fonctionnelle'!$C$4:$BC$48,23,0)</f>
        <v>1571883.45</v>
      </c>
    </row>
    <row r="30" spans="1:3" x14ac:dyDescent="0.25">
      <c r="A30" s="29"/>
      <c r="B30" s="7" t="s">
        <v>308</v>
      </c>
      <c r="C30" s="12">
        <f>HLOOKUP($B$5,'4.11 Comptes 2020 fonctionnelle'!$C$4:$BC$48,24,0)</f>
        <v>213919.1</v>
      </c>
    </row>
    <row r="31" spans="1:3" x14ac:dyDescent="0.25">
      <c r="A31" s="29"/>
      <c r="B31" s="6"/>
      <c r="C31" s="12"/>
    </row>
    <row r="32" spans="1:3" x14ac:dyDescent="0.25">
      <c r="A32" s="98">
        <v>6</v>
      </c>
      <c r="B32" s="76" t="s">
        <v>861</v>
      </c>
      <c r="C32" s="96">
        <f>C33-C34</f>
        <v>553576.44999999995</v>
      </c>
    </row>
    <row r="33" spans="1:3" x14ac:dyDescent="0.25">
      <c r="A33" s="29"/>
      <c r="B33" s="7" t="s">
        <v>307</v>
      </c>
      <c r="C33" s="12">
        <f>HLOOKUP($B$5,'4.11 Comptes 2020 fonctionnelle'!$C$4:$BC$48,27,0)</f>
        <v>727241.75</v>
      </c>
    </row>
    <row r="34" spans="1:3" x14ac:dyDescent="0.25">
      <c r="A34" s="29"/>
      <c r="B34" s="7" t="s">
        <v>308</v>
      </c>
      <c r="C34" s="12">
        <f>HLOOKUP($B$5,'4.11 Comptes 2020 fonctionnelle'!$C$4:$BC$48,28,0)</f>
        <v>173665.3</v>
      </c>
    </row>
    <row r="35" spans="1:3" x14ac:dyDescent="0.25">
      <c r="A35" s="29"/>
      <c r="B35" s="6"/>
      <c r="C35" s="12"/>
    </row>
    <row r="36" spans="1:3" x14ac:dyDescent="0.25">
      <c r="A36" s="98">
        <v>7</v>
      </c>
      <c r="B36" s="76" t="s">
        <v>304</v>
      </c>
      <c r="C36" s="96">
        <f>C37-C38</f>
        <v>-53094.280000000028</v>
      </c>
    </row>
    <row r="37" spans="1:3" x14ac:dyDescent="0.25">
      <c r="A37" s="29"/>
      <c r="B37" s="7" t="s">
        <v>307</v>
      </c>
      <c r="C37" s="12">
        <f>HLOOKUP($B$5,'4.11 Comptes 2020 fonctionnelle'!$C$4:$BC$48,31,0)</f>
        <v>781184.25</v>
      </c>
    </row>
    <row r="38" spans="1:3" x14ac:dyDescent="0.25">
      <c r="A38" s="29"/>
      <c r="B38" s="7" t="s">
        <v>308</v>
      </c>
      <c r="C38" s="12">
        <f>HLOOKUP($B$5,'4.11 Comptes 2020 fonctionnelle'!$C$4:$BC$48,32,0)</f>
        <v>834278.53</v>
      </c>
    </row>
    <row r="39" spans="1:3" x14ac:dyDescent="0.25">
      <c r="A39" s="29"/>
      <c r="B39" s="6"/>
      <c r="C39" s="12"/>
    </row>
    <row r="40" spans="1:3" x14ac:dyDescent="0.25">
      <c r="A40" s="98">
        <v>8</v>
      </c>
      <c r="B40" s="76" t="s">
        <v>305</v>
      </c>
      <c r="C40" s="96">
        <f>C41-C42</f>
        <v>5893.9700000000012</v>
      </c>
    </row>
    <row r="41" spans="1:3" x14ac:dyDescent="0.25">
      <c r="A41" s="29"/>
      <c r="B41" s="7" t="s">
        <v>307</v>
      </c>
      <c r="C41" s="12">
        <f>HLOOKUP($B$5,'4.11 Comptes 2020 fonctionnelle'!$C$4:$BC$48,35,0)</f>
        <v>158712.09</v>
      </c>
    </row>
    <row r="42" spans="1:3" x14ac:dyDescent="0.25">
      <c r="A42" s="29"/>
      <c r="B42" s="7" t="s">
        <v>308</v>
      </c>
      <c r="C42" s="12">
        <f>HLOOKUP($B$5,'4.11 Comptes 2020 fonctionnelle'!$C$4:$BC$48,36,0)</f>
        <v>152818.12</v>
      </c>
    </row>
    <row r="43" spans="1:3" x14ac:dyDescent="0.25">
      <c r="A43" s="29"/>
      <c r="B43" s="6"/>
      <c r="C43" s="12"/>
    </row>
    <row r="44" spans="1:3" x14ac:dyDescent="0.25">
      <c r="A44" s="98">
        <v>9</v>
      </c>
      <c r="B44" s="76" t="s">
        <v>306</v>
      </c>
      <c r="C44" s="96">
        <f>C45-C46</f>
        <v>-4901147.4800000004</v>
      </c>
    </row>
    <row r="45" spans="1:3" ht="15" customHeight="1" x14ac:dyDescent="0.35">
      <c r="A45" s="99"/>
      <c r="B45" s="7" t="s">
        <v>307</v>
      </c>
      <c r="C45" s="12">
        <f>HLOOKUP($B$5,'4.11 Comptes 2020 fonctionnelle'!$C$4:$BC$48,39,0)</f>
        <v>525193.39</v>
      </c>
    </row>
    <row r="46" spans="1:3" ht="15" customHeight="1" x14ac:dyDescent="0.35">
      <c r="A46" s="99"/>
      <c r="B46" s="7" t="s">
        <v>308</v>
      </c>
      <c r="C46" s="12">
        <f>HLOOKUP($B$5,'4.11 Comptes 2020 fonctionnelle'!$C$4:$BC$48,40,0)</f>
        <v>5426340.8700000001</v>
      </c>
    </row>
    <row r="47" spans="1:3" ht="20.399999999999999" x14ac:dyDescent="0.35">
      <c r="A47" s="99"/>
      <c r="B47" s="100"/>
      <c r="C47" s="12"/>
    </row>
    <row r="48" spans="1:3" x14ac:dyDescent="0.25">
      <c r="A48" s="98"/>
      <c r="B48" s="76" t="s">
        <v>727</v>
      </c>
      <c r="C48" s="101">
        <f>C49-C50</f>
        <v>0</v>
      </c>
    </row>
    <row r="49" spans="1:3" ht="20.399999999999999" x14ac:dyDescent="0.35">
      <c r="A49" s="99"/>
      <c r="B49" s="7" t="s">
        <v>307</v>
      </c>
      <c r="C49" s="12">
        <f>HLOOKUP($B$5,'4.11 Comptes 2020 fonctionnelle'!$C$4:$BC$48,43,0)</f>
        <v>7122012.2899999991</v>
      </c>
    </row>
    <row r="50" spans="1:3" ht="20.399999999999999" x14ac:dyDescent="0.35">
      <c r="A50" s="99"/>
      <c r="B50" s="7" t="s">
        <v>308</v>
      </c>
      <c r="C50" s="12">
        <f>HLOOKUP($B$5,'4.11 Comptes 2020 fonctionnelle'!$C$4:$BC$48,44,0)</f>
        <v>7122012.29</v>
      </c>
    </row>
    <row r="51" spans="1:3" ht="20.399999999999999" x14ac:dyDescent="0.35">
      <c r="A51" s="100"/>
      <c r="B51" s="100"/>
    </row>
  </sheetData>
  <pageMargins left="0.7" right="0.7" top="0.75" bottom="0.75" header="0.3" footer="0.3"/>
  <pageSetup paperSize="9" scale="94"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'4.11 Comptes 2020 fonctionnelle'!$C$4:$BC$4</xm:f>
          </x14:formula1>
          <xm:sqref>B5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pageSetUpPr fitToPage="1"/>
  </sheetPr>
  <dimension ref="A2:C49"/>
  <sheetViews>
    <sheetView workbookViewId="0"/>
  </sheetViews>
  <sheetFormatPr baseColWidth="10" defaultColWidth="11.44140625" defaultRowHeight="13.8" x14ac:dyDescent="0.25"/>
  <cols>
    <col min="1" max="1" width="8.33203125" style="7" customWidth="1"/>
    <col min="2" max="2" width="57" style="7" customWidth="1"/>
    <col min="3" max="3" width="22.88671875" style="7" customWidth="1"/>
    <col min="4" max="16384" width="11.44140625" style="7"/>
  </cols>
  <sheetData>
    <row r="2" spans="1:3" ht="21" x14ac:dyDescent="0.4">
      <c r="A2" s="79" t="s">
        <v>836</v>
      </c>
    </row>
    <row r="5" spans="1:3" x14ac:dyDescent="0.25">
      <c r="A5" s="6" t="s">
        <v>198</v>
      </c>
    </row>
    <row r="7" spans="1:3" ht="16.5" customHeight="1" x14ac:dyDescent="0.25">
      <c r="A7" s="95">
        <v>0</v>
      </c>
      <c r="B7" s="76" t="s">
        <v>297</v>
      </c>
      <c r="C7" s="96">
        <f>'4.11 Comptes 2020 fonctionnelle'!BD5</f>
        <v>29760418.549999997</v>
      </c>
    </row>
    <row r="8" spans="1:3" ht="16.5" customHeight="1" x14ac:dyDescent="0.25">
      <c r="A8" s="97"/>
      <c r="B8" s="7" t="s">
        <v>307</v>
      </c>
      <c r="C8" s="12">
        <f>'4.11 Comptes 2020 fonctionnelle'!BD6</f>
        <v>33571953.769999996</v>
      </c>
    </row>
    <row r="9" spans="1:3" ht="16.5" customHeight="1" x14ac:dyDescent="0.25">
      <c r="A9" s="97"/>
      <c r="B9" s="7" t="s">
        <v>308</v>
      </c>
      <c r="C9" s="12">
        <f>'4.11 Comptes 2020 fonctionnelle'!BD7</f>
        <v>3811535.2200000011</v>
      </c>
    </row>
    <row r="10" spans="1:3" ht="16.5" customHeight="1" x14ac:dyDescent="0.25">
      <c r="A10" s="29"/>
      <c r="B10" s="6"/>
    </row>
    <row r="11" spans="1:3" ht="16.5" customHeight="1" x14ac:dyDescent="0.25">
      <c r="A11" s="95" t="s">
        <v>298</v>
      </c>
      <c r="B11" s="76" t="s">
        <v>299</v>
      </c>
      <c r="C11" s="96">
        <f>'4.11 Comptes 2020 fonctionnelle'!BD9</f>
        <v>3316911.6000000006</v>
      </c>
    </row>
    <row r="12" spans="1:3" ht="16.5" customHeight="1" x14ac:dyDescent="0.25">
      <c r="A12" s="97"/>
      <c r="B12" s="7" t="s">
        <v>307</v>
      </c>
      <c r="C12" s="12">
        <f>'4.11 Comptes 2020 fonctionnelle'!BD10</f>
        <v>11288631.559999999</v>
      </c>
    </row>
    <row r="13" spans="1:3" ht="16.5" customHeight="1" x14ac:dyDescent="0.25">
      <c r="A13" s="97"/>
      <c r="B13" s="7" t="s">
        <v>308</v>
      </c>
      <c r="C13" s="12">
        <f>'4.11 Comptes 2020 fonctionnelle'!BD11</f>
        <v>7971719.9600000018</v>
      </c>
    </row>
    <row r="14" spans="1:3" ht="16.5" customHeight="1" x14ac:dyDescent="0.25">
      <c r="A14" s="29"/>
      <c r="B14" s="6"/>
    </row>
    <row r="15" spans="1:3" ht="16.5" customHeight="1" x14ac:dyDescent="0.25">
      <c r="A15" s="98">
        <v>2</v>
      </c>
      <c r="B15" s="76" t="s">
        <v>300</v>
      </c>
      <c r="C15" s="96">
        <f>'4.11 Comptes 2020 fonctionnelle'!BD13</f>
        <v>98126478.24000001</v>
      </c>
    </row>
    <row r="16" spans="1:3" ht="16.5" customHeight="1" x14ac:dyDescent="0.25">
      <c r="A16" s="29"/>
      <c r="B16" s="7" t="s">
        <v>307</v>
      </c>
      <c r="C16" s="12">
        <f>'4.11 Comptes 2020 fonctionnelle'!BD14</f>
        <v>104894300.06999999</v>
      </c>
    </row>
    <row r="17" spans="1:3" ht="16.5" customHeight="1" x14ac:dyDescent="0.25">
      <c r="A17" s="29"/>
      <c r="B17" s="7" t="s">
        <v>308</v>
      </c>
      <c r="C17" s="12">
        <f>'4.11 Comptes 2020 fonctionnelle'!BD15</f>
        <v>6767821.8300000001</v>
      </c>
    </row>
    <row r="18" spans="1:3" ht="16.5" customHeight="1" x14ac:dyDescent="0.25">
      <c r="A18" s="29"/>
      <c r="B18" s="6"/>
    </row>
    <row r="19" spans="1:3" ht="16.5" customHeight="1" x14ac:dyDescent="0.25">
      <c r="A19" s="98">
        <v>3</v>
      </c>
      <c r="B19" s="76" t="s">
        <v>301</v>
      </c>
      <c r="C19" s="96">
        <f>'4.11 Comptes 2020 fonctionnelle'!BD17</f>
        <v>14702753.09</v>
      </c>
    </row>
    <row r="20" spans="1:3" ht="16.5" customHeight="1" x14ac:dyDescent="0.25">
      <c r="A20" s="29"/>
      <c r="B20" s="7" t="s">
        <v>307</v>
      </c>
      <c r="C20" s="12">
        <f>'4.11 Comptes 2020 fonctionnelle'!BD18</f>
        <v>16624969.9</v>
      </c>
    </row>
    <row r="21" spans="1:3" ht="16.5" customHeight="1" x14ac:dyDescent="0.25">
      <c r="A21" s="29"/>
      <c r="B21" s="7" t="s">
        <v>308</v>
      </c>
      <c r="C21" s="12">
        <f>'4.11 Comptes 2020 fonctionnelle'!BD19</f>
        <v>1922216.8099999998</v>
      </c>
    </row>
    <row r="22" spans="1:3" ht="16.5" customHeight="1" x14ac:dyDescent="0.25">
      <c r="A22" s="29"/>
      <c r="B22" s="6"/>
      <c r="C22" s="12"/>
    </row>
    <row r="23" spans="1:3" ht="16.5" customHeight="1" x14ac:dyDescent="0.25">
      <c r="A23" s="98">
        <v>4</v>
      </c>
      <c r="B23" s="76" t="s">
        <v>302</v>
      </c>
      <c r="C23" s="96">
        <f>'4.11 Comptes 2020 fonctionnelle'!BD21</f>
        <v>586133.57999999996</v>
      </c>
    </row>
    <row r="24" spans="1:3" ht="16.5" customHeight="1" x14ac:dyDescent="0.25">
      <c r="A24" s="29"/>
      <c r="B24" s="7" t="s">
        <v>307</v>
      </c>
      <c r="C24" s="12">
        <f>'4.11 Comptes 2020 fonctionnelle'!BD22</f>
        <v>616789.23000000021</v>
      </c>
    </row>
    <row r="25" spans="1:3" ht="16.5" customHeight="1" x14ac:dyDescent="0.25">
      <c r="A25" s="29"/>
      <c r="B25" s="7" t="s">
        <v>308</v>
      </c>
      <c r="C25" s="12">
        <f>'4.11 Comptes 2020 fonctionnelle'!BD23</f>
        <v>30655.649999999998</v>
      </c>
    </row>
    <row r="26" spans="1:3" ht="16.5" customHeight="1" x14ac:dyDescent="0.25">
      <c r="A26" s="29"/>
      <c r="B26" s="6"/>
      <c r="C26" s="12"/>
    </row>
    <row r="27" spans="1:3" ht="16.5" customHeight="1" x14ac:dyDescent="0.25">
      <c r="A27" s="98">
        <v>5</v>
      </c>
      <c r="B27" s="76" t="s">
        <v>303</v>
      </c>
      <c r="C27" s="96">
        <f>'4.11 Comptes 2020 fonctionnelle'!BD25</f>
        <v>60482939.54999999</v>
      </c>
    </row>
    <row r="28" spans="1:3" ht="16.5" customHeight="1" x14ac:dyDescent="0.25">
      <c r="A28" s="29"/>
      <c r="B28" s="7" t="s">
        <v>307</v>
      </c>
      <c r="C28" s="12">
        <f>'4.11 Comptes 2020 fonctionnelle'!BD26</f>
        <v>98179837.11999999</v>
      </c>
    </row>
    <row r="29" spans="1:3" ht="16.5" customHeight="1" x14ac:dyDescent="0.25">
      <c r="A29" s="29"/>
      <c r="B29" s="7" t="s">
        <v>308</v>
      </c>
      <c r="C29" s="12">
        <f>'4.11 Comptes 2020 fonctionnelle'!BD27</f>
        <v>37696897.569999985</v>
      </c>
    </row>
    <row r="30" spans="1:3" ht="16.5" customHeight="1" x14ac:dyDescent="0.25">
      <c r="A30" s="29"/>
      <c r="B30" s="6"/>
      <c r="C30" s="12"/>
    </row>
    <row r="31" spans="1:3" ht="16.5" customHeight="1" x14ac:dyDescent="0.25">
      <c r="A31" s="98">
        <v>6</v>
      </c>
      <c r="B31" s="76" t="s">
        <v>861</v>
      </c>
      <c r="C31" s="96">
        <f>'4.11 Comptes 2020 fonctionnelle'!BD29</f>
        <v>20757082.25</v>
      </c>
    </row>
    <row r="32" spans="1:3" ht="16.5" customHeight="1" x14ac:dyDescent="0.25">
      <c r="A32" s="29"/>
      <c r="B32" s="7" t="s">
        <v>307</v>
      </c>
      <c r="C32" s="12">
        <f>'4.11 Comptes 2020 fonctionnelle'!BD30</f>
        <v>29028845.610000007</v>
      </c>
    </row>
    <row r="33" spans="1:3" ht="16.5" customHeight="1" x14ac:dyDescent="0.25">
      <c r="A33" s="29"/>
      <c r="B33" s="7" t="s">
        <v>308</v>
      </c>
      <c r="C33" s="12">
        <f>'4.11 Comptes 2020 fonctionnelle'!BD31</f>
        <v>8271763.3600000003</v>
      </c>
    </row>
    <row r="34" spans="1:3" ht="16.5" customHeight="1" x14ac:dyDescent="0.25">
      <c r="A34" s="29"/>
      <c r="B34" s="6"/>
      <c r="C34" s="12"/>
    </row>
    <row r="35" spans="1:3" ht="16.5" customHeight="1" x14ac:dyDescent="0.25">
      <c r="A35" s="98">
        <v>7</v>
      </c>
      <c r="B35" s="76" t="s">
        <v>304</v>
      </c>
      <c r="C35" s="96">
        <f>'4.11 Comptes 2020 fonctionnelle'!BD33</f>
        <v>-5157742.4200000009</v>
      </c>
    </row>
    <row r="36" spans="1:3" ht="16.5" customHeight="1" x14ac:dyDescent="0.25">
      <c r="A36" s="29"/>
      <c r="B36" s="7" t="s">
        <v>307</v>
      </c>
      <c r="C36" s="12">
        <f>'4.11 Comptes 2020 fonctionnelle'!BD34</f>
        <v>43610839.490000002</v>
      </c>
    </row>
    <row r="37" spans="1:3" ht="16.5" customHeight="1" x14ac:dyDescent="0.25">
      <c r="A37" s="29"/>
      <c r="B37" s="7" t="s">
        <v>308</v>
      </c>
      <c r="C37" s="12">
        <f>'4.11 Comptes 2020 fonctionnelle'!BD35</f>
        <v>48768581.910000004</v>
      </c>
    </row>
    <row r="38" spans="1:3" ht="16.5" customHeight="1" x14ac:dyDescent="0.25">
      <c r="A38" s="29"/>
      <c r="B38" s="6"/>
      <c r="C38" s="12"/>
    </row>
    <row r="39" spans="1:3" ht="16.5" customHeight="1" x14ac:dyDescent="0.25">
      <c r="A39" s="98">
        <v>8</v>
      </c>
      <c r="B39" s="76" t="s">
        <v>305</v>
      </c>
      <c r="C39" s="96">
        <f>'4.11 Comptes 2020 fonctionnelle'!BD37</f>
        <v>378186.00000000239</v>
      </c>
    </row>
    <row r="40" spans="1:3" ht="16.5" customHeight="1" x14ac:dyDescent="0.25">
      <c r="A40" s="29"/>
      <c r="B40" s="7" t="s">
        <v>307</v>
      </c>
      <c r="C40" s="12">
        <f>'4.11 Comptes 2020 fonctionnelle'!BD38</f>
        <v>49458360.010000028</v>
      </c>
    </row>
    <row r="41" spans="1:3" ht="16.5" customHeight="1" x14ac:dyDescent="0.25">
      <c r="A41" s="29"/>
      <c r="B41" s="7" t="s">
        <v>308</v>
      </c>
      <c r="C41" s="12">
        <f>'4.11 Comptes 2020 fonctionnelle'!BD39</f>
        <v>49080174.009999998</v>
      </c>
    </row>
    <row r="42" spans="1:3" ht="16.5" customHeight="1" x14ac:dyDescent="0.25">
      <c r="A42" s="29"/>
      <c r="B42" s="6"/>
      <c r="C42" s="12"/>
    </row>
    <row r="43" spans="1:3" ht="16.5" customHeight="1" x14ac:dyDescent="0.25">
      <c r="A43" s="98">
        <v>9</v>
      </c>
      <c r="B43" s="76" t="s">
        <v>306</v>
      </c>
      <c r="C43" s="96">
        <f>'4.11 Comptes 2020 fonctionnelle'!BD41</f>
        <v>-225428907.88999996</v>
      </c>
    </row>
    <row r="44" spans="1:3" ht="16.5" customHeight="1" x14ac:dyDescent="0.35">
      <c r="A44" s="99"/>
      <c r="B44" s="7" t="s">
        <v>307</v>
      </c>
      <c r="C44" s="12">
        <f>'4.11 Comptes 2020 fonctionnelle'!BD42</f>
        <v>47525776.789999999</v>
      </c>
    </row>
    <row r="45" spans="1:3" ht="16.5" customHeight="1" x14ac:dyDescent="0.35">
      <c r="A45" s="99"/>
      <c r="B45" s="7" t="s">
        <v>308</v>
      </c>
      <c r="C45" s="12">
        <f>'4.11 Comptes 2020 fonctionnelle'!BD43</f>
        <v>272954684.68000001</v>
      </c>
    </row>
    <row r="46" spans="1:3" ht="16.5" customHeight="1" x14ac:dyDescent="0.35">
      <c r="A46" s="99"/>
      <c r="B46" s="100"/>
      <c r="C46" s="12"/>
    </row>
    <row r="47" spans="1:3" ht="16.5" customHeight="1" x14ac:dyDescent="0.25">
      <c r="A47" s="98"/>
      <c r="B47" s="76" t="s">
        <v>309</v>
      </c>
      <c r="C47" s="96">
        <f>'4.11 Comptes 2020 fonctionnelle'!BD45</f>
        <v>-2475747.4499999285</v>
      </c>
    </row>
    <row r="48" spans="1:3" ht="16.5" customHeight="1" x14ac:dyDescent="0.35">
      <c r="A48" s="99"/>
      <c r="B48" s="7" t="s">
        <v>307</v>
      </c>
      <c r="C48" s="12">
        <f>'4.11 Comptes 2020 fonctionnelle'!BD46</f>
        <v>434800303.55000007</v>
      </c>
    </row>
    <row r="49" spans="1:3" ht="16.5" customHeight="1" x14ac:dyDescent="0.35">
      <c r="A49" s="99"/>
      <c r="B49" s="7" t="s">
        <v>308</v>
      </c>
      <c r="C49" s="12">
        <f>'4.11 Comptes 2020 fonctionnelle'!BD47</f>
        <v>437276051</v>
      </c>
    </row>
  </sheetData>
  <pageMargins left="0.7" right="0.7" top="0.75" bottom="0.75" header="0.3" footer="0.3"/>
  <pageSetup paperSize="9"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2:BI175"/>
  <sheetViews>
    <sheetView tabSelected="1" zoomScaleNormal="100" workbookViewId="0">
      <pane xSplit="4" ySplit="4" topLeftCell="E154" activePane="bottomRight" state="frozen"/>
      <selection pane="topRight" activeCell="E1" sqref="E1"/>
      <selection pane="bottomLeft" activeCell="A4" sqref="A4"/>
      <selection pane="bottomRight" activeCell="B166" sqref="B166"/>
    </sheetView>
  </sheetViews>
  <sheetFormatPr baseColWidth="10" defaultColWidth="11.44140625" defaultRowHeight="13.8" x14ac:dyDescent="0.25"/>
  <cols>
    <col min="1" max="2" width="5.6640625" style="7" customWidth="1"/>
    <col min="3" max="3" width="9" style="7" customWidth="1"/>
    <col min="4" max="4" width="66" style="7" customWidth="1"/>
    <col min="5" max="58" width="16.33203125" style="7" customWidth="1"/>
    <col min="59" max="61" width="17.88671875" style="7" customWidth="1"/>
    <col min="62" max="16384" width="11.44140625" style="7"/>
  </cols>
  <sheetData>
    <row r="2" spans="1:61" ht="24.6" x14ac:dyDescent="0.4">
      <c r="A2" s="5" t="s">
        <v>827</v>
      </c>
      <c r="B2" s="6"/>
      <c r="C2" s="6"/>
      <c r="D2" s="6"/>
    </row>
    <row r="3" spans="1:61" x14ac:dyDescent="0.25">
      <c r="A3" s="7" t="s">
        <v>781</v>
      </c>
      <c r="E3" s="8">
        <f>'Base de données pop.'!C2</f>
        <v>951</v>
      </c>
      <c r="F3" s="8">
        <f>'Base de données pop.'!C3</f>
        <v>258</v>
      </c>
      <c r="G3" s="8">
        <f>'Base de données pop.'!C4</f>
        <v>471</v>
      </c>
      <c r="H3" s="8">
        <f>'Base de données pop.'!C5</f>
        <v>441</v>
      </c>
      <c r="I3" s="8">
        <f>'Base de données pop.'!C6</f>
        <v>3686</v>
      </c>
      <c r="J3" s="8">
        <f>'Base de données pop.'!C7</f>
        <v>3313</v>
      </c>
      <c r="K3" s="8">
        <f>'Base de données pop.'!C8</f>
        <v>2654</v>
      </c>
      <c r="L3" s="8">
        <f>'Base de données pop.'!C9</f>
        <v>12636</v>
      </c>
      <c r="M3" s="8">
        <f>'Base de données pop.'!C10</f>
        <v>1360</v>
      </c>
      <c r="N3" s="8">
        <f>'Base de données pop.'!C11</f>
        <v>112</v>
      </c>
      <c r="O3" s="8">
        <f>'Base de données pop.'!C12</f>
        <v>7319</v>
      </c>
      <c r="P3" s="8">
        <f>'Base de données pop.'!C13</f>
        <v>522</v>
      </c>
      <c r="Q3" s="8">
        <f>'Base de données pop.'!C14</f>
        <v>106</v>
      </c>
      <c r="R3" s="8">
        <f>'Base de données pop.'!C15</f>
        <v>425</v>
      </c>
      <c r="S3" s="8">
        <f>'Base de données pop.'!C16</f>
        <v>350</v>
      </c>
      <c r="T3" s="8">
        <f>'Base de données pop.'!C17</f>
        <v>733</v>
      </c>
      <c r="U3" s="8">
        <f>'Base de données pop.'!C18</f>
        <v>270</v>
      </c>
      <c r="V3" s="8">
        <f>'Base de données pop.'!C19</f>
        <v>417</v>
      </c>
      <c r="W3" s="8">
        <f>'Base de données pop.'!C20</f>
        <v>3285</v>
      </c>
      <c r="X3" s="8">
        <f>'Base de données pop.'!C21</f>
        <v>308</v>
      </c>
      <c r="Y3" s="8">
        <f>'Base de données pop.'!C22</f>
        <v>1258</v>
      </c>
      <c r="Z3" s="8">
        <f>'Base de données pop.'!C23</f>
        <v>1524</v>
      </c>
      <c r="AA3" s="8">
        <f>'Base de données pop.'!C24</f>
        <v>87</v>
      </c>
      <c r="AB3" s="8">
        <f>'Base de données pop.'!C25</f>
        <v>156</v>
      </c>
      <c r="AC3" s="8">
        <f>'Base de données pop.'!C26</f>
        <v>510</v>
      </c>
      <c r="AD3" s="8">
        <f>'Base de données pop.'!C27</f>
        <v>705</v>
      </c>
      <c r="AE3" s="8">
        <f>'Base de données pop.'!C28</f>
        <v>551</v>
      </c>
      <c r="AF3" s="8">
        <f>'Base de données pop.'!C29</f>
        <v>511</v>
      </c>
      <c r="AG3" s="8">
        <f>'Base de données pop.'!C30</f>
        <v>1902</v>
      </c>
      <c r="AH3" s="8">
        <f>'Base de données pop.'!C31</f>
        <v>2575</v>
      </c>
      <c r="AI3" s="8">
        <f>'Base de données pop.'!C32</f>
        <v>228</v>
      </c>
      <c r="AJ3" s="8">
        <f>'Base de données pop.'!C33</f>
        <v>118</v>
      </c>
      <c r="AK3" s="8">
        <f>'Base de données pop.'!C34</f>
        <v>1882</v>
      </c>
      <c r="AL3" s="8">
        <f>'Base de données pop.'!C35</f>
        <v>1114</v>
      </c>
      <c r="AM3" s="8">
        <f>'Base de données pop.'!C36</f>
        <v>1217</v>
      </c>
      <c r="AN3" s="8">
        <f>'Base de données pop.'!C37</f>
        <v>117</v>
      </c>
      <c r="AO3" s="8">
        <f>'Base de données pop.'!C38</f>
        <v>1205</v>
      </c>
      <c r="AP3" s="8">
        <f>'Base de données pop.'!C39</f>
        <v>625</v>
      </c>
      <c r="AQ3" s="8">
        <f>'Base de données pop.'!C40</f>
        <v>631</v>
      </c>
      <c r="AR3" s="8">
        <f>'Base de données pop.'!C41</f>
        <v>1275</v>
      </c>
      <c r="AS3" s="8">
        <f>'Base de données pop.'!C42</f>
        <v>718</v>
      </c>
      <c r="AT3" s="8">
        <f>'Base de données pop.'!C43</f>
        <v>1018</v>
      </c>
      <c r="AU3" s="8">
        <f>'Base de données pop.'!C44</f>
        <v>293</v>
      </c>
      <c r="AV3" s="8">
        <f>'Base de données pop.'!C45</f>
        <v>2435</v>
      </c>
      <c r="AW3" s="8">
        <f>'Base de données pop.'!C46</f>
        <v>786</v>
      </c>
      <c r="AX3" s="8">
        <f>'Base de données pop.'!C47</f>
        <v>184</v>
      </c>
      <c r="AY3" s="8">
        <f>'Base de données pop.'!C48</f>
        <v>333</v>
      </c>
      <c r="AZ3" s="8">
        <f>'Base de données pop.'!C49</f>
        <v>1674</v>
      </c>
      <c r="BA3" s="8">
        <f>'Base de données pop.'!C50</f>
        <v>391</v>
      </c>
      <c r="BB3" s="8">
        <f>'Base de données pop.'!C51</f>
        <v>1052</v>
      </c>
      <c r="BC3" s="8">
        <f>'Base de données pop.'!C52</f>
        <v>186</v>
      </c>
      <c r="BD3" s="8">
        <f>'Base de données pop.'!C53</f>
        <v>6441</v>
      </c>
      <c r="BE3" s="8">
        <f>'Base de données pop.'!C54</f>
        <v>546</v>
      </c>
      <c r="BF3" s="8">
        <f>SUM(E3:BE3)</f>
        <v>73865</v>
      </c>
      <c r="BG3" s="8">
        <f>SUM(E3:W3)</f>
        <v>39309</v>
      </c>
      <c r="BH3" s="8">
        <f>SUM(X3:AJ3)</f>
        <v>10433</v>
      </c>
      <c r="BI3" s="8">
        <f>SUM(AK3:BE3)</f>
        <v>24123</v>
      </c>
    </row>
    <row r="4" spans="1:61" x14ac:dyDescent="0.25">
      <c r="E4" s="81" t="s">
        <v>56</v>
      </c>
      <c r="F4" s="81" t="s">
        <v>18</v>
      </c>
      <c r="G4" s="81" t="s">
        <v>57</v>
      </c>
      <c r="H4" s="81" t="s">
        <v>53</v>
      </c>
      <c r="I4" s="81" t="s">
        <v>33</v>
      </c>
      <c r="J4" s="81" t="s">
        <v>10</v>
      </c>
      <c r="K4" s="81" t="s">
        <v>15</v>
      </c>
      <c r="L4" s="81" t="s">
        <v>28</v>
      </c>
      <c r="M4" s="81" t="s">
        <v>42</v>
      </c>
      <c r="N4" s="81" t="s">
        <v>23</v>
      </c>
      <c r="O4" s="81" t="s">
        <v>22</v>
      </c>
      <c r="P4" s="81" t="s">
        <v>13</v>
      </c>
      <c r="Q4" s="81" t="s">
        <v>17</v>
      </c>
      <c r="R4" s="81" t="s">
        <v>43</v>
      </c>
      <c r="S4" s="81" t="s">
        <v>40</v>
      </c>
      <c r="T4" s="81" t="s">
        <v>31</v>
      </c>
      <c r="U4" s="81" t="s">
        <v>12</v>
      </c>
      <c r="V4" s="81" t="s">
        <v>59</v>
      </c>
      <c r="W4" s="81" t="s">
        <v>27</v>
      </c>
      <c r="X4" s="81" t="s">
        <v>30</v>
      </c>
      <c r="Y4" s="81" t="s">
        <v>20</v>
      </c>
      <c r="Z4" s="81" t="s">
        <v>45</v>
      </c>
      <c r="AA4" s="81" t="s">
        <v>71</v>
      </c>
      <c r="AB4" s="81" t="s">
        <v>39</v>
      </c>
      <c r="AC4" s="81" t="s">
        <v>19</v>
      </c>
      <c r="AD4" s="81" t="s">
        <v>41</v>
      </c>
      <c r="AE4" s="81" t="s">
        <v>36</v>
      </c>
      <c r="AF4" s="81" t="s">
        <v>7</v>
      </c>
      <c r="AG4" s="81" t="s">
        <v>55</v>
      </c>
      <c r="AH4" s="81" t="s">
        <v>21</v>
      </c>
      <c r="AI4" s="81" t="s">
        <v>6</v>
      </c>
      <c r="AJ4" s="81" t="s">
        <v>34</v>
      </c>
      <c r="AK4" s="81" t="s">
        <v>52</v>
      </c>
      <c r="AL4" s="81" t="s">
        <v>14</v>
      </c>
      <c r="AM4" s="81" t="s">
        <v>32</v>
      </c>
      <c r="AN4" s="81" t="s">
        <v>29</v>
      </c>
      <c r="AO4" s="81" t="s">
        <v>26</v>
      </c>
      <c r="AP4" s="81" t="s">
        <v>48</v>
      </c>
      <c r="AQ4" s="81" t="s">
        <v>44</v>
      </c>
      <c r="AR4" s="81" t="s">
        <v>37</v>
      </c>
      <c r="AS4" s="81" t="s">
        <v>51</v>
      </c>
      <c r="AT4" s="81" t="s">
        <v>8</v>
      </c>
      <c r="AU4" s="81" t="s">
        <v>24</v>
      </c>
      <c r="AV4" s="81" t="s">
        <v>9</v>
      </c>
      <c r="AW4" s="81" t="s">
        <v>62</v>
      </c>
      <c r="AX4" s="81" t="s">
        <v>46</v>
      </c>
      <c r="AY4" s="81" t="s">
        <v>35</v>
      </c>
      <c r="AZ4" s="81" t="s">
        <v>49</v>
      </c>
      <c r="BA4" s="81" t="s">
        <v>47</v>
      </c>
      <c r="BB4" s="81" t="s">
        <v>58</v>
      </c>
      <c r="BC4" s="81" t="s">
        <v>50</v>
      </c>
      <c r="BD4" s="81" t="s">
        <v>16</v>
      </c>
      <c r="BE4" s="81" t="s">
        <v>25</v>
      </c>
      <c r="BF4" s="81" t="s">
        <v>65</v>
      </c>
      <c r="BG4" s="81" t="s">
        <v>28</v>
      </c>
      <c r="BH4" s="81" t="s">
        <v>64</v>
      </c>
      <c r="BI4" s="81" t="s">
        <v>16</v>
      </c>
    </row>
    <row r="5" spans="1:61" ht="21" x14ac:dyDescent="0.4">
      <c r="A5" s="10">
        <v>3</v>
      </c>
      <c r="B5" s="10"/>
      <c r="C5" s="10"/>
      <c r="D5" s="10" t="s">
        <v>60</v>
      </c>
      <c r="E5" s="11">
        <f>E6+E16+E28+E32+E40+E44+E54+E57+E65</f>
        <v>3735431.19</v>
      </c>
      <c r="F5" s="11">
        <f t="shared" ref="F5:BI5" si="0">F6+F16+F28+F32+F40+F44+F54+F57+F65</f>
        <v>1254678.52</v>
      </c>
      <c r="G5" s="11">
        <f t="shared" si="0"/>
        <v>1612463.15</v>
      </c>
      <c r="H5" s="11">
        <f t="shared" si="0"/>
        <v>1979557.98</v>
      </c>
      <c r="I5" s="11">
        <f t="shared" si="0"/>
        <v>16511229.340000002</v>
      </c>
      <c r="J5" s="11">
        <f t="shared" si="0"/>
        <v>14125788.549999999</v>
      </c>
      <c r="K5" s="11">
        <f t="shared" si="0"/>
        <v>11523053</v>
      </c>
      <c r="L5" s="11">
        <f t="shared" si="0"/>
        <v>108915528.7</v>
      </c>
      <c r="M5" s="11">
        <f t="shared" si="0"/>
        <v>8020140.3100000015</v>
      </c>
      <c r="N5" s="11">
        <f t="shared" si="0"/>
        <v>461420.53</v>
      </c>
      <c r="O5" s="11">
        <f t="shared" si="0"/>
        <v>27737833.239999998</v>
      </c>
      <c r="P5" s="11">
        <f t="shared" si="0"/>
        <v>2004962.4400000002</v>
      </c>
      <c r="Q5" s="11">
        <f t="shared" si="0"/>
        <v>399389.94999999995</v>
      </c>
      <c r="R5" s="11">
        <f t="shared" si="0"/>
        <v>1659065.1600000001</v>
      </c>
      <c r="S5" s="11">
        <f t="shared" si="0"/>
        <v>1465155.2799999998</v>
      </c>
      <c r="T5" s="11">
        <f t="shared" si="0"/>
        <v>3155185.66</v>
      </c>
      <c r="U5" s="11">
        <f t="shared" si="0"/>
        <v>1020236.06</v>
      </c>
      <c r="V5" s="11">
        <f t="shared" si="0"/>
        <v>2343081.67</v>
      </c>
      <c r="W5" s="11">
        <f t="shared" si="0"/>
        <v>12411945.039999999</v>
      </c>
      <c r="X5" s="11">
        <f t="shared" si="0"/>
        <v>1876207.8800000004</v>
      </c>
      <c r="Y5" s="11">
        <f t="shared" si="0"/>
        <v>6131678.9600000009</v>
      </c>
      <c r="Z5" s="11">
        <f t="shared" si="0"/>
        <v>13597631.77</v>
      </c>
      <c r="AA5" s="11">
        <f t="shared" si="0"/>
        <v>699538.10000000009</v>
      </c>
      <c r="AB5" s="11">
        <f t="shared" si="0"/>
        <v>1086919.8799999999</v>
      </c>
      <c r="AC5" s="11">
        <f t="shared" si="0"/>
        <v>2774131.27</v>
      </c>
      <c r="AD5" s="11">
        <f t="shared" si="0"/>
        <v>3686610.59</v>
      </c>
      <c r="AE5" s="11">
        <f t="shared" si="0"/>
        <v>3120212.01</v>
      </c>
      <c r="AF5" s="11">
        <f t="shared" si="0"/>
        <v>3658906.5</v>
      </c>
      <c r="AG5" s="11">
        <f t="shared" si="0"/>
        <v>9212343.7799999993</v>
      </c>
      <c r="AH5" s="11">
        <f t="shared" si="0"/>
        <v>11964360.300000001</v>
      </c>
      <c r="AI5" s="11">
        <f t="shared" si="0"/>
        <v>1074552.1000000001</v>
      </c>
      <c r="AJ5" s="11">
        <f t="shared" si="0"/>
        <v>960043.58000000007</v>
      </c>
      <c r="AK5" s="11">
        <f t="shared" si="0"/>
        <v>8107657.5699999984</v>
      </c>
      <c r="AL5" s="11">
        <f t="shared" si="0"/>
        <v>5539569.6600000011</v>
      </c>
      <c r="AM5" s="11">
        <f t="shared" si="0"/>
        <v>5194441.5500000007</v>
      </c>
      <c r="AN5" s="11">
        <f t="shared" si="0"/>
        <v>613272.11</v>
      </c>
      <c r="AO5" s="11">
        <f t="shared" si="0"/>
        <v>10062613.75</v>
      </c>
      <c r="AP5" s="11">
        <f t="shared" si="0"/>
        <v>3721971.34</v>
      </c>
      <c r="AQ5" s="11">
        <f t="shared" si="0"/>
        <v>2532428.9</v>
      </c>
      <c r="AR5" s="11">
        <f t="shared" si="0"/>
        <v>7408607.8499999996</v>
      </c>
      <c r="AS5" s="11">
        <f t="shared" si="0"/>
        <v>3424505.48</v>
      </c>
      <c r="AT5" s="11">
        <f t="shared" si="0"/>
        <v>4634966.03</v>
      </c>
      <c r="AU5" s="11">
        <f t="shared" si="0"/>
        <v>1758475.29</v>
      </c>
      <c r="AV5" s="11">
        <f t="shared" si="0"/>
        <v>10531977.07</v>
      </c>
      <c r="AW5" s="11">
        <f t="shared" si="0"/>
        <v>3243483.3</v>
      </c>
      <c r="AX5" s="11">
        <f t="shared" si="0"/>
        <v>813371.48</v>
      </c>
      <c r="AY5" s="11">
        <f t="shared" si="0"/>
        <v>1398533.0499999998</v>
      </c>
      <c r="AZ5" s="11">
        <f t="shared" si="0"/>
        <v>6971115.5600000005</v>
      </c>
      <c r="BA5" s="11">
        <f t="shared" si="0"/>
        <v>1484629.53</v>
      </c>
      <c r="BB5" s="11">
        <f t="shared" si="0"/>
        <v>5860952.8900000006</v>
      </c>
      <c r="BC5" s="11">
        <f t="shared" si="0"/>
        <v>793806.77</v>
      </c>
      <c r="BD5" s="11">
        <f t="shared" si="0"/>
        <v>41596633.640000001</v>
      </c>
      <c r="BE5" s="11">
        <f t="shared" si="0"/>
        <v>2536197.89</v>
      </c>
      <c r="BF5" s="11">
        <f t="shared" si="0"/>
        <v>408408493.19999993</v>
      </c>
      <c r="BG5" s="11">
        <f t="shared" si="0"/>
        <v>220336145.76999998</v>
      </c>
      <c r="BH5" s="11">
        <f t="shared" si="0"/>
        <v>59843136.719999999</v>
      </c>
      <c r="BI5" s="11">
        <f t="shared" si="0"/>
        <v>128229210.70999999</v>
      </c>
    </row>
    <row r="6" spans="1:61" x14ac:dyDescent="0.25">
      <c r="A6" s="66"/>
      <c r="B6" s="66">
        <v>30</v>
      </c>
      <c r="C6" s="66"/>
      <c r="D6" s="66" t="s">
        <v>61</v>
      </c>
      <c r="E6" s="67">
        <f>E7+E8+E9+E10+E11+E12+E13+E14</f>
        <v>474056.55000000005</v>
      </c>
      <c r="F6" s="67">
        <f t="shared" ref="F6:BI6" si="1">F7+F8+F9+F10+F11+F12+F13+F14</f>
        <v>55628.950000000004</v>
      </c>
      <c r="G6" s="67">
        <f t="shared" si="1"/>
        <v>130298.9</v>
      </c>
      <c r="H6" s="67">
        <f t="shared" si="1"/>
        <v>307735.60000000003</v>
      </c>
      <c r="I6" s="67">
        <f t="shared" si="1"/>
        <v>2761930.75</v>
      </c>
      <c r="J6" s="67">
        <f t="shared" si="1"/>
        <v>3005501.54</v>
      </c>
      <c r="K6" s="67">
        <f t="shared" si="1"/>
        <v>1153633.3</v>
      </c>
      <c r="L6" s="67">
        <f t="shared" si="1"/>
        <v>24870275.210000001</v>
      </c>
      <c r="M6" s="67">
        <f t="shared" si="1"/>
        <v>1252476.4200000002</v>
      </c>
      <c r="N6" s="67">
        <f t="shared" si="1"/>
        <v>61533.25</v>
      </c>
      <c r="O6" s="67">
        <f t="shared" si="1"/>
        <v>3779159.4000000004</v>
      </c>
      <c r="P6" s="67">
        <f t="shared" si="1"/>
        <v>191539.65</v>
      </c>
      <c r="Q6" s="67">
        <f t="shared" si="1"/>
        <v>78863.78</v>
      </c>
      <c r="R6" s="67">
        <f t="shared" si="1"/>
        <v>242074.44999999998</v>
      </c>
      <c r="S6" s="67">
        <f t="shared" si="1"/>
        <v>176816.75</v>
      </c>
      <c r="T6" s="67">
        <f t="shared" si="1"/>
        <v>293823.64999999997</v>
      </c>
      <c r="U6" s="67">
        <f t="shared" si="1"/>
        <v>115826.04999999999</v>
      </c>
      <c r="V6" s="67">
        <f t="shared" si="1"/>
        <v>323054.69999999995</v>
      </c>
      <c r="W6" s="67">
        <f t="shared" si="1"/>
        <v>2360794.85</v>
      </c>
      <c r="X6" s="67">
        <f t="shared" si="1"/>
        <v>124965.4</v>
      </c>
      <c r="Y6" s="67">
        <f t="shared" si="1"/>
        <v>1549985.2999999998</v>
      </c>
      <c r="Z6" s="67">
        <f t="shared" si="1"/>
        <v>1861815.1400000001</v>
      </c>
      <c r="AA6" s="67">
        <f t="shared" si="1"/>
        <v>83270.200000000012</v>
      </c>
      <c r="AB6" s="67">
        <f t="shared" si="1"/>
        <v>69118.75</v>
      </c>
      <c r="AC6" s="67">
        <f t="shared" si="1"/>
        <v>397982.80000000005</v>
      </c>
      <c r="AD6" s="67">
        <f t="shared" si="1"/>
        <v>544459.32000000007</v>
      </c>
      <c r="AE6" s="67">
        <f t="shared" si="1"/>
        <v>467033.54999999993</v>
      </c>
      <c r="AF6" s="67">
        <f t="shared" si="1"/>
        <v>393652.95</v>
      </c>
      <c r="AG6" s="67">
        <f t="shared" si="1"/>
        <v>1109297.95</v>
      </c>
      <c r="AH6" s="67">
        <f t="shared" si="1"/>
        <v>1867747.2000000002</v>
      </c>
      <c r="AI6" s="67">
        <f t="shared" si="1"/>
        <v>109215.5</v>
      </c>
      <c r="AJ6" s="67">
        <f t="shared" si="1"/>
        <v>64369.799999999996</v>
      </c>
      <c r="AK6" s="67">
        <f t="shared" si="1"/>
        <v>768568.5</v>
      </c>
      <c r="AL6" s="67">
        <f t="shared" si="1"/>
        <v>666116.69999999995</v>
      </c>
      <c r="AM6" s="67">
        <f t="shared" si="1"/>
        <v>498553.90000000008</v>
      </c>
      <c r="AN6" s="67">
        <f t="shared" si="1"/>
        <v>72884.070000000007</v>
      </c>
      <c r="AO6" s="67">
        <f t="shared" si="1"/>
        <v>1428655.11</v>
      </c>
      <c r="AP6" s="67">
        <f t="shared" si="1"/>
        <v>852696.75</v>
      </c>
      <c r="AQ6" s="67">
        <f t="shared" si="1"/>
        <v>233339.02</v>
      </c>
      <c r="AR6" s="67">
        <f t="shared" si="1"/>
        <v>1252086.5900000001</v>
      </c>
      <c r="AS6" s="67">
        <f t="shared" si="1"/>
        <v>424569.9</v>
      </c>
      <c r="AT6" s="67">
        <f t="shared" si="1"/>
        <v>522131.95000000007</v>
      </c>
      <c r="AU6" s="67">
        <f t="shared" si="1"/>
        <v>114398.2</v>
      </c>
      <c r="AV6" s="67">
        <f t="shared" si="1"/>
        <v>995464.17999999993</v>
      </c>
      <c r="AW6" s="67">
        <f t="shared" si="1"/>
        <v>479998.18</v>
      </c>
      <c r="AX6" s="67">
        <f t="shared" si="1"/>
        <v>78025.459999999992</v>
      </c>
      <c r="AY6" s="67">
        <f t="shared" si="1"/>
        <v>153869.65</v>
      </c>
      <c r="AZ6" s="67">
        <f t="shared" si="1"/>
        <v>864110.75</v>
      </c>
      <c r="BA6" s="67">
        <f t="shared" si="1"/>
        <v>138835.81</v>
      </c>
      <c r="BB6" s="67">
        <f t="shared" si="1"/>
        <v>1314190.55</v>
      </c>
      <c r="BC6" s="67">
        <f t="shared" si="1"/>
        <v>79962.64</v>
      </c>
      <c r="BD6" s="67">
        <f t="shared" si="1"/>
        <v>11212954.530000001</v>
      </c>
      <c r="BE6" s="67">
        <f t="shared" si="1"/>
        <v>321115.7</v>
      </c>
      <c r="BF6" s="67">
        <f t="shared" si="1"/>
        <v>72750465.75</v>
      </c>
      <c r="BG6" s="67">
        <f>BG7+BG8+BG9+BG10+BG11+BG12+BG13+BG14</f>
        <v>41635023.75</v>
      </c>
      <c r="BH6" s="67">
        <f t="shared" si="1"/>
        <v>8642913.8599999994</v>
      </c>
      <c r="BI6" s="67">
        <f t="shared" si="1"/>
        <v>22472528.140000001</v>
      </c>
    </row>
    <row r="7" spans="1:61" x14ac:dyDescent="0.25">
      <c r="C7" s="7">
        <v>300</v>
      </c>
      <c r="D7" s="7" t="s">
        <v>80</v>
      </c>
      <c r="E7" s="12">
        <v>44845</v>
      </c>
      <c r="F7" s="12">
        <v>21132.75</v>
      </c>
      <c r="G7" s="12">
        <v>26642.7</v>
      </c>
      <c r="H7" s="12">
        <v>44106.25</v>
      </c>
      <c r="I7" s="12">
        <v>176465</v>
      </c>
      <c r="J7" s="12">
        <v>143841.29999999999</v>
      </c>
      <c r="K7" s="12">
        <v>125738</v>
      </c>
      <c r="L7" s="12">
        <v>806929.25</v>
      </c>
      <c r="M7" s="12">
        <v>70262.5</v>
      </c>
      <c r="N7" s="12">
        <v>17893.150000000001</v>
      </c>
      <c r="O7" s="12">
        <v>340805.95</v>
      </c>
      <c r="P7" s="12">
        <v>45128.1</v>
      </c>
      <c r="Q7" s="12">
        <v>15849.5</v>
      </c>
      <c r="R7" s="12">
        <v>18700</v>
      </c>
      <c r="S7" s="12">
        <v>27910</v>
      </c>
      <c r="T7" s="12">
        <v>58838.5</v>
      </c>
      <c r="U7" s="12">
        <v>12409.65</v>
      </c>
      <c r="V7" s="12">
        <v>56077.35</v>
      </c>
      <c r="W7" s="12">
        <v>102827</v>
      </c>
      <c r="X7" s="12">
        <v>49656.85</v>
      </c>
      <c r="Y7" s="12">
        <v>54372.85</v>
      </c>
      <c r="Z7" s="12">
        <v>84720</v>
      </c>
      <c r="AA7" s="12">
        <v>6985</v>
      </c>
      <c r="AB7" s="12">
        <v>11829</v>
      </c>
      <c r="AC7" s="12">
        <v>21150.95</v>
      </c>
      <c r="AD7" s="12">
        <v>25124.799999999999</v>
      </c>
      <c r="AE7" s="12">
        <v>46623.75</v>
      </c>
      <c r="AF7" s="12">
        <v>25752.75</v>
      </c>
      <c r="AG7" s="12">
        <v>93148</v>
      </c>
      <c r="AH7" s="12">
        <v>59454.6</v>
      </c>
      <c r="AI7" s="12">
        <v>19774.400000000001</v>
      </c>
      <c r="AJ7" s="12">
        <v>12915</v>
      </c>
      <c r="AK7" s="12">
        <v>85620.800000000003</v>
      </c>
      <c r="AL7" s="12">
        <v>48441.599999999999</v>
      </c>
      <c r="AM7" s="12">
        <v>51637.9</v>
      </c>
      <c r="AN7" s="12">
        <v>20267.650000000001</v>
      </c>
      <c r="AO7" s="12">
        <v>92365</v>
      </c>
      <c r="AP7" s="12">
        <v>32375.599999999999</v>
      </c>
      <c r="AQ7" s="12">
        <v>44417.5</v>
      </c>
      <c r="AR7" s="12">
        <v>83728.75</v>
      </c>
      <c r="AS7" s="12">
        <v>49195.5</v>
      </c>
      <c r="AT7" s="12">
        <v>41404.5</v>
      </c>
      <c r="AU7" s="12">
        <v>13040</v>
      </c>
      <c r="AV7" s="12">
        <v>59512.5</v>
      </c>
      <c r="AW7" s="12">
        <v>53031.5</v>
      </c>
      <c r="AX7" s="12">
        <v>11468.8</v>
      </c>
      <c r="AY7" s="12">
        <v>15690</v>
      </c>
      <c r="AZ7" s="12">
        <v>55634</v>
      </c>
      <c r="BA7" s="12">
        <v>18938.75</v>
      </c>
      <c r="BB7" s="12">
        <v>55198.400000000001</v>
      </c>
      <c r="BC7" s="12">
        <v>16066.15</v>
      </c>
      <c r="BD7" s="12">
        <v>247922.05</v>
      </c>
      <c r="BE7" s="12">
        <v>26953.4</v>
      </c>
      <c r="BF7" s="12">
        <f>SUM(E7:BE7)</f>
        <v>3790820.2499999995</v>
      </c>
      <c r="BG7" s="12">
        <f>SUM(E7:W7)</f>
        <v>2156401.9500000002</v>
      </c>
      <c r="BH7" s="12">
        <f>SUM(X7:AJ7)</f>
        <v>511507.95</v>
      </c>
      <c r="BI7" s="12">
        <f>SUM(AK7:BE7)</f>
        <v>1122910.3499999999</v>
      </c>
    </row>
    <row r="8" spans="1:61" x14ac:dyDescent="0.25">
      <c r="C8" s="7">
        <v>301</v>
      </c>
      <c r="D8" s="7" t="s">
        <v>81</v>
      </c>
      <c r="E8" s="12">
        <v>356986.4</v>
      </c>
      <c r="F8" s="12">
        <v>30302.5</v>
      </c>
      <c r="G8" s="12">
        <v>86406.3</v>
      </c>
      <c r="H8" s="12">
        <v>217464.7</v>
      </c>
      <c r="I8" s="12">
        <v>2064785.9</v>
      </c>
      <c r="J8" s="12">
        <v>2272423.5</v>
      </c>
      <c r="K8" s="12">
        <v>813652.5</v>
      </c>
      <c r="L8" s="12">
        <v>19725387.949999999</v>
      </c>
      <c r="M8" s="12">
        <v>971663.25</v>
      </c>
      <c r="N8" s="12">
        <v>34797.96</v>
      </c>
      <c r="O8" s="12">
        <v>2840284.2</v>
      </c>
      <c r="P8" s="12">
        <v>114665.05</v>
      </c>
      <c r="Q8" s="12">
        <v>46154.5</v>
      </c>
      <c r="R8" s="12">
        <v>182398.6</v>
      </c>
      <c r="S8" s="12">
        <v>116446.9</v>
      </c>
      <c r="T8" s="12">
        <v>186959.9</v>
      </c>
      <c r="U8" s="12">
        <v>84006.45</v>
      </c>
      <c r="V8" s="12">
        <v>214442.25</v>
      </c>
      <c r="W8" s="12">
        <v>1861688.7</v>
      </c>
      <c r="X8" s="12">
        <v>64217.3</v>
      </c>
      <c r="Y8" s="12">
        <v>1280372.3999999999</v>
      </c>
      <c r="Z8" s="12">
        <v>1442294.1</v>
      </c>
      <c r="AA8" s="12">
        <v>65818.100000000006</v>
      </c>
      <c r="AB8" s="12">
        <v>50586.75</v>
      </c>
      <c r="AC8" s="12">
        <v>308249.5</v>
      </c>
      <c r="AD8" s="12">
        <v>428392.52</v>
      </c>
      <c r="AE8" s="12">
        <v>322147.90999999997</v>
      </c>
      <c r="AF8" s="12">
        <v>309477.2</v>
      </c>
      <c r="AG8" s="12">
        <v>785489</v>
      </c>
      <c r="AH8" s="12">
        <v>1496815.2</v>
      </c>
      <c r="AI8" s="12">
        <v>76046</v>
      </c>
      <c r="AJ8" s="12">
        <v>43583.6</v>
      </c>
      <c r="AK8" s="12">
        <v>580804.4</v>
      </c>
      <c r="AL8" s="12">
        <v>504807.55</v>
      </c>
      <c r="AM8" s="12">
        <v>367678.45</v>
      </c>
      <c r="AN8" s="12">
        <v>40113.65</v>
      </c>
      <c r="AO8" s="12">
        <v>1095629.8500000001</v>
      </c>
      <c r="AP8" s="12">
        <v>681378.1</v>
      </c>
      <c r="AQ8" s="12">
        <v>147476.70000000001</v>
      </c>
      <c r="AR8" s="12">
        <v>982174.14</v>
      </c>
      <c r="AS8" s="12">
        <v>302037.90000000002</v>
      </c>
      <c r="AT8" s="12">
        <v>403642.15</v>
      </c>
      <c r="AU8" s="12">
        <v>76639.95</v>
      </c>
      <c r="AV8" s="12">
        <v>752461.05</v>
      </c>
      <c r="AW8" s="12">
        <v>350307.93</v>
      </c>
      <c r="AX8" s="12">
        <v>55694.21</v>
      </c>
      <c r="AY8" s="12">
        <v>117566.39999999999</v>
      </c>
      <c r="AZ8" s="12">
        <v>660255.55000000005</v>
      </c>
      <c r="BA8" s="12">
        <v>92898</v>
      </c>
      <c r="BB8" s="12">
        <v>1033197.9</v>
      </c>
      <c r="BC8" s="12">
        <v>50978.05</v>
      </c>
      <c r="BD8" s="12">
        <v>8973296.1400000006</v>
      </c>
      <c r="BE8" s="12">
        <v>244328.5</v>
      </c>
      <c r="BF8" s="12">
        <f t="shared" ref="BF8:BF14" si="2">SUM(E8:BE8)</f>
        <v>56407773.660000004</v>
      </c>
      <c r="BG8" s="12">
        <f t="shared" ref="BG8:BG14" si="3">SUM(E8:W8)</f>
        <v>32220917.509999998</v>
      </c>
      <c r="BH8" s="12">
        <f t="shared" ref="BH8:BH14" si="4">SUM(X8:AJ8)</f>
        <v>6673489.5800000001</v>
      </c>
      <c r="BI8" s="12">
        <f t="shared" ref="BI8:BI14" si="5">SUM(AK8:BE8)</f>
        <v>17513366.57</v>
      </c>
    </row>
    <row r="9" spans="1:61" x14ac:dyDescent="0.25">
      <c r="C9" s="7">
        <v>302</v>
      </c>
      <c r="D9" s="7" t="s">
        <v>82</v>
      </c>
      <c r="E9" s="12">
        <v>0</v>
      </c>
      <c r="F9" s="12">
        <v>0</v>
      </c>
      <c r="G9" s="12">
        <v>0</v>
      </c>
      <c r="H9" s="12">
        <v>0</v>
      </c>
      <c r="I9" s="12">
        <v>0</v>
      </c>
      <c r="J9" s="12">
        <v>0</v>
      </c>
      <c r="K9" s="12">
        <v>0</v>
      </c>
      <c r="L9" s="12">
        <v>0</v>
      </c>
      <c r="M9" s="12">
        <v>0</v>
      </c>
      <c r="N9" s="12">
        <v>0</v>
      </c>
      <c r="O9" s="12">
        <v>0</v>
      </c>
      <c r="P9" s="12">
        <v>0</v>
      </c>
      <c r="Q9" s="12">
        <v>0</v>
      </c>
      <c r="R9" s="12">
        <v>0</v>
      </c>
      <c r="S9" s="12">
        <v>0</v>
      </c>
      <c r="T9" s="12">
        <v>0</v>
      </c>
      <c r="U9" s="12">
        <v>0</v>
      </c>
      <c r="V9" s="12">
        <v>0</v>
      </c>
      <c r="W9" s="12">
        <v>0</v>
      </c>
      <c r="X9" s="12">
        <v>0</v>
      </c>
      <c r="Y9" s="12">
        <v>0</v>
      </c>
      <c r="Z9" s="12">
        <v>0</v>
      </c>
      <c r="AA9" s="12">
        <v>0</v>
      </c>
      <c r="AB9" s="12">
        <v>0</v>
      </c>
      <c r="AC9" s="12">
        <v>0</v>
      </c>
      <c r="AD9" s="12">
        <v>0</v>
      </c>
      <c r="AE9" s="12">
        <v>0</v>
      </c>
      <c r="AF9" s="12">
        <v>0</v>
      </c>
      <c r="AG9" s="12">
        <v>4625</v>
      </c>
      <c r="AH9" s="12">
        <v>0</v>
      </c>
      <c r="AI9" s="12">
        <v>0</v>
      </c>
      <c r="AJ9" s="12">
        <v>0</v>
      </c>
      <c r="AK9" s="12">
        <v>0</v>
      </c>
      <c r="AL9" s="12">
        <v>0</v>
      </c>
      <c r="AM9" s="12">
        <v>0</v>
      </c>
      <c r="AN9" s="12">
        <v>0</v>
      </c>
      <c r="AO9" s="12">
        <v>0</v>
      </c>
      <c r="AP9" s="12">
        <v>0</v>
      </c>
      <c r="AQ9" s="12">
        <v>0</v>
      </c>
      <c r="AR9" s="12">
        <v>0</v>
      </c>
      <c r="AS9" s="12">
        <v>0</v>
      </c>
      <c r="AT9" s="12">
        <v>0</v>
      </c>
      <c r="AU9" s="12">
        <v>0</v>
      </c>
      <c r="AV9" s="12">
        <v>0</v>
      </c>
      <c r="AW9" s="12">
        <v>0</v>
      </c>
      <c r="AX9" s="12">
        <v>0</v>
      </c>
      <c r="AY9" s="12">
        <v>0</v>
      </c>
      <c r="AZ9" s="12">
        <v>0</v>
      </c>
      <c r="BA9" s="12">
        <v>0</v>
      </c>
      <c r="BB9" s="12">
        <v>0</v>
      </c>
      <c r="BC9" s="12">
        <v>0</v>
      </c>
      <c r="BD9" s="12">
        <v>0</v>
      </c>
      <c r="BE9" s="12">
        <v>0</v>
      </c>
      <c r="BF9" s="12">
        <f t="shared" si="2"/>
        <v>4625</v>
      </c>
      <c r="BG9" s="12">
        <f t="shared" si="3"/>
        <v>0</v>
      </c>
      <c r="BH9" s="12">
        <f t="shared" si="4"/>
        <v>4625</v>
      </c>
      <c r="BI9" s="12">
        <f t="shared" si="5"/>
        <v>0</v>
      </c>
    </row>
    <row r="10" spans="1:61" x14ac:dyDescent="0.25">
      <c r="C10" s="7">
        <v>303</v>
      </c>
      <c r="D10" s="7" t="s">
        <v>83</v>
      </c>
      <c r="E10" s="12">
        <v>0</v>
      </c>
      <c r="F10" s="12">
        <v>0</v>
      </c>
      <c r="G10" s="12">
        <v>0</v>
      </c>
      <c r="H10" s="12">
        <v>0</v>
      </c>
      <c r="I10" s="12">
        <v>0</v>
      </c>
      <c r="J10" s="12">
        <v>0</v>
      </c>
      <c r="K10" s="12">
        <v>0</v>
      </c>
      <c r="L10" s="12">
        <v>0</v>
      </c>
      <c r="M10" s="12">
        <v>3679.75</v>
      </c>
      <c r="N10" s="12">
        <v>0</v>
      </c>
      <c r="O10" s="12">
        <v>0</v>
      </c>
      <c r="P10" s="12">
        <v>0</v>
      </c>
      <c r="Q10" s="12">
        <v>0</v>
      </c>
      <c r="R10" s="12">
        <v>0</v>
      </c>
      <c r="S10" s="12">
        <v>0</v>
      </c>
      <c r="T10" s="12">
        <v>0</v>
      </c>
      <c r="U10" s="12">
        <v>0</v>
      </c>
      <c r="V10" s="12">
        <v>0</v>
      </c>
      <c r="W10" s="12">
        <v>0</v>
      </c>
      <c r="X10" s="12">
        <v>0</v>
      </c>
      <c r="Y10" s="12">
        <v>0</v>
      </c>
      <c r="Z10" s="12">
        <v>0</v>
      </c>
      <c r="AA10" s="12">
        <v>0</v>
      </c>
      <c r="AB10" s="12">
        <v>0</v>
      </c>
      <c r="AC10" s="12">
        <v>0</v>
      </c>
      <c r="AD10" s="12">
        <v>0</v>
      </c>
      <c r="AE10" s="12">
        <v>0</v>
      </c>
      <c r="AF10" s="12">
        <v>0</v>
      </c>
      <c r="AG10" s="12">
        <v>0</v>
      </c>
      <c r="AH10" s="12">
        <v>0</v>
      </c>
      <c r="AI10" s="12">
        <v>0</v>
      </c>
      <c r="AJ10" s="12">
        <v>0</v>
      </c>
      <c r="AK10" s="12">
        <v>0</v>
      </c>
      <c r="AL10" s="12">
        <v>0</v>
      </c>
      <c r="AM10" s="12">
        <v>3431.25</v>
      </c>
      <c r="AN10" s="12">
        <v>0</v>
      </c>
      <c r="AO10" s="12">
        <v>0</v>
      </c>
      <c r="AP10" s="12">
        <v>0</v>
      </c>
      <c r="AQ10" s="12">
        <v>0</v>
      </c>
      <c r="AR10" s="12">
        <v>0</v>
      </c>
      <c r="AS10" s="12">
        <v>348</v>
      </c>
      <c r="AT10" s="12">
        <v>0</v>
      </c>
      <c r="AU10" s="12">
        <v>0</v>
      </c>
      <c r="AV10" s="12">
        <v>0</v>
      </c>
      <c r="AW10" s="12">
        <v>225</v>
      </c>
      <c r="AX10" s="12">
        <v>0</v>
      </c>
      <c r="AY10" s="12">
        <v>0</v>
      </c>
      <c r="AZ10" s="12">
        <v>0</v>
      </c>
      <c r="BA10" s="12">
        <v>0</v>
      </c>
      <c r="BB10" s="12">
        <v>0</v>
      </c>
      <c r="BC10" s="12">
        <v>0</v>
      </c>
      <c r="BD10" s="12">
        <v>0</v>
      </c>
      <c r="BE10" s="12">
        <v>0</v>
      </c>
      <c r="BF10" s="12">
        <f t="shared" si="2"/>
        <v>7684</v>
      </c>
      <c r="BG10" s="12">
        <f t="shared" si="3"/>
        <v>3679.75</v>
      </c>
      <c r="BH10" s="12">
        <f t="shared" si="4"/>
        <v>0</v>
      </c>
      <c r="BI10" s="12">
        <f t="shared" si="5"/>
        <v>4004.25</v>
      </c>
    </row>
    <row r="11" spans="1:61" x14ac:dyDescent="0.25">
      <c r="C11" s="7">
        <v>304</v>
      </c>
      <c r="D11" s="7" t="s">
        <v>578</v>
      </c>
      <c r="E11" s="12">
        <v>0</v>
      </c>
      <c r="F11" s="12">
        <v>0</v>
      </c>
      <c r="G11" s="12">
        <v>0</v>
      </c>
      <c r="H11" s="12">
        <v>0</v>
      </c>
      <c r="I11" s="12">
        <v>0</v>
      </c>
      <c r="J11" s="12">
        <v>17914.599999999999</v>
      </c>
      <c r="K11" s="12">
        <v>0</v>
      </c>
      <c r="L11" s="12">
        <v>0</v>
      </c>
      <c r="M11" s="12">
        <v>0</v>
      </c>
      <c r="N11" s="12">
        <v>0</v>
      </c>
      <c r="O11" s="12">
        <v>0</v>
      </c>
      <c r="P11" s="12">
        <v>0</v>
      </c>
      <c r="Q11" s="12">
        <v>0</v>
      </c>
      <c r="R11" s="12">
        <v>0</v>
      </c>
      <c r="S11" s="12">
        <v>0</v>
      </c>
      <c r="T11" s="12">
        <v>0</v>
      </c>
      <c r="U11" s="12">
        <v>0</v>
      </c>
      <c r="V11" s="12">
        <v>0</v>
      </c>
      <c r="W11" s="12">
        <v>0</v>
      </c>
      <c r="X11" s="12">
        <v>0</v>
      </c>
      <c r="Y11" s="12">
        <v>0</v>
      </c>
      <c r="Z11" s="12">
        <v>0</v>
      </c>
      <c r="AA11" s="12">
        <v>0</v>
      </c>
      <c r="AB11" s="12">
        <v>0</v>
      </c>
      <c r="AC11" s="12">
        <v>0</v>
      </c>
      <c r="AD11" s="12">
        <v>0</v>
      </c>
      <c r="AE11" s="12">
        <v>0</v>
      </c>
      <c r="AF11" s="12">
        <v>0</v>
      </c>
      <c r="AG11" s="12">
        <v>1788.35</v>
      </c>
      <c r="AH11" s="12">
        <v>4000</v>
      </c>
      <c r="AI11" s="12">
        <v>0</v>
      </c>
      <c r="AJ11" s="12">
        <v>0</v>
      </c>
      <c r="AK11" s="12">
        <v>0</v>
      </c>
      <c r="AL11" s="12">
        <v>0</v>
      </c>
      <c r="AM11" s="12">
        <v>0</v>
      </c>
      <c r="AN11" s="12">
        <v>0</v>
      </c>
      <c r="AO11" s="12">
        <v>0</v>
      </c>
      <c r="AP11" s="12">
        <v>0</v>
      </c>
      <c r="AQ11" s="12">
        <v>0</v>
      </c>
      <c r="AR11" s="12">
        <v>0</v>
      </c>
      <c r="AS11" s="12">
        <v>0</v>
      </c>
      <c r="AT11" s="12">
        <v>0</v>
      </c>
      <c r="AU11" s="12">
        <v>0</v>
      </c>
      <c r="AV11" s="12">
        <v>0</v>
      </c>
      <c r="AW11" s="12">
        <v>0</v>
      </c>
      <c r="AX11" s="12">
        <v>0</v>
      </c>
      <c r="AY11" s="12">
        <v>0</v>
      </c>
      <c r="AZ11" s="12">
        <v>0</v>
      </c>
      <c r="BA11" s="12">
        <v>0</v>
      </c>
      <c r="BB11" s="12">
        <v>0</v>
      </c>
      <c r="BC11" s="12">
        <v>0</v>
      </c>
      <c r="BD11" s="12">
        <v>0</v>
      </c>
      <c r="BE11" s="12">
        <v>0</v>
      </c>
      <c r="BF11" s="12">
        <f t="shared" si="2"/>
        <v>23702.949999999997</v>
      </c>
      <c r="BG11" s="12">
        <f t="shared" si="3"/>
        <v>17914.599999999999</v>
      </c>
      <c r="BH11" s="12">
        <f t="shared" si="4"/>
        <v>5788.35</v>
      </c>
      <c r="BI11" s="12">
        <f t="shared" si="5"/>
        <v>0</v>
      </c>
    </row>
    <row r="12" spans="1:61" x14ac:dyDescent="0.25">
      <c r="C12" s="7">
        <v>305</v>
      </c>
      <c r="D12" s="7" t="s">
        <v>84</v>
      </c>
      <c r="E12" s="12">
        <v>71318.149999999994</v>
      </c>
      <c r="F12" s="12">
        <v>3616.15</v>
      </c>
      <c r="G12" s="12">
        <v>14481.45</v>
      </c>
      <c r="H12" s="12">
        <v>43486.25</v>
      </c>
      <c r="I12" s="12">
        <v>486452.1</v>
      </c>
      <c r="J12" s="12">
        <v>535838.55000000005</v>
      </c>
      <c r="K12" s="12">
        <v>195261.25</v>
      </c>
      <c r="L12" s="12">
        <v>4055630</v>
      </c>
      <c r="M12" s="12">
        <v>181566.35</v>
      </c>
      <c r="N12" s="12">
        <v>5016.1899999999996</v>
      </c>
      <c r="O12" s="12">
        <v>574510.1</v>
      </c>
      <c r="P12" s="12">
        <v>23363.35</v>
      </c>
      <c r="Q12" s="12">
        <v>7793.1</v>
      </c>
      <c r="R12" s="12">
        <v>38815.699999999997</v>
      </c>
      <c r="S12" s="12">
        <v>24657.45</v>
      </c>
      <c r="T12" s="12">
        <v>40493.9</v>
      </c>
      <c r="U12" s="12">
        <v>12159.95</v>
      </c>
      <c r="V12" s="12">
        <v>38457.550000000003</v>
      </c>
      <c r="W12" s="12">
        <v>372993</v>
      </c>
      <c r="X12" s="12">
        <v>9332.9500000000007</v>
      </c>
      <c r="Y12" s="12">
        <v>206596.65</v>
      </c>
      <c r="Z12" s="12">
        <v>273357.25</v>
      </c>
      <c r="AA12" s="12">
        <v>9735.7999999999993</v>
      </c>
      <c r="AB12" s="12">
        <v>6703</v>
      </c>
      <c r="AC12" s="12">
        <v>60199.15</v>
      </c>
      <c r="AD12" s="12">
        <v>78957.850000000006</v>
      </c>
      <c r="AE12" s="12">
        <v>88851.54</v>
      </c>
      <c r="AF12" s="12">
        <v>54945.95</v>
      </c>
      <c r="AG12" s="12">
        <v>185750.3</v>
      </c>
      <c r="AH12" s="12">
        <v>287917.8</v>
      </c>
      <c r="AI12" s="12">
        <v>13154.8</v>
      </c>
      <c r="AJ12" s="12">
        <v>7871.2</v>
      </c>
      <c r="AK12" s="12">
        <v>99393.95</v>
      </c>
      <c r="AL12" s="12">
        <v>109705.60000000001</v>
      </c>
      <c r="AM12" s="12">
        <v>66203.100000000006</v>
      </c>
      <c r="AN12" s="12">
        <v>11222.6</v>
      </c>
      <c r="AO12" s="12">
        <v>202919.85</v>
      </c>
      <c r="AP12" s="12">
        <v>131361.79999999999</v>
      </c>
      <c r="AQ12" s="12">
        <v>32588.05</v>
      </c>
      <c r="AR12" s="12">
        <v>176659.95</v>
      </c>
      <c r="AS12" s="12">
        <v>68252</v>
      </c>
      <c r="AT12" s="12">
        <v>68440.399999999994</v>
      </c>
      <c r="AU12" s="12">
        <v>16433.5</v>
      </c>
      <c r="AV12" s="12">
        <v>175892.18</v>
      </c>
      <c r="AW12" s="12">
        <v>66755.55</v>
      </c>
      <c r="AX12" s="12">
        <v>9850.65</v>
      </c>
      <c r="AY12" s="12">
        <v>20369.849999999999</v>
      </c>
      <c r="AZ12" s="12">
        <v>143177.1</v>
      </c>
      <c r="BA12" s="12">
        <v>21070.36</v>
      </c>
      <c r="BB12" s="12">
        <v>203713.45</v>
      </c>
      <c r="BC12" s="12">
        <v>12126.94</v>
      </c>
      <c r="BD12" s="12">
        <v>1913749.66</v>
      </c>
      <c r="BE12" s="12">
        <v>49833.8</v>
      </c>
      <c r="BF12" s="12">
        <f t="shared" si="2"/>
        <v>11609005.119999999</v>
      </c>
      <c r="BG12" s="12">
        <f t="shared" si="3"/>
        <v>6725910.54</v>
      </c>
      <c r="BH12" s="12">
        <f t="shared" si="4"/>
        <v>1283374.24</v>
      </c>
      <c r="BI12" s="12">
        <f t="shared" si="5"/>
        <v>3599720.34</v>
      </c>
    </row>
    <row r="13" spans="1:61" x14ac:dyDescent="0.25">
      <c r="C13" s="7">
        <v>306</v>
      </c>
      <c r="D13" s="7" t="s">
        <v>85</v>
      </c>
      <c r="E13" s="12">
        <v>0</v>
      </c>
      <c r="F13" s="12">
        <v>0</v>
      </c>
      <c r="G13" s="12">
        <v>0</v>
      </c>
      <c r="H13" s="12">
        <v>0</v>
      </c>
      <c r="I13" s="12">
        <v>3029.75</v>
      </c>
      <c r="J13" s="12">
        <v>0</v>
      </c>
      <c r="K13" s="12">
        <v>0</v>
      </c>
      <c r="L13" s="12">
        <v>45078.3</v>
      </c>
      <c r="M13" s="12">
        <v>0</v>
      </c>
      <c r="N13" s="12">
        <v>0</v>
      </c>
      <c r="O13" s="12">
        <v>0</v>
      </c>
      <c r="P13" s="12">
        <v>0</v>
      </c>
      <c r="Q13" s="12">
        <v>0</v>
      </c>
      <c r="R13" s="12">
        <v>0</v>
      </c>
      <c r="S13" s="12">
        <v>0</v>
      </c>
      <c r="T13" s="12">
        <v>0</v>
      </c>
      <c r="U13" s="12">
        <v>0</v>
      </c>
      <c r="V13" s="12">
        <v>0</v>
      </c>
      <c r="W13" s="12">
        <v>0</v>
      </c>
      <c r="X13" s="12">
        <v>0</v>
      </c>
      <c r="Y13" s="12">
        <v>0</v>
      </c>
      <c r="Z13" s="12">
        <v>500</v>
      </c>
      <c r="AA13" s="12">
        <v>0</v>
      </c>
      <c r="AB13" s="12">
        <v>0</v>
      </c>
      <c r="AC13" s="12">
        <v>0</v>
      </c>
      <c r="AD13" s="12">
        <v>0</v>
      </c>
      <c r="AE13" s="12">
        <v>0</v>
      </c>
      <c r="AF13" s="12">
        <v>0</v>
      </c>
      <c r="AG13" s="12">
        <v>0</v>
      </c>
      <c r="AH13" s="12">
        <v>0</v>
      </c>
      <c r="AI13" s="12">
        <v>0</v>
      </c>
      <c r="AJ13" s="12">
        <v>0</v>
      </c>
      <c r="AK13" s="12">
        <v>0</v>
      </c>
      <c r="AL13" s="12">
        <v>0</v>
      </c>
      <c r="AM13" s="12">
        <v>0</v>
      </c>
      <c r="AN13" s="12">
        <v>0</v>
      </c>
      <c r="AO13" s="12">
        <v>0</v>
      </c>
      <c r="AP13" s="12">
        <v>7581.25</v>
      </c>
      <c r="AQ13" s="12">
        <v>0</v>
      </c>
      <c r="AR13" s="12">
        <v>0</v>
      </c>
      <c r="AS13" s="12">
        <v>0</v>
      </c>
      <c r="AT13" s="12">
        <v>0</v>
      </c>
      <c r="AU13" s="12">
        <v>0</v>
      </c>
      <c r="AV13" s="12">
        <v>0</v>
      </c>
      <c r="AW13" s="12">
        <v>0</v>
      </c>
      <c r="AX13" s="12">
        <v>0</v>
      </c>
      <c r="AY13" s="12">
        <v>0</v>
      </c>
      <c r="AZ13" s="12">
        <v>0</v>
      </c>
      <c r="BA13" s="12">
        <v>0</v>
      </c>
      <c r="BB13" s="12">
        <v>0</v>
      </c>
      <c r="BC13" s="12">
        <v>0</v>
      </c>
      <c r="BD13" s="12">
        <v>0</v>
      </c>
      <c r="BE13" s="12">
        <v>0</v>
      </c>
      <c r="BF13" s="12">
        <f t="shared" si="2"/>
        <v>56189.3</v>
      </c>
      <c r="BG13" s="12">
        <f t="shared" si="3"/>
        <v>48108.05</v>
      </c>
      <c r="BH13" s="12">
        <f t="shared" si="4"/>
        <v>500</v>
      </c>
      <c r="BI13" s="12">
        <f t="shared" si="5"/>
        <v>7581.25</v>
      </c>
    </row>
    <row r="14" spans="1:61" x14ac:dyDescent="0.25">
      <c r="C14" s="7">
        <v>309</v>
      </c>
      <c r="D14" s="7" t="s">
        <v>86</v>
      </c>
      <c r="E14" s="12">
        <v>907</v>
      </c>
      <c r="F14" s="12">
        <v>577.54999999999995</v>
      </c>
      <c r="G14" s="12">
        <v>2768.45</v>
      </c>
      <c r="H14" s="12">
        <v>2678.4</v>
      </c>
      <c r="I14" s="12">
        <v>31198</v>
      </c>
      <c r="J14" s="12">
        <v>35483.589999999997</v>
      </c>
      <c r="K14" s="12">
        <v>18981.55</v>
      </c>
      <c r="L14" s="12">
        <v>237249.71</v>
      </c>
      <c r="M14" s="12">
        <v>25304.57</v>
      </c>
      <c r="N14" s="12">
        <v>3825.95</v>
      </c>
      <c r="O14" s="12">
        <v>23559.15</v>
      </c>
      <c r="P14" s="12">
        <v>8383.15</v>
      </c>
      <c r="Q14" s="12">
        <v>9066.68</v>
      </c>
      <c r="R14" s="12">
        <v>2160.15</v>
      </c>
      <c r="S14" s="12">
        <v>7802.4</v>
      </c>
      <c r="T14" s="12">
        <v>7531.35</v>
      </c>
      <c r="U14" s="12">
        <v>7250</v>
      </c>
      <c r="V14" s="12">
        <v>14077.55</v>
      </c>
      <c r="W14" s="12">
        <v>23286.15</v>
      </c>
      <c r="X14" s="12">
        <v>1758.3</v>
      </c>
      <c r="Y14" s="12">
        <v>8643.4</v>
      </c>
      <c r="Z14" s="12">
        <v>60943.79</v>
      </c>
      <c r="AA14" s="12">
        <v>731.3</v>
      </c>
      <c r="AB14" s="12">
        <v>0</v>
      </c>
      <c r="AC14" s="12">
        <v>8383.2000000000007</v>
      </c>
      <c r="AD14" s="12">
        <v>11984.15</v>
      </c>
      <c r="AE14" s="12">
        <v>9410.35</v>
      </c>
      <c r="AF14" s="12">
        <v>3477.05</v>
      </c>
      <c r="AG14" s="12">
        <v>38497.300000000003</v>
      </c>
      <c r="AH14" s="12">
        <v>19559.599999999999</v>
      </c>
      <c r="AI14" s="12">
        <v>240.3</v>
      </c>
      <c r="AJ14" s="12">
        <v>0</v>
      </c>
      <c r="AK14" s="12">
        <v>2749.35</v>
      </c>
      <c r="AL14" s="12">
        <v>3161.95</v>
      </c>
      <c r="AM14" s="12">
        <v>9603.2000000000007</v>
      </c>
      <c r="AN14" s="12">
        <v>1280.17</v>
      </c>
      <c r="AO14" s="12">
        <v>37740.410000000003</v>
      </c>
      <c r="AP14" s="12">
        <v>0</v>
      </c>
      <c r="AQ14" s="12">
        <v>8856.77</v>
      </c>
      <c r="AR14" s="12">
        <v>9523.75</v>
      </c>
      <c r="AS14" s="12">
        <v>4736.5</v>
      </c>
      <c r="AT14" s="12">
        <v>8644.9</v>
      </c>
      <c r="AU14" s="12">
        <v>8284.75</v>
      </c>
      <c r="AV14" s="12">
        <v>7598.45</v>
      </c>
      <c r="AW14" s="12">
        <v>9678.2000000000007</v>
      </c>
      <c r="AX14" s="12">
        <v>1011.8</v>
      </c>
      <c r="AY14" s="12">
        <v>243.4</v>
      </c>
      <c r="AZ14" s="12">
        <v>5044.1000000000004</v>
      </c>
      <c r="BA14" s="12">
        <v>5928.7</v>
      </c>
      <c r="BB14" s="12">
        <v>22080.799999999999</v>
      </c>
      <c r="BC14" s="12">
        <v>791.5</v>
      </c>
      <c r="BD14" s="12">
        <v>77986.679999999993</v>
      </c>
      <c r="BE14" s="12">
        <v>0</v>
      </c>
      <c r="BF14" s="12">
        <f t="shared" si="2"/>
        <v>850665.4700000002</v>
      </c>
      <c r="BG14" s="12">
        <f t="shared" si="3"/>
        <v>462091.35000000009</v>
      </c>
      <c r="BH14" s="12">
        <f t="shared" si="4"/>
        <v>163628.74000000002</v>
      </c>
      <c r="BI14" s="12">
        <f t="shared" si="5"/>
        <v>224945.37999999998</v>
      </c>
    </row>
    <row r="15" spans="1:61" x14ac:dyDescent="0.25">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row>
    <row r="16" spans="1:61" x14ac:dyDescent="0.25">
      <c r="B16" s="66">
        <v>31</v>
      </c>
      <c r="C16" s="66"/>
      <c r="D16" s="66" t="s">
        <v>87</v>
      </c>
      <c r="E16" s="67">
        <f>E17+E18+E19+E20+E21+E22+E23+E24+E25+E26</f>
        <v>583887.39</v>
      </c>
      <c r="F16" s="67">
        <f t="shared" ref="F16:BI16" si="6">F17+F18+F19+F20+F21+F22+F23+F24+F25+F26</f>
        <v>229366.63000000003</v>
      </c>
      <c r="G16" s="67">
        <f t="shared" si="6"/>
        <v>283655.17</v>
      </c>
      <c r="H16" s="67">
        <f t="shared" si="6"/>
        <v>418572.44000000006</v>
      </c>
      <c r="I16" s="67">
        <f t="shared" si="6"/>
        <v>3969854.4400000004</v>
      </c>
      <c r="J16" s="67">
        <f t="shared" si="6"/>
        <v>3095150.9899999998</v>
      </c>
      <c r="K16" s="67">
        <f t="shared" si="6"/>
        <v>1907924.1899999997</v>
      </c>
      <c r="L16" s="67">
        <f t="shared" si="6"/>
        <v>28949572.649999995</v>
      </c>
      <c r="M16" s="67">
        <f t="shared" si="6"/>
        <v>2221486.8600000003</v>
      </c>
      <c r="N16" s="67">
        <f t="shared" si="6"/>
        <v>96509.63</v>
      </c>
      <c r="O16" s="67">
        <f t="shared" si="6"/>
        <v>4114124.04</v>
      </c>
      <c r="P16" s="67">
        <f t="shared" si="6"/>
        <v>449768.12000000005</v>
      </c>
      <c r="Q16" s="67">
        <f t="shared" si="6"/>
        <v>57746.6</v>
      </c>
      <c r="R16" s="67">
        <f t="shared" si="6"/>
        <v>283596.81000000006</v>
      </c>
      <c r="S16" s="67">
        <f t="shared" si="6"/>
        <v>386778.97</v>
      </c>
      <c r="T16" s="67">
        <f t="shared" si="6"/>
        <v>738373.7300000001</v>
      </c>
      <c r="U16" s="67">
        <f t="shared" si="6"/>
        <v>226651.27000000002</v>
      </c>
      <c r="V16" s="67">
        <f t="shared" si="6"/>
        <v>549811.07000000007</v>
      </c>
      <c r="W16" s="67">
        <f t="shared" si="6"/>
        <v>1780577.4500000002</v>
      </c>
      <c r="X16" s="67">
        <f t="shared" si="6"/>
        <v>530833.69000000006</v>
      </c>
      <c r="Y16" s="67">
        <f t="shared" si="6"/>
        <v>1253524.82</v>
      </c>
      <c r="Z16" s="67">
        <f t="shared" si="6"/>
        <v>2645426.5699999994</v>
      </c>
      <c r="AA16" s="67">
        <f t="shared" si="6"/>
        <v>123871.39</v>
      </c>
      <c r="AB16" s="67">
        <f t="shared" si="6"/>
        <v>253073.87000000002</v>
      </c>
      <c r="AC16" s="67">
        <f t="shared" si="6"/>
        <v>726889.3</v>
      </c>
      <c r="AD16" s="67">
        <f t="shared" si="6"/>
        <v>844612.26</v>
      </c>
      <c r="AE16" s="67">
        <f t="shared" si="6"/>
        <v>961393.15</v>
      </c>
      <c r="AF16" s="67">
        <f t="shared" si="6"/>
        <v>1008013.9400000001</v>
      </c>
      <c r="AG16" s="67">
        <f t="shared" si="6"/>
        <v>1924341.44</v>
      </c>
      <c r="AH16" s="67">
        <f t="shared" si="6"/>
        <v>2789559.5500000003</v>
      </c>
      <c r="AI16" s="67">
        <f t="shared" si="6"/>
        <v>318645.34000000003</v>
      </c>
      <c r="AJ16" s="67">
        <f t="shared" si="6"/>
        <v>190080.83</v>
      </c>
      <c r="AK16" s="67">
        <f t="shared" si="6"/>
        <v>1257492.7399999995</v>
      </c>
      <c r="AL16" s="67">
        <f t="shared" si="6"/>
        <v>1302141.4799999997</v>
      </c>
      <c r="AM16" s="67">
        <f t="shared" si="6"/>
        <v>1198158.21</v>
      </c>
      <c r="AN16" s="67">
        <f t="shared" si="6"/>
        <v>199874.65</v>
      </c>
      <c r="AO16" s="67">
        <f t="shared" si="6"/>
        <v>1922502.94</v>
      </c>
      <c r="AP16" s="67">
        <f t="shared" si="6"/>
        <v>638195.14999999991</v>
      </c>
      <c r="AQ16" s="67">
        <f t="shared" si="6"/>
        <v>480072.93999999994</v>
      </c>
      <c r="AR16" s="67">
        <f t="shared" si="6"/>
        <v>1502327.8099999998</v>
      </c>
      <c r="AS16" s="67">
        <f t="shared" si="6"/>
        <v>582798.81000000006</v>
      </c>
      <c r="AT16" s="67">
        <f t="shared" si="6"/>
        <v>810987.20999999985</v>
      </c>
      <c r="AU16" s="67">
        <f t="shared" si="6"/>
        <v>381608.51999999996</v>
      </c>
      <c r="AV16" s="67">
        <f t="shared" si="6"/>
        <v>1568985.0999999999</v>
      </c>
      <c r="AW16" s="67">
        <f t="shared" si="6"/>
        <v>585897.68000000005</v>
      </c>
      <c r="AX16" s="67">
        <f t="shared" si="6"/>
        <v>172977.77000000002</v>
      </c>
      <c r="AY16" s="67">
        <f t="shared" si="6"/>
        <v>325987.85999999993</v>
      </c>
      <c r="AZ16" s="67">
        <f t="shared" si="6"/>
        <v>1223041.23</v>
      </c>
      <c r="BA16" s="67">
        <f t="shared" si="6"/>
        <v>298548.13999999996</v>
      </c>
      <c r="BB16" s="67">
        <f t="shared" si="6"/>
        <v>1044761.6000000001</v>
      </c>
      <c r="BC16" s="67">
        <f t="shared" si="6"/>
        <v>133647.04000000001</v>
      </c>
      <c r="BD16" s="67">
        <f t="shared" si="6"/>
        <v>6892798.3699999992</v>
      </c>
      <c r="BE16" s="67">
        <f t="shared" si="6"/>
        <v>561355.13000000012</v>
      </c>
      <c r="BF16" s="67">
        <f t="shared" si="6"/>
        <v>86997834.980000004</v>
      </c>
      <c r="BG16" s="67">
        <f t="shared" si="6"/>
        <v>50343408.449999996</v>
      </c>
      <c r="BH16" s="67">
        <f t="shared" si="6"/>
        <v>13570266.15</v>
      </c>
      <c r="BI16" s="67">
        <f t="shared" si="6"/>
        <v>23084160.379999995</v>
      </c>
    </row>
    <row r="17" spans="2:61" x14ac:dyDescent="0.25">
      <c r="C17" s="7">
        <v>310</v>
      </c>
      <c r="D17" s="7" t="s">
        <v>88</v>
      </c>
      <c r="E17" s="12">
        <v>71520.05</v>
      </c>
      <c r="F17" s="12">
        <v>12786.45</v>
      </c>
      <c r="G17" s="12">
        <v>27793.55</v>
      </c>
      <c r="H17" s="12">
        <v>34804.61</v>
      </c>
      <c r="I17" s="12">
        <v>350063.01</v>
      </c>
      <c r="J17" s="12">
        <v>266725.53999999998</v>
      </c>
      <c r="K17" s="12">
        <v>198925.25</v>
      </c>
      <c r="L17" s="12">
        <v>2209272.09</v>
      </c>
      <c r="M17" s="12">
        <v>205043.20000000001</v>
      </c>
      <c r="N17" s="12">
        <v>5446.35</v>
      </c>
      <c r="O17" s="12">
        <v>689938.1</v>
      </c>
      <c r="P17" s="12">
        <v>75534.63</v>
      </c>
      <c r="Q17" s="12">
        <v>7422.84</v>
      </c>
      <c r="R17" s="12">
        <v>34345.699999999997</v>
      </c>
      <c r="S17" s="12">
        <v>23838.7</v>
      </c>
      <c r="T17" s="12">
        <v>63452.71</v>
      </c>
      <c r="U17" s="12">
        <v>23737.96</v>
      </c>
      <c r="V17" s="12">
        <v>56264.4</v>
      </c>
      <c r="W17" s="12">
        <v>256949.56</v>
      </c>
      <c r="X17" s="12">
        <v>87895.43</v>
      </c>
      <c r="Y17" s="12">
        <v>128006.9</v>
      </c>
      <c r="Z17" s="12">
        <v>331011.38</v>
      </c>
      <c r="AA17" s="12">
        <v>2228.8000000000002</v>
      </c>
      <c r="AB17" s="12">
        <v>41956.15</v>
      </c>
      <c r="AC17" s="12">
        <v>86336.7</v>
      </c>
      <c r="AD17" s="12">
        <v>68619.899999999994</v>
      </c>
      <c r="AE17" s="12">
        <v>89055.25</v>
      </c>
      <c r="AF17" s="12">
        <v>94869.8</v>
      </c>
      <c r="AG17" s="12">
        <v>253021.41</v>
      </c>
      <c r="AH17" s="12">
        <v>414264.6</v>
      </c>
      <c r="AI17" s="12">
        <v>13059</v>
      </c>
      <c r="AJ17" s="12">
        <v>46940.68</v>
      </c>
      <c r="AK17" s="12">
        <v>247868</v>
      </c>
      <c r="AL17" s="12">
        <v>101058.06</v>
      </c>
      <c r="AM17" s="12">
        <v>74544.39</v>
      </c>
      <c r="AN17" s="12">
        <v>9479.4</v>
      </c>
      <c r="AO17" s="12">
        <v>213297.85</v>
      </c>
      <c r="AP17" s="12">
        <v>72147.31</v>
      </c>
      <c r="AQ17" s="12">
        <v>17352.75</v>
      </c>
      <c r="AR17" s="12">
        <v>113594.93</v>
      </c>
      <c r="AS17" s="12">
        <v>65577.539999999994</v>
      </c>
      <c r="AT17" s="12">
        <v>100270.55</v>
      </c>
      <c r="AU17" s="12">
        <v>29621.439999999999</v>
      </c>
      <c r="AV17" s="12">
        <v>240819.20000000001</v>
      </c>
      <c r="AW17" s="12">
        <v>35483.79</v>
      </c>
      <c r="AX17" s="12">
        <v>12800</v>
      </c>
      <c r="AY17" s="12">
        <v>37102.080000000002</v>
      </c>
      <c r="AZ17" s="12">
        <v>80110.960000000006</v>
      </c>
      <c r="BA17" s="12">
        <v>14107.15</v>
      </c>
      <c r="BB17" s="12">
        <v>106800.41</v>
      </c>
      <c r="BC17" s="12">
        <v>25053.200000000001</v>
      </c>
      <c r="BD17" s="12">
        <v>738549.21</v>
      </c>
      <c r="BE17" s="12">
        <v>51729.35</v>
      </c>
      <c r="BF17" s="12">
        <f>SUM(E17:BE17)</f>
        <v>8658498.2699999996</v>
      </c>
      <c r="BG17" s="12">
        <f t="shared" ref="BG17:BG26" si="7">SUM(E17:W17)</f>
        <v>4613864.7</v>
      </c>
      <c r="BH17" s="12">
        <f t="shared" ref="BH17:BH26" si="8">SUM(X17:AJ17)</f>
        <v>1657265.9999999998</v>
      </c>
      <c r="BI17" s="12">
        <f t="shared" ref="BI17:BI26" si="9">SUM(AK17:BE17)</f>
        <v>2387367.5699999998</v>
      </c>
    </row>
    <row r="18" spans="2:61" x14ac:dyDescent="0.25">
      <c r="C18" s="7">
        <v>311</v>
      </c>
      <c r="D18" s="7" t="s">
        <v>449</v>
      </c>
      <c r="E18" s="12">
        <v>23290.6</v>
      </c>
      <c r="F18" s="12">
        <v>13356.35</v>
      </c>
      <c r="G18" s="12">
        <v>6434.85</v>
      </c>
      <c r="H18" s="12">
        <v>9879.5499999999993</v>
      </c>
      <c r="I18" s="12">
        <v>112567.06</v>
      </c>
      <c r="J18" s="12">
        <v>136297.13</v>
      </c>
      <c r="K18" s="12">
        <v>33984.9</v>
      </c>
      <c r="L18" s="12">
        <v>646700.14</v>
      </c>
      <c r="M18" s="12">
        <v>81939.149999999994</v>
      </c>
      <c r="N18" s="12">
        <v>9633.65</v>
      </c>
      <c r="O18" s="12">
        <v>145570.15</v>
      </c>
      <c r="P18" s="12">
        <v>66232.899999999994</v>
      </c>
      <c r="Q18" s="12">
        <v>2888.75</v>
      </c>
      <c r="R18" s="12">
        <v>12655.35</v>
      </c>
      <c r="S18" s="12">
        <v>10267.799999999999</v>
      </c>
      <c r="T18" s="12">
        <v>20405.150000000001</v>
      </c>
      <c r="U18" s="12">
        <v>129.80000000000001</v>
      </c>
      <c r="V18" s="12">
        <v>16583.25</v>
      </c>
      <c r="W18" s="12">
        <v>58433.71</v>
      </c>
      <c r="X18" s="12">
        <v>4594.59</v>
      </c>
      <c r="Y18" s="12">
        <v>36922.699999999997</v>
      </c>
      <c r="Z18" s="12">
        <v>98887.21</v>
      </c>
      <c r="AA18" s="12">
        <v>0</v>
      </c>
      <c r="AB18" s="12">
        <v>0</v>
      </c>
      <c r="AC18" s="12">
        <v>6971.15</v>
      </c>
      <c r="AD18" s="12">
        <v>52309.89</v>
      </c>
      <c r="AE18" s="12">
        <v>16226.12</v>
      </c>
      <c r="AF18" s="12">
        <v>24665.200000000001</v>
      </c>
      <c r="AG18" s="12">
        <v>106675.9</v>
      </c>
      <c r="AH18" s="12">
        <v>57105.67</v>
      </c>
      <c r="AI18" s="12">
        <v>3371</v>
      </c>
      <c r="AJ18" s="12">
        <v>1500</v>
      </c>
      <c r="AK18" s="12">
        <v>101201.68</v>
      </c>
      <c r="AL18" s="12">
        <v>8069.58</v>
      </c>
      <c r="AM18" s="12">
        <v>35077.35</v>
      </c>
      <c r="AN18" s="12">
        <v>29142.55</v>
      </c>
      <c r="AO18" s="12">
        <v>48653.440000000002</v>
      </c>
      <c r="AP18" s="12">
        <v>23687.43</v>
      </c>
      <c r="AQ18" s="12">
        <v>8561.7999999999993</v>
      </c>
      <c r="AR18" s="12">
        <v>47980.7</v>
      </c>
      <c r="AS18" s="12">
        <v>24628.99</v>
      </c>
      <c r="AT18" s="12">
        <v>47491.35</v>
      </c>
      <c r="AU18" s="12">
        <v>28261.95</v>
      </c>
      <c r="AV18" s="12">
        <v>141486</v>
      </c>
      <c r="AW18" s="12">
        <v>30423.65</v>
      </c>
      <c r="AX18" s="12">
        <v>754.85</v>
      </c>
      <c r="AY18" s="12">
        <v>3013.85</v>
      </c>
      <c r="AZ18" s="12">
        <v>50554.6</v>
      </c>
      <c r="BA18" s="12">
        <v>6762.1</v>
      </c>
      <c r="BB18" s="12">
        <v>49276.78</v>
      </c>
      <c r="BC18" s="12">
        <v>0</v>
      </c>
      <c r="BD18" s="12">
        <v>251427.17</v>
      </c>
      <c r="BE18" s="12">
        <v>22578.35</v>
      </c>
      <c r="BF18" s="12">
        <f t="shared" ref="BF18:BF26" si="10">SUM(E18:BE18)</f>
        <v>2775513.8400000003</v>
      </c>
      <c r="BG18" s="12">
        <f t="shared" si="7"/>
        <v>1407250.2399999998</v>
      </c>
      <c r="BH18" s="12">
        <f t="shared" si="8"/>
        <v>409229.43</v>
      </c>
      <c r="BI18" s="12">
        <f t="shared" si="9"/>
        <v>959034.16999999993</v>
      </c>
    </row>
    <row r="19" spans="2:61" x14ac:dyDescent="0.25">
      <c r="C19" s="7">
        <v>312</v>
      </c>
      <c r="D19" s="7" t="s">
        <v>90</v>
      </c>
      <c r="E19" s="12">
        <v>109076.9</v>
      </c>
      <c r="F19" s="12">
        <v>49190.93</v>
      </c>
      <c r="G19" s="12">
        <v>18108.099999999999</v>
      </c>
      <c r="H19" s="12">
        <v>163356.79999999999</v>
      </c>
      <c r="I19" s="12">
        <v>1747285.85</v>
      </c>
      <c r="J19" s="12">
        <v>1507531.5</v>
      </c>
      <c r="K19" s="12">
        <v>553193.69999999995</v>
      </c>
      <c r="L19" s="12">
        <v>19257305.829999998</v>
      </c>
      <c r="M19" s="12">
        <v>1168823</v>
      </c>
      <c r="N19" s="12">
        <v>15754.47</v>
      </c>
      <c r="O19" s="12">
        <v>428294.8</v>
      </c>
      <c r="P19" s="12">
        <v>48284.7</v>
      </c>
      <c r="Q19" s="12">
        <v>10436.200000000001</v>
      </c>
      <c r="R19" s="12">
        <v>37552.35</v>
      </c>
      <c r="S19" s="12">
        <v>65939.3</v>
      </c>
      <c r="T19" s="12">
        <v>349559.05</v>
      </c>
      <c r="U19" s="12">
        <v>70241.66</v>
      </c>
      <c r="V19" s="12">
        <v>57676.800000000003</v>
      </c>
      <c r="W19" s="12">
        <v>208619.05</v>
      </c>
      <c r="X19" s="12">
        <v>135891.95000000001</v>
      </c>
      <c r="Y19" s="12">
        <v>282399.15000000002</v>
      </c>
      <c r="Z19" s="12">
        <v>412005.55</v>
      </c>
      <c r="AA19" s="12">
        <v>36788.5</v>
      </c>
      <c r="AB19" s="12">
        <v>40030.199999999997</v>
      </c>
      <c r="AC19" s="12">
        <v>145635.6</v>
      </c>
      <c r="AD19" s="12">
        <v>193801.94</v>
      </c>
      <c r="AE19" s="12">
        <v>188775.1</v>
      </c>
      <c r="AF19" s="12">
        <v>136588.4</v>
      </c>
      <c r="AG19" s="12">
        <v>328893.95</v>
      </c>
      <c r="AH19" s="12">
        <v>612699.85</v>
      </c>
      <c r="AI19" s="12">
        <v>120781.4</v>
      </c>
      <c r="AJ19" s="12">
        <v>25517.45</v>
      </c>
      <c r="AK19" s="12">
        <v>129552.5</v>
      </c>
      <c r="AL19" s="12">
        <v>87659.199999999997</v>
      </c>
      <c r="AM19" s="12">
        <v>242078.35</v>
      </c>
      <c r="AN19" s="12">
        <v>35690.949999999997</v>
      </c>
      <c r="AO19" s="12">
        <v>367685.05</v>
      </c>
      <c r="AP19" s="12">
        <v>238170.6</v>
      </c>
      <c r="AQ19" s="12">
        <v>102450.45</v>
      </c>
      <c r="AR19" s="12">
        <v>158196.95000000001</v>
      </c>
      <c r="AS19" s="12">
        <v>129877.65</v>
      </c>
      <c r="AT19" s="12">
        <v>174936.4</v>
      </c>
      <c r="AU19" s="12">
        <v>61847.65</v>
      </c>
      <c r="AV19" s="12">
        <v>308335.84999999998</v>
      </c>
      <c r="AW19" s="12">
        <v>44925</v>
      </c>
      <c r="AX19" s="12">
        <v>41951.55</v>
      </c>
      <c r="AY19" s="12">
        <v>81390.649999999994</v>
      </c>
      <c r="AZ19" s="12">
        <v>271144.32000000001</v>
      </c>
      <c r="BA19" s="12">
        <v>65822.45</v>
      </c>
      <c r="BB19" s="12">
        <v>252392.8</v>
      </c>
      <c r="BC19" s="12">
        <v>30316.799999999999</v>
      </c>
      <c r="BD19" s="12">
        <v>560029.22</v>
      </c>
      <c r="BE19" s="12">
        <v>43772.95</v>
      </c>
      <c r="BF19" s="12">
        <f t="shared" si="10"/>
        <v>31954267.369999997</v>
      </c>
      <c r="BG19" s="12">
        <f t="shared" si="7"/>
        <v>25866230.990000002</v>
      </c>
      <c r="BH19" s="12">
        <f t="shared" si="8"/>
        <v>2659809.04</v>
      </c>
      <c r="BI19" s="12">
        <f t="shared" si="9"/>
        <v>3428227.3399999989</v>
      </c>
    </row>
    <row r="20" spans="2:61" x14ac:dyDescent="0.25">
      <c r="C20" s="7">
        <v>313</v>
      </c>
      <c r="D20" s="7" t="s">
        <v>91</v>
      </c>
      <c r="E20" s="12">
        <v>201212.12</v>
      </c>
      <c r="F20" s="12">
        <v>93087.69</v>
      </c>
      <c r="G20" s="12">
        <v>138066.53</v>
      </c>
      <c r="H20" s="12">
        <v>53794.03</v>
      </c>
      <c r="I20" s="12">
        <v>785408.62</v>
      </c>
      <c r="J20" s="12">
        <v>612595.12</v>
      </c>
      <c r="K20" s="12">
        <v>430831.43</v>
      </c>
      <c r="L20" s="12">
        <v>3331566.72</v>
      </c>
      <c r="M20" s="12">
        <v>276192.21000000002</v>
      </c>
      <c r="N20" s="12">
        <v>29146.93</v>
      </c>
      <c r="O20" s="12">
        <v>1291790.9099999999</v>
      </c>
      <c r="P20" s="12">
        <v>111670.78</v>
      </c>
      <c r="Q20" s="12">
        <v>26038.37</v>
      </c>
      <c r="R20" s="12">
        <v>70626.38</v>
      </c>
      <c r="S20" s="12">
        <v>144454.51</v>
      </c>
      <c r="T20" s="12">
        <v>155221.93</v>
      </c>
      <c r="U20" s="12">
        <v>54938.55</v>
      </c>
      <c r="V20" s="12">
        <v>246475.5</v>
      </c>
      <c r="W20" s="12">
        <v>671324.38</v>
      </c>
      <c r="X20" s="12">
        <v>214149.29</v>
      </c>
      <c r="Y20" s="12">
        <v>340542.58</v>
      </c>
      <c r="Z20" s="12">
        <v>1065764.51</v>
      </c>
      <c r="AA20" s="12">
        <v>35622.699999999997</v>
      </c>
      <c r="AB20" s="12">
        <v>125771.85</v>
      </c>
      <c r="AC20" s="12">
        <v>285336.14</v>
      </c>
      <c r="AD20" s="12">
        <v>274256.81</v>
      </c>
      <c r="AE20" s="12">
        <v>429624.56</v>
      </c>
      <c r="AF20" s="12">
        <v>478182.96</v>
      </c>
      <c r="AG20" s="12">
        <v>596620.39</v>
      </c>
      <c r="AH20" s="12">
        <v>739548.07</v>
      </c>
      <c r="AI20" s="12">
        <v>111695.91</v>
      </c>
      <c r="AJ20" s="12">
        <v>75049.87</v>
      </c>
      <c r="AK20" s="12">
        <v>357832.28</v>
      </c>
      <c r="AL20" s="12">
        <v>577928.23</v>
      </c>
      <c r="AM20" s="12">
        <v>416157.87</v>
      </c>
      <c r="AN20" s="12">
        <v>61232.03</v>
      </c>
      <c r="AO20" s="12">
        <v>477353.59</v>
      </c>
      <c r="AP20" s="12">
        <v>100913.60000000001</v>
      </c>
      <c r="AQ20" s="12">
        <v>131806.32999999999</v>
      </c>
      <c r="AR20" s="12">
        <v>531749.1</v>
      </c>
      <c r="AS20" s="12">
        <v>179967.73</v>
      </c>
      <c r="AT20" s="12">
        <v>253712.89</v>
      </c>
      <c r="AU20" s="12">
        <v>114218.06</v>
      </c>
      <c r="AV20" s="12">
        <v>377408.19</v>
      </c>
      <c r="AW20" s="12">
        <v>229333.42</v>
      </c>
      <c r="AX20" s="12">
        <v>38612.980000000003</v>
      </c>
      <c r="AY20" s="12">
        <v>65076.18</v>
      </c>
      <c r="AZ20" s="12">
        <v>390308.02</v>
      </c>
      <c r="BA20" s="12">
        <v>131856.51999999999</v>
      </c>
      <c r="BB20" s="12">
        <v>303034.52</v>
      </c>
      <c r="BC20" s="12">
        <v>39171.86</v>
      </c>
      <c r="BD20" s="12">
        <v>2292471.73</v>
      </c>
      <c r="BE20" s="12">
        <v>144041.32</v>
      </c>
      <c r="BF20" s="12">
        <f t="shared" si="10"/>
        <v>20710794.800000001</v>
      </c>
      <c r="BG20" s="12">
        <f t="shared" si="7"/>
        <v>8724442.709999999</v>
      </c>
      <c r="BH20" s="12">
        <f t="shared" si="8"/>
        <v>4772165.6400000006</v>
      </c>
      <c r="BI20" s="12">
        <f t="shared" si="9"/>
        <v>7214186.4499999993</v>
      </c>
    </row>
    <row r="21" spans="2:61" x14ac:dyDescent="0.25">
      <c r="C21" s="7">
        <v>314</v>
      </c>
      <c r="D21" s="7" t="s">
        <v>841</v>
      </c>
      <c r="E21" s="12">
        <v>117627.35</v>
      </c>
      <c r="F21" s="12">
        <v>37046.78</v>
      </c>
      <c r="G21" s="12">
        <v>44655.6</v>
      </c>
      <c r="H21" s="12">
        <v>36701.699999999997</v>
      </c>
      <c r="I21" s="12">
        <v>413569.85</v>
      </c>
      <c r="J21" s="12">
        <v>266569.56</v>
      </c>
      <c r="K21" s="12">
        <v>430852.85</v>
      </c>
      <c r="L21" s="12">
        <v>1058424.0900000001</v>
      </c>
      <c r="M21" s="12">
        <v>267836</v>
      </c>
      <c r="N21" s="12">
        <v>24921.35</v>
      </c>
      <c r="O21" s="12">
        <v>842978</v>
      </c>
      <c r="P21" s="12">
        <v>111517.45</v>
      </c>
      <c r="Q21" s="12">
        <v>5186.5</v>
      </c>
      <c r="R21" s="12">
        <v>34954.550000000003</v>
      </c>
      <c r="S21" s="12">
        <v>71818.899999999994</v>
      </c>
      <c r="T21" s="12">
        <v>113594.55</v>
      </c>
      <c r="U21" s="12">
        <v>52055.67</v>
      </c>
      <c r="V21" s="12">
        <v>80832.7</v>
      </c>
      <c r="W21" s="12">
        <v>185529.06</v>
      </c>
      <c r="X21" s="12">
        <v>53241.65</v>
      </c>
      <c r="Y21" s="12">
        <v>195555.35</v>
      </c>
      <c r="Z21" s="12">
        <v>433417.11</v>
      </c>
      <c r="AA21" s="12">
        <v>38698.1</v>
      </c>
      <c r="AB21" s="12">
        <v>25870.7</v>
      </c>
      <c r="AC21" s="12">
        <v>141392.71</v>
      </c>
      <c r="AD21" s="12">
        <v>105832.6</v>
      </c>
      <c r="AE21" s="12">
        <v>146072.75</v>
      </c>
      <c r="AF21" s="12">
        <v>236694.24</v>
      </c>
      <c r="AG21" s="12">
        <v>438510.41</v>
      </c>
      <c r="AH21" s="12">
        <v>583434.97</v>
      </c>
      <c r="AI21" s="12">
        <v>36314</v>
      </c>
      <c r="AJ21" s="12">
        <v>25199.25</v>
      </c>
      <c r="AK21" s="12">
        <v>265751.63</v>
      </c>
      <c r="AL21" s="12">
        <v>303854.55</v>
      </c>
      <c r="AM21" s="12">
        <v>259925.55</v>
      </c>
      <c r="AN21" s="12">
        <v>5146.3500000000004</v>
      </c>
      <c r="AO21" s="12">
        <v>578298.76</v>
      </c>
      <c r="AP21" s="12">
        <v>76537.45</v>
      </c>
      <c r="AQ21" s="12">
        <v>135297.75</v>
      </c>
      <c r="AR21" s="12">
        <v>394866.45</v>
      </c>
      <c r="AS21" s="12">
        <v>78711.8</v>
      </c>
      <c r="AT21" s="12">
        <v>108147.7</v>
      </c>
      <c r="AU21" s="12">
        <v>48276.3</v>
      </c>
      <c r="AV21" s="12">
        <v>229323.9</v>
      </c>
      <c r="AW21" s="12">
        <v>116681.94</v>
      </c>
      <c r="AX21" s="12">
        <v>70168.350000000006</v>
      </c>
      <c r="AY21" s="12">
        <v>69223.289999999994</v>
      </c>
      <c r="AZ21" s="12">
        <v>213848.2</v>
      </c>
      <c r="BA21" s="12">
        <v>47011.88</v>
      </c>
      <c r="BB21" s="12">
        <v>171168.99</v>
      </c>
      <c r="BC21" s="12">
        <v>21436.799999999999</v>
      </c>
      <c r="BD21" s="12">
        <v>942530.77</v>
      </c>
      <c r="BE21" s="12">
        <v>184753.65</v>
      </c>
      <c r="BF21" s="12">
        <f t="shared" si="10"/>
        <v>10977868.409999998</v>
      </c>
      <c r="BG21" s="12">
        <f t="shared" si="7"/>
        <v>4196672.51</v>
      </c>
      <c r="BH21" s="12">
        <f t="shared" si="8"/>
        <v>2460233.84</v>
      </c>
      <c r="BI21" s="12">
        <f t="shared" si="9"/>
        <v>4320962.0599999996</v>
      </c>
    </row>
    <row r="22" spans="2:61" x14ac:dyDescent="0.25">
      <c r="C22" s="7">
        <v>315</v>
      </c>
      <c r="D22" s="7" t="s">
        <v>92</v>
      </c>
      <c r="E22" s="12">
        <v>50105.4</v>
      </c>
      <c r="F22" s="12">
        <v>13407.45</v>
      </c>
      <c r="G22" s="12">
        <v>3413.65</v>
      </c>
      <c r="H22" s="12">
        <v>27725.599999999999</v>
      </c>
      <c r="I22" s="12">
        <v>175135.7</v>
      </c>
      <c r="J22" s="12">
        <v>30265.7</v>
      </c>
      <c r="K22" s="12">
        <v>73128.149999999994</v>
      </c>
      <c r="L22" s="12">
        <v>902994.89</v>
      </c>
      <c r="M22" s="12">
        <v>80403.850000000006</v>
      </c>
      <c r="N22" s="12">
        <v>1773.9</v>
      </c>
      <c r="O22" s="12">
        <v>304774.5</v>
      </c>
      <c r="P22" s="12">
        <v>20622.400000000001</v>
      </c>
      <c r="Q22" s="12">
        <v>1743</v>
      </c>
      <c r="R22" s="12">
        <v>51673.5</v>
      </c>
      <c r="S22" s="12">
        <v>25792.3</v>
      </c>
      <c r="T22" s="12">
        <v>6207.3</v>
      </c>
      <c r="U22" s="12">
        <v>8673.2999999999993</v>
      </c>
      <c r="V22" s="12">
        <v>44914.15</v>
      </c>
      <c r="W22" s="12">
        <v>143637.34</v>
      </c>
      <c r="X22" s="12">
        <v>1319.95</v>
      </c>
      <c r="Y22" s="12">
        <v>143480.15</v>
      </c>
      <c r="Z22" s="12">
        <v>94422.35</v>
      </c>
      <c r="AA22" s="12">
        <v>5008.8999999999996</v>
      </c>
      <c r="AB22" s="12">
        <v>6543.3</v>
      </c>
      <c r="AC22" s="12">
        <v>43185.599999999999</v>
      </c>
      <c r="AD22" s="12">
        <v>78108.75</v>
      </c>
      <c r="AE22" s="12">
        <v>66823.649999999994</v>
      </c>
      <c r="AF22" s="12">
        <v>17466.79</v>
      </c>
      <c r="AG22" s="12">
        <v>94300.24</v>
      </c>
      <c r="AH22" s="12">
        <v>43100</v>
      </c>
      <c r="AI22" s="12">
        <v>19142.8</v>
      </c>
      <c r="AJ22" s="12">
        <v>10271.1</v>
      </c>
      <c r="AK22" s="12">
        <v>22688.9</v>
      </c>
      <c r="AL22" s="12">
        <v>105641.31</v>
      </c>
      <c r="AM22" s="12">
        <v>53478.04</v>
      </c>
      <c r="AN22" s="12">
        <v>0</v>
      </c>
      <c r="AO22" s="12">
        <v>87830.25</v>
      </c>
      <c r="AP22" s="12">
        <v>31116.799999999999</v>
      </c>
      <c r="AQ22" s="12">
        <v>39589.300000000003</v>
      </c>
      <c r="AR22" s="12">
        <v>90855.4</v>
      </c>
      <c r="AS22" s="12">
        <v>40347.599999999999</v>
      </c>
      <c r="AT22" s="12">
        <v>17483.509999999998</v>
      </c>
      <c r="AU22" s="12">
        <v>6706.05</v>
      </c>
      <c r="AV22" s="12">
        <v>44884.95</v>
      </c>
      <c r="AW22" s="12">
        <v>59665.53</v>
      </c>
      <c r="AX22" s="12">
        <v>3904.05</v>
      </c>
      <c r="AY22" s="12">
        <v>21624.85</v>
      </c>
      <c r="AZ22" s="12">
        <v>61188</v>
      </c>
      <c r="BA22" s="12">
        <v>7670.4</v>
      </c>
      <c r="BB22" s="12">
        <v>73705.899999999994</v>
      </c>
      <c r="BC22" s="12">
        <v>367.5</v>
      </c>
      <c r="BD22" s="12">
        <v>458697.33</v>
      </c>
      <c r="BE22" s="12">
        <v>50558.9</v>
      </c>
      <c r="BF22" s="12">
        <f t="shared" si="10"/>
        <v>3867570.2299999991</v>
      </c>
      <c r="BG22" s="12">
        <f t="shared" si="7"/>
        <v>1966392.08</v>
      </c>
      <c r="BH22" s="12">
        <f t="shared" si="8"/>
        <v>623173.58000000007</v>
      </c>
      <c r="BI22" s="12">
        <f t="shared" si="9"/>
        <v>1278004.57</v>
      </c>
    </row>
    <row r="23" spans="2:61" x14ac:dyDescent="0.25">
      <c r="C23" s="7">
        <v>316</v>
      </c>
      <c r="D23" s="7" t="s">
        <v>93</v>
      </c>
      <c r="E23" s="12">
        <v>3877.2</v>
      </c>
      <c r="F23" s="12">
        <v>2753.2</v>
      </c>
      <c r="G23" s="12">
        <v>710.8</v>
      </c>
      <c r="H23" s="12">
        <v>64165.65</v>
      </c>
      <c r="I23" s="12">
        <v>77181.149999999994</v>
      </c>
      <c r="J23" s="12">
        <v>36753.15</v>
      </c>
      <c r="K23" s="12">
        <v>36519.199999999997</v>
      </c>
      <c r="L23" s="12">
        <v>785752.55</v>
      </c>
      <c r="M23" s="12">
        <v>26898.25</v>
      </c>
      <c r="N23" s="12">
        <v>1200</v>
      </c>
      <c r="O23" s="12">
        <v>109130.8</v>
      </c>
      <c r="P23" s="12">
        <v>0</v>
      </c>
      <c r="Q23" s="12">
        <v>850</v>
      </c>
      <c r="R23" s="12">
        <v>0</v>
      </c>
      <c r="S23" s="12">
        <v>0</v>
      </c>
      <c r="T23" s="12">
        <v>538.5</v>
      </c>
      <c r="U23" s="12">
        <v>0</v>
      </c>
      <c r="V23" s="12">
        <v>4800</v>
      </c>
      <c r="W23" s="12">
        <v>118451.85</v>
      </c>
      <c r="X23" s="12">
        <v>21465.5</v>
      </c>
      <c r="Y23" s="12">
        <v>32600</v>
      </c>
      <c r="Z23" s="12">
        <v>82688</v>
      </c>
      <c r="AA23" s="12">
        <v>0</v>
      </c>
      <c r="AB23" s="12">
        <v>1325.35</v>
      </c>
      <c r="AC23" s="12">
        <v>1140</v>
      </c>
      <c r="AD23" s="12">
        <v>50472.800000000003</v>
      </c>
      <c r="AE23" s="12">
        <v>4035.95</v>
      </c>
      <c r="AF23" s="12">
        <v>0</v>
      </c>
      <c r="AG23" s="12">
        <v>6629.06</v>
      </c>
      <c r="AH23" s="12">
        <v>202920.9</v>
      </c>
      <c r="AI23" s="12">
        <v>2100</v>
      </c>
      <c r="AJ23" s="12">
        <v>0</v>
      </c>
      <c r="AK23" s="12">
        <v>0</v>
      </c>
      <c r="AL23" s="12">
        <v>7767.65</v>
      </c>
      <c r="AM23" s="12">
        <v>20411.55</v>
      </c>
      <c r="AN23" s="12">
        <v>600</v>
      </c>
      <c r="AO23" s="12">
        <v>41454.5</v>
      </c>
      <c r="AP23" s="12">
        <v>37823.4</v>
      </c>
      <c r="AQ23" s="12">
        <v>0</v>
      </c>
      <c r="AR23" s="12">
        <v>45895.1</v>
      </c>
      <c r="AS23" s="12">
        <v>24137.7</v>
      </c>
      <c r="AT23" s="12">
        <v>0</v>
      </c>
      <c r="AU23" s="12">
        <v>0</v>
      </c>
      <c r="AV23" s="12">
        <v>16096</v>
      </c>
      <c r="AW23" s="12">
        <v>19816.3</v>
      </c>
      <c r="AX23" s="12">
        <v>0</v>
      </c>
      <c r="AY23" s="12">
        <v>3461.6</v>
      </c>
      <c r="AZ23" s="12">
        <v>32964.400000000001</v>
      </c>
      <c r="BA23" s="12">
        <v>0</v>
      </c>
      <c r="BB23" s="12">
        <v>7851.8</v>
      </c>
      <c r="BC23" s="12">
        <v>0</v>
      </c>
      <c r="BD23" s="12">
        <v>769410.55</v>
      </c>
      <c r="BE23" s="12">
        <v>600</v>
      </c>
      <c r="BF23" s="12">
        <f t="shared" si="10"/>
        <v>2703250.41</v>
      </c>
      <c r="BG23" s="12">
        <f t="shared" si="7"/>
        <v>1269582.3</v>
      </c>
      <c r="BH23" s="12">
        <f t="shared" si="8"/>
        <v>405377.56000000006</v>
      </c>
      <c r="BI23" s="12">
        <f t="shared" si="9"/>
        <v>1028290.55</v>
      </c>
    </row>
    <row r="24" spans="2:61" x14ac:dyDescent="0.25">
      <c r="C24" s="7">
        <v>317</v>
      </c>
      <c r="D24" s="7" t="s">
        <v>94</v>
      </c>
      <c r="E24" s="12">
        <v>22594.15</v>
      </c>
      <c r="F24" s="12">
        <v>2493.5</v>
      </c>
      <c r="G24" s="12">
        <v>1017.5</v>
      </c>
      <c r="H24" s="12">
        <v>5687.65</v>
      </c>
      <c r="I24" s="12">
        <v>79816.350000000006</v>
      </c>
      <c r="J24" s="12">
        <v>45698.55</v>
      </c>
      <c r="K24" s="12">
        <v>24782.3</v>
      </c>
      <c r="L24" s="12">
        <v>84128.15</v>
      </c>
      <c r="M24" s="12">
        <v>23870.1</v>
      </c>
      <c r="N24" s="12">
        <v>0</v>
      </c>
      <c r="O24" s="12">
        <v>77961.850000000006</v>
      </c>
      <c r="P24" s="12">
        <v>4229.3999999999996</v>
      </c>
      <c r="Q24" s="12">
        <v>839.1</v>
      </c>
      <c r="R24" s="12">
        <v>3822.2</v>
      </c>
      <c r="S24" s="12">
        <v>7729.45</v>
      </c>
      <c r="T24" s="12">
        <v>61241.55</v>
      </c>
      <c r="U24" s="12">
        <v>1053.6500000000001</v>
      </c>
      <c r="V24" s="12">
        <v>3530.45</v>
      </c>
      <c r="W24" s="12">
        <v>36176.15</v>
      </c>
      <c r="X24" s="12">
        <v>7133.3</v>
      </c>
      <c r="Y24" s="12">
        <v>8866</v>
      </c>
      <c r="Z24" s="12">
        <v>47721.8</v>
      </c>
      <c r="AA24" s="12">
        <v>2316.48</v>
      </c>
      <c r="AB24" s="12">
        <v>712.95</v>
      </c>
      <c r="AC24" s="12">
        <v>5629.9</v>
      </c>
      <c r="AD24" s="12">
        <v>4844.7</v>
      </c>
      <c r="AE24" s="12">
        <v>3763.3</v>
      </c>
      <c r="AF24" s="12">
        <v>0</v>
      </c>
      <c r="AG24" s="12">
        <v>33826.5</v>
      </c>
      <c r="AH24" s="12">
        <v>27168.3</v>
      </c>
      <c r="AI24" s="12">
        <v>2675</v>
      </c>
      <c r="AJ24" s="12">
        <v>1028.75</v>
      </c>
      <c r="AK24" s="12">
        <v>53473.2</v>
      </c>
      <c r="AL24" s="12">
        <v>15786.95</v>
      </c>
      <c r="AM24" s="12">
        <v>19694.650000000001</v>
      </c>
      <c r="AN24" s="12">
        <v>391.8</v>
      </c>
      <c r="AO24" s="12">
        <v>34240.65</v>
      </c>
      <c r="AP24" s="12">
        <v>3574.8</v>
      </c>
      <c r="AQ24" s="12">
        <v>445.25</v>
      </c>
      <c r="AR24" s="12">
        <v>26123.45</v>
      </c>
      <c r="AS24" s="12">
        <v>16161.65</v>
      </c>
      <c r="AT24" s="12">
        <v>11525.85</v>
      </c>
      <c r="AU24" s="12">
        <v>1910.8</v>
      </c>
      <c r="AV24" s="12">
        <v>47736.42</v>
      </c>
      <c r="AW24" s="12">
        <v>8007.8</v>
      </c>
      <c r="AX24" s="12">
        <v>796.6</v>
      </c>
      <c r="AY24" s="12">
        <v>3034.75</v>
      </c>
      <c r="AZ24" s="12">
        <v>24639.05</v>
      </c>
      <c r="BA24" s="12">
        <v>2750.8</v>
      </c>
      <c r="BB24" s="12">
        <v>20593.900000000001</v>
      </c>
      <c r="BC24" s="12">
        <v>110</v>
      </c>
      <c r="BD24" s="12">
        <v>52151.66</v>
      </c>
      <c r="BE24" s="12">
        <v>6780.45</v>
      </c>
      <c r="BF24" s="12">
        <f t="shared" si="10"/>
        <v>982289.51000000024</v>
      </c>
      <c r="BG24" s="12">
        <f t="shared" si="7"/>
        <v>486672.05000000005</v>
      </c>
      <c r="BH24" s="12">
        <f t="shared" si="8"/>
        <v>145686.97999999998</v>
      </c>
      <c r="BI24" s="12">
        <f t="shared" si="9"/>
        <v>349930.48000000004</v>
      </c>
    </row>
    <row r="25" spans="2:61" x14ac:dyDescent="0.25">
      <c r="C25" s="7">
        <v>318</v>
      </c>
      <c r="D25" s="7" t="s">
        <v>95</v>
      </c>
      <c r="E25" s="12">
        <v>-25400.880000000001</v>
      </c>
      <c r="F25" s="12">
        <v>4844.28</v>
      </c>
      <c r="G25" s="12">
        <v>32596.240000000002</v>
      </c>
      <c r="H25" s="12">
        <v>15620.9</v>
      </c>
      <c r="I25" s="12">
        <v>187709.23</v>
      </c>
      <c r="J25" s="12">
        <v>162075.28</v>
      </c>
      <c r="K25" s="12">
        <v>96777.45</v>
      </c>
      <c r="L25" s="12">
        <v>544662.49</v>
      </c>
      <c r="M25" s="12">
        <v>30955.200000000001</v>
      </c>
      <c r="N25" s="12">
        <v>-220.12</v>
      </c>
      <c r="O25" s="12">
        <v>209703.83</v>
      </c>
      <c r="P25" s="12">
        <v>10569.26</v>
      </c>
      <c r="Q25" s="12">
        <v>8.09</v>
      </c>
      <c r="R25" s="12">
        <v>37966.78</v>
      </c>
      <c r="S25" s="12">
        <v>26084.86</v>
      </c>
      <c r="T25" s="12">
        <v>-38299.11</v>
      </c>
      <c r="U25" s="12">
        <v>14019.23</v>
      </c>
      <c r="V25" s="12">
        <v>35738.120000000003</v>
      </c>
      <c r="W25" s="12">
        <v>91489</v>
      </c>
      <c r="X25" s="12">
        <v>2557.1799999999998</v>
      </c>
      <c r="Y25" s="12">
        <v>71055.94</v>
      </c>
      <c r="Z25" s="12">
        <v>62897.86</v>
      </c>
      <c r="AA25" s="12">
        <v>2451.91</v>
      </c>
      <c r="AB25" s="12">
        <v>7678.22</v>
      </c>
      <c r="AC25" s="12">
        <v>9823.9</v>
      </c>
      <c r="AD25" s="12">
        <v>2066.17</v>
      </c>
      <c r="AE25" s="12">
        <v>15780.62</v>
      </c>
      <c r="AF25" s="12">
        <v>19422.150000000001</v>
      </c>
      <c r="AG25" s="12">
        <v>42045.279999999999</v>
      </c>
      <c r="AH25" s="12">
        <v>80811.990000000005</v>
      </c>
      <c r="AI25" s="12">
        <v>8234.2800000000007</v>
      </c>
      <c r="AJ25" s="12">
        <v>1271.83</v>
      </c>
      <c r="AK25" s="12">
        <v>72490.399999999994</v>
      </c>
      <c r="AL25" s="12">
        <v>64794.8</v>
      </c>
      <c r="AM25" s="12">
        <v>70388.31</v>
      </c>
      <c r="AN25" s="12">
        <v>58191.57</v>
      </c>
      <c r="AO25" s="12">
        <v>42844.32</v>
      </c>
      <c r="AP25" s="12">
        <v>52185.81</v>
      </c>
      <c r="AQ25" s="12">
        <v>43139.21</v>
      </c>
      <c r="AR25" s="12">
        <v>71246.179999999993</v>
      </c>
      <c r="AS25" s="12">
        <v>16890.650000000001</v>
      </c>
      <c r="AT25" s="12">
        <v>82216.460000000006</v>
      </c>
      <c r="AU25" s="12">
        <v>86491.22</v>
      </c>
      <c r="AV25" s="12">
        <v>141894.59</v>
      </c>
      <c r="AW25" s="12">
        <v>29178.3</v>
      </c>
      <c r="AX25" s="12">
        <v>1341.64</v>
      </c>
      <c r="AY25" s="12">
        <v>42060.61</v>
      </c>
      <c r="AZ25" s="12">
        <v>94265.52</v>
      </c>
      <c r="BA25" s="12">
        <v>20093.740000000002</v>
      </c>
      <c r="BB25" s="12">
        <v>52442.7</v>
      </c>
      <c r="BC25" s="12">
        <v>13596.68</v>
      </c>
      <c r="BD25" s="12">
        <v>636680.63</v>
      </c>
      <c r="BE25" s="12">
        <v>51783.61</v>
      </c>
      <c r="BF25" s="12">
        <f t="shared" si="10"/>
        <v>3507214.41</v>
      </c>
      <c r="BG25" s="12">
        <f t="shared" si="7"/>
        <v>1436900.1300000001</v>
      </c>
      <c r="BH25" s="12">
        <f t="shared" si="8"/>
        <v>326097.33</v>
      </c>
      <c r="BI25" s="12">
        <f t="shared" si="9"/>
        <v>1744216.95</v>
      </c>
    </row>
    <row r="26" spans="2:61" x14ac:dyDescent="0.25">
      <c r="C26" s="7">
        <v>319</v>
      </c>
      <c r="D26" s="7" t="s">
        <v>96</v>
      </c>
      <c r="E26" s="12">
        <v>9984.5</v>
      </c>
      <c r="F26" s="12">
        <v>400</v>
      </c>
      <c r="G26" s="12">
        <v>10858.35</v>
      </c>
      <c r="H26" s="12">
        <v>6835.95</v>
      </c>
      <c r="I26" s="12">
        <v>41117.620000000003</v>
      </c>
      <c r="J26" s="12">
        <v>30639.46</v>
      </c>
      <c r="K26" s="12">
        <v>28928.959999999999</v>
      </c>
      <c r="L26" s="12">
        <v>128765.7</v>
      </c>
      <c r="M26" s="12">
        <v>59525.9</v>
      </c>
      <c r="N26" s="12">
        <v>8853.1</v>
      </c>
      <c r="O26" s="12">
        <v>13981.1</v>
      </c>
      <c r="P26" s="12">
        <v>1106.5999999999999</v>
      </c>
      <c r="Q26" s="12">
        <v>2333.75</v>
      </c>
      <c r="R26" s="12">
        <v>0</v>
      </c>
      <c r="S26" s="12">
        <v>10853.15</v>
      </c>
      <c r="T26" s="12">
        <v>6452.1</v>
      </c>
      <c r="U26" s="12">
        <v>1801.45</v>
      </c>
      <c r="V26" s="12">
        <v>2995.7</v>
      </c>
      <c r="W26" s="12">
        <v>9967.35</v>
      </c>
      <c r="X26" s="12">
        <v>2584.85</v>
      </c>
      <c r="Y26" s="12">
        <v>14096.05</v>
      </c>
      <c r="Z26" s="12">
        <v>16610.8</v>
      </c>
      <c r="AA26" s="12">
        <v>756</v>
      </c>
      <c r="AB26" s="12">
        <v>3185.15</v>
      </c>
      <c r="AC26" s="12">
        <v>1437.6</v>
      </c>
      <c r="AD26" s="12">
        <v>14298.7</v>
      </c>
      <c r="AE26" s="12">
        <v>1235.8499999999999</v>
      </c>
      <c r="AF26" s="12">
        <v>124.4</v>
      </c>
      <c r="AG26" s="12">
        <v>23818.3</v>
      </c>
      <c r="AH26" s="12">
        <v>28505.200000000001</v>
      </c>
      <c r="AI26" s="12">
        <v>1271.95</v>
      </c>
      <c r="AJ26" s="12">
        <v>3301.9</v>
      </c>
      <c r="AK26" s="12">
        <v>6634.15</v>
      </c>
      <c r="AL26" s="12">
        <v>29581.15</v>
      </c>
      <c r="AM26" s="12">
        <v>6402.15</v>
      </c>
      <c r="AN26" s="12">
        <v>0</v>
      </c>
      <c r="AO26" s="12">
        <v>30844.53</v>
      </c>
      <c r="AP26" s="12">
        <v>2037.95</v>
      </c>
      <c r="AQ26" s="12">
        <v>1430.1</v>
      </c>
      <c r="AR26" s="12">
        <v>21819.55</v>
      </c>
      <c r="AS26" s="12">
        <v>6497.5</v>
      </c>
      <c r="AT26" s="12">
        <v>15202.5</v>
      </c>
      <c r="AU26" s="12">
        <v>4275.05</v>
      </c>
      <c r="AV26" s="12">
        <v>21000</v>
      </c>
      <c r="AW26" s="12">
        <v>12381.95</v>
      </c>
      <c r="AX26" s="12">
        <v>2647.75</v>
      </c>
      <c r="AY26" s="12">
        <v>0</v>
      </c>
      <c r="AZ26" s="12">
        <v>4018.16</v>
      </c>
      <c r="BA26" s="12">
        <v>2473.1</v>
      </c>
      <c r="BB26" s="12">
        <v>7493.8</v>
      </c>
      <c r="BC26" s="12">
        <v>3594.2</v>
      </c>
      <c r="BD26" s="12">
        <v>190850.1</v>
      </c>
      <c r="BE26" s="12">
        <v>4756.55</v>
      </c>
      <c r="BF26" s="12">
        <f t="shared" si="10"/>
        <v>860567.73</v>
      </c>
      <c r="BG26" s="12">
        <f t="shared" si="7"/>
        <v>375400.73999999993</v>
      </c>
      <c r="BH26" s="12">
        <f t="shared" si="8"/>
        <v>111226.74999999999</v>
      </c>
      <c r="BI26" s="12">
        <f t="shared" si="9"/>
        <v>373940.24000000005</v>
      </c>
    </row>
    <row r="27" spans="2:61" x14ac:dyDescent="0.25">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row>
    <row r="28" spans="2:61" x14ac:dyDescent="0.25">
      <c r="B28" s="66">
        <v>33</v>
      </c>
      <c r="C28" s="66"/>
      <c r="D28" s="66" t="s">
        <v>97</v>
      </c>
      <c r="E28" s="67">
        <f>E29+E30</f>
        <v>273439.17</v>
      </c>
      <c r="F28" s="67">
        <f t="shared" ref="F28:BI28" si="11">F29+F30</f>
        <v>83034</v>
      </c>
      <c r="G28" s="67">
        <f t="shared" si="11"/>
        <v>78515.149999999994</v>
      </c>
      <c r="H28" s="67">
        <f t="shared" si="11"/>
        <v>93170.3</v>
      </c>
      <c r="I28" s="67">
        <f t="shared" si="11"/>
        <v>858686.09</v>
      </c>
      <c r="J28" s="67">
        <f t="shared" si="11"/>
        <v>1089085.6299999999</v>
      </c>
      <c r="K28" s="67">
        <f t="shared" si="11"/>
        <v>632517.34</v>
      </c>
      <c r="L28" s="67">
        <f t="shared" si="11"/>
        <v>5967644.75</v>
      </c>
      <c r="M28" s="67">
        <f t="shared" si="11"/>
        <v>613168.35</v>
      </c>
      <c r="N28" s="67">
        <f t="shared" si="11"/>
        <v>50799.23</v>
      </c>
      <c r="O28" s="67">
        <f t="shared" si="11"/>
        <v>1383618.3</v>
      </c>
      <c r="P28" s="67">
        <f t="shared" si="11"/>
        <v>122720.55</v>
      </c>
      <c r="Q28" s="67">
        <f t="shared" si="11"/>
        <v>12625</v>
      </c>
      <c r="R28" s="67">
        <f t="shared" si="11"/>
        <v>87650</v>
      </c>
      <c r="S28" s="67">
        <f t="shared" si="11"/>
        <v>105668.5</v>
      </c>
      <c r="T28" s="67">
        <f t="shared" si="11"/>
        <v>168872.25</v>
      </c>
      <c r="U28" s="67">
        <f t="shared" si="11"/>
        <v>40149.85</v>
      </c>
      <c r="V28" s="67">
        <f t="shared" si="11"/>
        <v>139791.85</v>
      </c>
      <c r="W28" s="67">
        <f t="shared" si="11"/>
        <v>1101646.21</v>
      </c>
      <c r="X28" s="67">
        <f t="shared" si="11"/>
        <v>59856.25</v>
      </c>
      <c r="Y28" s="67">
        <f t="shared" si="11"/>
        <v>296371.95</v>
      </c>
      <c r="Z28" s="67">
        <f t="shared" si="11"/>
        <v>498784</v>
      </c>
      <c r="AA28" s="67">
        <f t="shared" si="11"/>
        <v>98769.65</v>
      </c>
      <c r="AB28" s="67">
        <f t="shared" si="11"/>
        <v>163116.93</v>
      </c>
      <c r="AC28" s="67">
        <f t="shared" si="11"/>
        <v>93759.9</v>
      </c>
      <c r="AD28" s="67">
        <f t="shared" si="11"/>
        <v>282477.59999999998</v>
      </c>
      <c r="AE28" s="67">
        <f t="shared" si="11"/>
        <v>124708.45</v>
      </c>
      <c r="AF28" s="67">
        <f t="shared" si="11"/>
        <v>102124.94</v>
      </c>
      <c r="AG28" s="67">
        <f t="shared" si="11"/>
        <v>610812.23</v>
      </c>
      <c r="AH28" s="67">
        <f t="shared" si="11"/>
        <v>775580.9</v>
      </c>
      <c r="AI28" s="67">
        <f t="shared" si="11"/>
        <v>62896.45</v>
      </c>
      <c r="AJ28" s="67">
        <f t="shared" si="11"/>
        <v>158021.35999999999</v>
      </c>
      <c r="AK28" s="67">
        <f t="shared" si="11"/>
        <v>423638.75</v>
      </c>
      <c r="AL28" s="67">
        <f t="shared" si="11"/>
        <v>393262.8</v>
      </c>
      <c r="AM28" s="67">
        <f t="shared" si="11"/>
        <v>270930</v>
      </c>
      <c r="AN28" s="67">
        <f t="shared" si="11"/>
        <v>42915</v>
      </c>
      <c r="AO28" s="67">
        <f t="shared" si="11"/>
        <v>609937.27</v>
      </c>
      <c r="AP28" s="67">
        <f t="shared" si="11"/>
        <v>112200</v>
      </c>
      <c r="AQ28" s="67">
        <f t="shared" si="11"/>
        <v>224974.41</v>
      </c>
      <c r="AR28" s="67">
        <f t="shared" si="11"/>
        <v>972063.07000000007</v>
      </c>
      <c r="AS28" s="67">
        <f t="shared" si="11"/>
        <v>174026.95</v>
      </c>
      <c r="AT28" s="67">
        <f t="shared" si="11"/>
        <v>264605.2</v>
      </c>
      <c r="AU28" s="67">
        <f t="shared" si="11"/>
        <v>129587.55</v>
      </c>
      <c r="AV28" s="67">
        <f t="shared" si="11"/>
        <v>842004.6</v>
      </c>
      <c r="AW28" s="67">
        <f t="shared" si="11"/>
        <v>115334.39999999999</v>
      </c>
      <c r="AX28" s="67">
        <f t="shared" si="11"/>
        <v>33410</v>
      </c>
      <c r="AY28" s="67">
        <f t="shared" si="11"/>
        <v>175965</v>
      </c>
      <c r="AZ28" s="67">
        <f t="shared" si="11"/>
        <v>581198.1</v>
      </c>
      <c r="BA28" s="67">
        <f t="shared" si="11"/>
        <v>46350</v>
      </c>
      <c r="BB28" s="67">
        <f t="shared" si="11"/>
        <v>391951.74</v>
      </c>
      <c r="BC28" s="67">
        <f t="shared" si="11"/>
        <v>25245</v>
      </c>
      <c r="BD28" s="67">
        <f t="shared" si="11"/>
        <v>2911318.1700000004</v>
      </c>
      <c r="BE28" s="67">
        <f t="shared" si="11"/>
        <v>92350</v>
      </c>
      <c r="BF28" s="67">
        <f t="shared" si="11"/>
        <v>25063351.139999997</v>
      </c>
      <c r="BG28" s="67">
        <f t="shared" si="11"/>
        <v>12902802.52</v>
      </c>
      <c r="BH28" s="67">
        <f t="shared" si="11"/>
        <v>3327280.6099999994</v>
      </c>
      <c r="BI28" s="67">
        <f t="shared" si="11"/>
        <v>8833268.0099999998</v>
      </c>
    </row>
    <row r="29" spans="2:61" x14ac:dyDescent="0.25">
      <c r="C29" s="7">
        <v>330</v>
      </c>
      <c r="D29" s="7" t="s">
        <v>99</v>
      </c>
      <c r="E29" s="12">
        <v>273439.17</v>
      </c>
      <c r="F29" s="12">
        <v>70754</v>
      </c>
      <c r="G29" s="12">
        <v>76768.649999999994</v>
      </c>
      <c r="H29" s="12">
        <v>93170.3</v>
      </c>
      <c r="I29" s="12">
        <v>858686.09</v>
      </c>
      <c r="J29" s="12">
        <v>1068489.1399999999</v>
      </c>
      <c r="K29" s="12">
        <v>630529.64</v>
      </c>
      <c r="L29" s="12">
        <v>5850591.3799999999</v>
      </c>
      <c r="M29" s="12">
        <v>603738.35</v>
      </c>
      <c r="N29" s="12">
        <v>50799.23</v>
      </c>
      <c r="O29" s="12">
        <v>1330450.25</v>
      </c>
      <c r="P29" s="12">
        <v>122720.55</v>
      </c>
      <c r="Q29" s="12">
        <v>12625</v>
      </c>
      <c r="R29" s="12">
        <v>87650</v>
      </c>
      <c r="S29" s="12">
        <v>105668.5</v>
      </c>
      <c r="T29" s="12">
        <v>168872.25</v>
      </c>
      <c r="U29" s="12">
        <v>40149.85</v>
      </c>
      <c r="V29" s="12">
        <v>117543</v>
      </c>
      <c r="W29" s="12">
        <v>1075545.6399999999</v>
      </c>
      <c r="X29" s="12">
        <v>59856.25</v>
      </c>
      <c r="Y29" s="12">
        <v>291371.95</v>
      </c>
      <c r="Z29" s="12">
        <v>498784</v>
      </c>
      <c r="AA29" s="12">
        <v>98769.65</v>
      </c>
      <c r="AB29" s="12">
        <v>163116.93</v>
      </c>
      <c r="AC29" s="12">
        <v>93759.9</v>
      </c>
      <c r="AD29" s="12">
        <v>282477.59999999998</v>
      </c>
      <c r="AE29" s="12">
        <v>124708.45</v>
      </c>
      <c r="AF29" s="12">
        <v>102124.94</v>
      </c>
      <c r="AG29" s="12">
        <v>595644.82999999996</v>
      </c>
      <c r="AH29" s="12">
        <v>735415.9</v>
      </c>
      <c r="AI29" s="12">
        <v>62896.45</v>
      </c>
      <c r="AJ29" s="12">
        <v>158021.35999999999</v>
      </c>
      <c r="AK29" s="12">
        <v>423638.75</v>
      </c>
      <c r="AL29" s="12">
        <v>393262.8</v>
      </c>
      <c r="AM29" s="12">
        <v>251180</v>
      </c>
      <c r="AN29" s="12">
        <v>42915</v>
      </c>
      <c r="AO29" s="12">
        <v>599537.27</v>
      </c>
      <c r="AP29" s="12">
        <v>112200</v>
      </c>
      <c r="AQ29" s="12">
        <v>224974.41</v>
      </c>
      <c r="AR29" s="12">
        <v>931593.77</v>
      </c>
      <c r="AS29" s="12">
        <v>171826.95</v>
      </c>
      <c r="AT29" s="12">
        <v>263837.2</v>
      </c>
      <c r="AU29" s="12">
        <v>129587.55</v>
      </c>
      <c r="AV29" s="12">
        <v>824557.2</v>
      </c>
      <c r="AW29" s="12">
        <v>115334.39999999999</v>
      </c>
      <c r="AX29" s="12">
        <v>33410</v>
      </c>
      <c r="AY29" s="12">
        <v>171465</v>
      </c>
      <c r="AZ29" s="12">
        <v>527973.1</v>
      </c>
      <c r="BA29" s="12">
        <v>45390</v>
      </c>
      <c r="BB29" s="12">
        <v>391467.29</v>
      </c>
      <c r="BC29" s="12">
        <v>25245</v>
      </c>
      <c r="BD29" s="12">
        <v>2782111.7</v>
      </c>
      <c r="BE29" s="12">
        <v>92350</v>
      </c>
      <c r="BF29" s="12">
        <f t="shared" ref="BF29:BF30" si="12">SUM(E29:BE29)</f>
        <v>24458996.589999996</v>
      </c>
      <c r="BG29" s="12">
        <f t="shared" ref="BG29:BG30" si="13">SUM(E29:W29)</f>
        <v>12638190.99</v>
      </c>
      <c r="BH29" s="12">
        <f t="shared" ref="BH29:BH30" si="14">SUM(X29:AJ29)</f>
        <v>3266948.2099999995</v>
      </c>
      <c r="BI29" s="12">
        <f t="shared" ref="BI29:BI30" si="15">SUM(AK29:BE29)</f>
        <v>8553857.3900000006</v>
      </c>
    </row>
    <row r="30" spans="2:61" x14ac:dyDescent="0.25">
      <c r="C30" s="7">
        <v>332</v>
      </c>
      <c r="D30" s="7" t="s">
        <v>98</v>
      </c>
      <c r="E30" s="12">
        <v>0</v>
      </c>
      <c r="F30" s="12">
        <v>12280</v>
      </c>
      <c r="G30" s="12">
        <v>1746.5</v>
      </c>
      <c r="H30" s="12">
        <v>0</v>
      </c>
      <c r="I30" s="12">
        <v>0</v>
      </c>
      <c r="J30" s="12">
        <v>20596.490000000002</v>
      </c>
      <c r="K30" s="12">
        <v>1987.7</v>
      </c>
      <c r="L30" s="12">
        <v>117053.37</v>
      </c>
      <c r="M30" s="12">
        <v>9430</v>
      </c>
      <c r="N30" s="12">
        <v>0</v>
      </c>
      <c r="O30" s="12">
        <v>53168.05</v>
      </c>
      <c r="P30" s="12">
        <v>0</v>
      </c>
      <c r="Q30" s="12">
        <v>0</v>
      </c>
      <c r="R30" s="12">
        <v>0</v>
      </c>
      <c r="S30" s="12">
        <v>0</v>
      </c>
      <c r="T30" s="12">
        <v>0</v>
      </c>
      <c r="U30" s="12">
        <v>0</v>
      </c>
      <c r="V30" s="12">
        <v>22248.85</v>
      </c>
      <c r="W30" s="12">
        <v>26100.57</v>
      </c>
      <c r="X30" s="12">
        <v>0</v>
      </c>
      <c r="Y30" s="12">
        <v>5000</v>
      </c>
      <c r="Z30" s="12">
        <v>0</v>
      </c>
      <c r="AA30" s="12">
        <v>0</v>
      </c>
      <c r="AB30" s="12">
        <v>0</v>
      </c>
      <c r="AC30" s="12">
        <v>0</v>
      </c>
      <c r="AD30" s="12">
        <v>0</v>
      </c>
      <c r="AE30" s="12">
        <v>0</v>
      </c>
      <c r="AF30" s="12">
        <v>0</v>
      </c>
      <c r="AG30" s="12">
        <v>15167.4</v>
      </c>
      <c r="AH30" s="12">
        <v>40165</v>
      </c>
      <c r="AI30" s="12">
        <v>0</v>
      </c>
      <c r="AJ30" s="12">
        <v>0</v>
      </c>
      <c r="AK30" s="12">
        <v>0</v>
      </c>
      <c r="AL30" s="12">
        <v>0</v>
      </c>
      <c r="AM30" s="12">
        <v>19750</v>
      </c>
      <c r="AN30" s="12">
        <v>0</v>
      </c>
      <c r="AO30" s="12">
        <v>10400</v>
      </c>
      <c r="AP30" s="12">
        <v>0</v>
      </c>
      <c r="AQ30" s="12">
        <v>0</v>
      </c>
      <c r="AR30" s="12">
        <v>40469.300000000003</v>
      </c>
      <c r="AS30" s="12">
        <v>2200</v>
      </c>
      <c r="AT30" s="12">
        <v>768</v>
      </c>
      <c r="AU30" s="12">
        <v>0</v>
      </c>
      <c r="AV30" s="12">
        <v>17447.400000000001</v>
      </c>
      <c r="AW30" s="12">
        <v>0</v>
      </c>
      <c r="AX30" s="12">
        <v>0</v>
      </c>
      <c r="AY30" s="12">
        <v>4500</v>
      </c>
      <c r="AZ30" s="12">
        <v>53225</v>
      </c>
      <c r="BA30" s="12">
        <v>960</v>
      </c>
      <c r="BB30" s="12">
        <v>484.45</v>
      </c>
      <c r="BC30" s="12">
        <v>0</v>
      </c>
      <c r="BD30" s="12">
        <v>129206.47</v>
      </c>
      <c r="BE30" s="12">
        <v>0</v>
      </c>
      <c r="BF30" s="12">
        <f t="shared" si="12"/>
        <v>604354.55000000005</v>
      </c>
      <c r="BG30" s="12">
        <f t="shared" si="13"/>
        <v>264611.52999999997</v>
      </c>
      <c r="BH30" s="12">
        <f t="shared" si="14"/>
        <v>60332.4</v>
      </c>
      <c r="BI30" s="12">
        <f t="shared" si="15"/>
        <v>279410.62</v>
      </c>
    </row>
    <row r="31" spans="2:61" x14ac:dyDescent="0.25">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row>
    <row r="32" spans="2:61" x14ac:dyDescent="0.25">
      <c r="B32" s="66">
        <v>34</v>
      </c>
      <c r="C32" s="66"/>
      <c r="D32" s="66" t="s">
        <v>100</v>
      </c>
      <c r="E32" s="67">
        <f>E33+E34+E35+E36+E37+E38</f>
        <v>54405.36</v>
      </c>
      <c r="F32" s="67">
        <f t="shared" ref="F32:BI32" si="16">F33+F34+F35+F36+F37+F38</f>
        <v>124634.59000000001</v>
      </c>
      <c r="G32" s="67">
        <f t="shared" si="16"/>
        <v>74666.790000000008</v>
      </c>
      <c r="H32" s="67">
        <f t="shared" si="16"/>
        <v>80672.25</v>
      </c>
      <c r="I32" s="67">
        <f t="shared" si="16"/>
        <v>457925.83</v>
      </c>
      <c r="J32" s="67">
        <f t="shared" si="16"/>
        <v>209906.21999999997</v>
      </c>
      <c r="K32" s="67">
        <f t="shared" si="16"/>
        <v>163713.56</v>
      </c>
      <c r="L32" s="67">
        <f t="shared" si="16"/>
        <v>2157423.0699999998</v>
      </c>
      <c r="M32" s="67">
        <f t="shared" si="16"/>
        <v>51006.45</v>
      </c>
      <c r="N32" s="67">
        <f t="shared" si="16"/>
        <v>7268.05</v>
      </c>
      <c r="O32" s="67">
        <f t="shared" si="16"/>
        <v>371651.81</v>
      </c>
      <c r="P32" s="67">
        <f t="shared" si="16"/>
        <v>47649.2</v>
      </c>
      <c r="Q32" s="67">
        <f t="shared" si="16"/>
        <v>10466.73</v>
      </c>
      <c r="R32" s="67">
        <f t="shared" si="16"/>
        <v>162004.75999999998</v>
      </c>
      <c r="S32" s="67">
        <f t="shared" si="16"/>
        <v>65863.97</v>
      </c>
      <c r="T32" s="67">
        <f t="shared" si="16"/>
        <v>54609.120000000003</v>
      </c>
      <c r="U32" s="67">
        <f t="shared" si="16"/>
        <v>15435.26</v>
      </c>
      <c r="V32" s="67">
        <f t="shared" si="16"/>
        <v>46259.689999999995</v>
      </c>
      <c r="W32" s="67">
        <f t="shared" si="16"/>
        <v>185479.62</v>
      </c>
      <c r="X32" s="67">
        <f t="shared" si="16"/>
        <v>12266.060000000001</v>
      </c>
      <c r="Y32" s="67">
        <f t="shared" si="16"/>
        <v>128326.63</v>
      </c>
      <c r="Z32" s="67">
        <f t="shared" si="16"/>
        <v>16932.629999999997</v>
      </c>
      <c r="AA32" s="67">
        <f t="shared" si="16"/>
        <v>5514.82</v>
      </c>
      <c r="AB32" s="67">
        <f t="shared" si="16"/>
        <v>14317.320000000002</v>
      </c>
      <c r="AC32" s="67">
        <f t="shared" si="16"/>
        <v>78531.81</v>
      </c>
      <c r="AD32" s="67">
        <f t="shared" si="16"/>
        <v>67634.100000000006</v>
      </c>
      <c r="AE32" s="67">
        <f t="shared" si="16"/>
        <v>35078.6</v>
      </c>
      <c r="AF32" s="67">
        <f t="shared" si="16"/>
        <v>88799.25</v>
      </c>
      <c r="AG32" s="67">
        <f t="shared" si="16"/>
        <v>93141.09</v>
      </c>
      <c r="AH32" s="67">
        <f t="shared" si="16"/>
        <v>154152.78</v>
      </c>
      <c r="AI32" s="67">
        <f t="shared" si="16"/>
        <v>17152.669999999998</v>
      </c>
      <c r="AJ32" s="67">
        <f t="shared" si="16"/>
        <v>34807.03</v>
      </c>
      <c r="AK32" s="67">
        <f t="shared" si="16"/>
        <v>176338.6</v>
      </c>
      <c r="AL32" s="67">
        <f t="shared" si="16"/>
        <v>185132.89</v>
      </c>
      <c r="AM32" s="67">
        <f t="shared" si="16"/>
        <v>151615.21</v>
      </c>
      <c r="AN32" s="67">
        <f t="shared" si="16"/>
        <v>20422.019999999997</v>
      </c>
      <c r="AO32" s="67">
        <f t="shared" si="16"/>
        <v>210279.28000000003</v>
      </c>
      <c r="AP32" s="67">
        <f t="shared" si="16"/>
        <v>82884.319999999992</v>
      </c>
      <c r="AQ32" s="67">
        <f t="shared" si="16"/>
        <v>60049.79</v>
      </c>
      <c r="AR32" s="67">
        <f t="shared" si="16"/>
        <v>257738.71000000002</v>
      </c>
      <c r="AS32" s="67">
        <f t="shared" si="16"/>
        <v>76242.42</v>
      </c>
      <c r="AT32" s="67">
        <f t="shared" si="16"/>
        <v>152631.87</v>
      </c>
      <c r="AU32" s="67">
        <f t="shared" si="16"/>
        <v>22266.65</v>
      </c>
      <c r="AV32" s="67">
        <f t="shared" si="16"/>
        <v>190311.65</v>
      </c>
      <c r="AW32" s="67">
        <f t="shared" si="16"/>
        <v>75363.409999999989</v>
      </c>
      <c r="AX32" s="67">
        <f t="shared" si="16"/>
        <v>8184.1500000000005</v>
      </c>
      <c r="AY32" s="67">
        <f t="shared" si="16"/>
        <v>14484.84</v>
      </c>
      <c r="AZ32" s="67">
        <f t="shared" si="16"/>
        <v>293334.28999999998</v>
      </c>
      <c r="BA32" s="67">
        <f t="shared" si="16"/>
        <v>23926.760000000002</v>
      </c>
      <c r="BB32" s="67">
        <f t="shared" si="16"/>
        <v>110267.78</v>
      </c>
      <c r="BC32" s="67">
        <f t="shared" si="16"/>
        <v>629.90000000000009</v>
      </c>
      <c r="BD32" s="67">
        <f t="shared" si="16"/>
        <v>979043.60000000009</v>
      </c>
      <c r="BE32" s="67">
        <f t="shared" si="16"/>
        <v>58293.67</v>
      </c>
      <c r="BF32" s="67">
        <f t="shared" si="16"/>
        <v>8237138.9299999978</v>
      </c>
      <c r="BG32" s="67">
        <f t="shared" si="16"/>
        <v>4341042.33</v>
      </c>
      <c r="BH32" s="67">
        <f t="shared" si="16"/>
        <v>746654.79</v>
      </c>
      <c r="BI32" s="67">
        <f t="shared" si="16"/>
        <v>3149441.8100000005</v>
      </c>
    </row>
    <row r="33" spans="2:61" x14ac:dyDescent="0.25">
      <c r="C33" s="7">
        <v>340</v>
      </c>
      <c r="D33" s="7" t="s">
        <v>101</v>
      </c>
      <c r="E33" s="12">
        <v>54405.36</v>
      </c>
      <c r="F33" s="12">
        <v>28132.15</v>
      </c>
      <c r="G33" s="12">
        <v>54021.440000000002</v>
      </c>
      <c r="H33" s="12">
        <v>57098.85</v>
      </c>
      <c r="I33" s="12">
        <v>295408.90000000002</v>
      </c>
      <c r="J33" s="12">
        <v>193845.61</v>
      </c>
      <c r="K33" s="12">
        <v>102743.65</v>
      </c>
      <c r="L33" s="12">
        <v>1809808.42</v>
      </c>
      <c r="M33" s="12">
        <v>42381.919999999998</v>
      </c>
      <c r="N33" s="12">
        <v>7268.05</v>
      </c>
      <c r="O33" s="12">
        <v>295834.36</v>
      </c>
      <c r="P33" s="12">
        <v>39196.449999999997</v>
      </c>
      <c r="Q33" s="12">
        <v>8151.88</v>
      </c>
      <c r="R33" s="12">
        <v>38763.06</v>
      </c>
      <c r="S33" s="12">
        <v>64754.02</v>
      </c>
      <c r="T33" s="12">
        <v>45109.47</v>
      </c>
      <c r="U33" s="12">
        <v>10053.27</v>
      </c>
      <c r="V33" s="12">
        <v>35619.339999999997</v>
      </c>
      <c r="W33" s="12">
        <v>166137.12</v>
      </c>
      <c r="X33" s="12">
        <v>8239.19</v>
      </c>
      <c r="Y33" s="12">
        <v>128326.63</v>
      </c>
      <c r="Z33" s="12">
        <v>10311.48</v>
      </c>
      <c r="AA33" s="12">
        <v>4795.67</v>
      </c>
      <c r="AB33" s="12">
        <v>3587.37</v>
      </c>
      <c r="AC33" s="12">
        <v>62106.16</v>
      </c>
      <c r="AD33" s="12">
        <v>57177.8</v>
      </c>
      <c r="AE33" s="12">
        <v>35078.6</v>
      </c>
      <c r="AF33" s="12">
        <v>15061.15</v>
      </c>
      <c r="AG33" s="12">
        <v>46459.57</v>
      </c>
      <c r="AH33" s="12">
        <v>132611.03</v>
      </c>
      <c r="AI33" s="12">
        <v>16870.37</v>
      </c>
      <c r="AJ33" s="12">
        <v>4578.28</v>
      </c>
      <c r="AK33" s="12">
        <v>156374.1</v>
      </c>
      <c r="AL33" s="12">
        <v>119078.56</v>
      </c>
      <c r="AM33" s="12">
        <v>129201.11</v>
      </c>
      <c r="AN33" s="12">
        <v>19633.919999999998</v>
      </c>
      <c r="AO33" s="12">
        <v>60213.33</v>
      </c>
      <c r="AP33" s="12">
        <v>74155.97</v>
      </c>
      <c r="AQ33" s="12">
        <v>60049.79</v>
      </c>
      <c r="AR33" s="12">
        <v>78368.460000000006</v>
      </c>
      <c r="AS33" s="12">
        <v>68359.520000000004</v>
      </c>
      <c r="AT33" s="12">
        <v>105867.22</v>
      </c>
      <c r="AU33" s="12">
        <v>22266.65</v>
      </c>
      <c r="AV33" s="12">
        <v>190311.65</v>
      </c>
      <c r="AW33" s="12">
        <v>60249.21</v>
      </c>
      <c r="AX33" s="12">
        <v>7077.6</v>
      </c>
      <c r="AY33" s="12">
        <v>14484.84</v>
      </c>
      <c r="AZ33" s="12">
        <v>285893.94</v>
      </c>
      <c r="BA33" s="12">
        <v>18908.91</v>
      </c>
      <c r="BB33" s="12">
        <v>77937.429999999993</v>
      </c>
      <c r="BC33" s="12">
        <v>278.10000000000002</v>
      </c>
      <c r="BD33" s="12">
        <v>754417.41</v>
      </c>
      <c r="BE33" s="12">
        <v>36891.269999999997</v>
      </c>
      <c r="BF33" s="12">
        <f t="shared" ref="BF33:BF38" si="17">SUM(E33:BE33)</f>
        <v>6213955.6099999985</v>
      </c>
      <c r="BG33" s="12">
        <f t="shared" ref="BG33:BG38" si="18">SUM(E33:W33)</f>
        <v>3348733.32</v>
      </c>
      <c r="BH33" s="12">
        <f t="shared" ref="BH33:BH38" si="19">SUM(X33:AJ33)</f>
        <v>525203.30000000005</v>
      </c>
      <c r="BI33" s="12">
        <f t="shared" ref="BI33:BI38" si="20">SUM(AK33:BE33)</f>
        <v>2340018.9900000002</v>
      </c>
    </row>
    <row r="34" spans="2:61" x14ac:dyDescent="0.25">
      <c r="C34" s="7">
        <v>341</v>
      </c>
      <c r="D34" s="7" t="s">
        <v>102</v>
      </c>
      <c r="E34" s="12">
        <v>0</v>
      </c>
      <c r="F34" s="12">
        <v>0</v>
      </c>
      <c r="G34" s="12">
        <v>0</v>
      </c>
      <c r="H34" s="12">
        <v>0</v>
      </c>
      <c r="I34" s="12">
        <v>0</v>
      </c>
      <c r="J34" s="12">
        <v>0</v>
      </c>
      <c r="K34" s="12">
        <v>0</v>
      </c>
      <c r="L34" s="12">
        <v>0</v>
      </c>
      <c r="M34" s="12">
        <v>0</v>
      </c>
      <c r="N34" s="12">
        <v>0</v>
      </c>
      <c r="O34" s="12">
        <v>0</v>
      </c>
      <c r="P34" s="12">
        <v>0</v>
      </c>
      <c r="Q34" s="12">
        <v>0</v>
      </c>
      <c r="R34" s="12">
        <v>109160.4</v>
      </c>
      <c r="S34" s="12">
        <v>0</v>
      </c>
      <c r="T34" s="12">
        <v>0</v>
      </c>
      <c r="U34" s="12">
        <v>0</v>
      </c>
      <c r="V34" s="12">
        <v>0</v>
      </c>
      <c r="W34" s="12">
        <v>0</v>
      </c>
      <c r="X34" s="12">
        <v>0</v>
      </c>
      <c r="Y34" s="12">
        <v>0</v>
      </c>
      <c r="Z34" s="12">
        <v>0</v>
      </c>
      <c r="AA34" s="12">
        <v>0</v>
      </c>
      <c r="AB34" s="12">
        <v>0</v>
      </c>
      <c r="AC34" s="12">
        <v>0</v>
      </c>
      <c r="AD34" s="12">
        <v>6800.85</v>
      </c>
      <c r="AE34" s="12">
        <v>0</v>
      </c>
      <c r="AF34" s="12">
        <v>0</v>
      </c>
      <c r="AG34" s="12">
        <v>0</v>
      </c>
      <c r="AH34" s="12">
        <v>0</v>
      </c>
      <c r="AI34" s="12">
        <v>0</v>
      </c>
      <c r="AJ34" s="12">
        <v>0</v>
      </c>
      <c r="AK34" s="12">
        <v>0</v>
      </c>
      <c r="AL34" s="12">
        <v>1038.0999999999999</v>
      </c>
      <c r="AM34" s="12">
        <v>0</v>
      </c>
      <c r="AN34" s="12">
        <v>0</v>
      </c>
      <c r="AO34" s="12">
        <v>0</v>
      </c>
      <c r="AP34" s="12">
        <v>0</v>
      </c>
      <c r="AQ34" s="12">
        <v>0</v>
      </c>
      <c r="AR34" s="12">
        <v>0</v>
      </c>
      <c r="AS34" s="12">
        <v>0</v>
      </c>
      <c r="AT34" s="12">
        <v>0</v>
      </c>
      <c r="AU34" s="12">
        <v>0</v>
      </c>
      <c r="AV34" s="12">
        <v>0</v>
      </c>
      <c r="AW34" s="12">
        <v>0</v>
      </c>
      <c r="AX34" s="12">
        <v>0</v>
      </c>
      <c r="AY34" s="12">
        <v>0</v>
      </c>
      <c r="AZ34" s="12">
        <v>0</v>
      </c>
      <c r="BA34" s="12">
        <v>0</v>
      </c>
      <c r="BB34" s="12">
        <v>0</v>
      </c>
      <c r="BC34" s="12">
        <v>0</v>
      </c>
      <c r="BD34" s="12">
        <v>42543.14</v>
      </c>
      <c r="BE34" s="12">
        <v>0</v>
      </c>
      <c r="BF34" s="12">
        <f t="shared" si="17"/>
        <v>159542.49</v>
      </c>
      <c r="BG34" s="12">
        <f t="shared" si="18"/>
        <v>109160.4</v>
      </c>
      <c r="BH34" s="12">
        <f t="shared" si="19"/>
        <v>6800.85</v>
      </c>
      <c r="BI34" s="12">
        <f t="shared" si="20"/>
        <v>43581.24</v>
      </c>
    </row>
    <row r="35" spans="2:61" x14ac:dyDescent="0.25">
      <c r="C35" s="7">
        <v>342</v>
      </c>
      <c r="D35" s="7" t="s">
        <v>103</v>
      </c>
      <c r="E35" s="12">
        <v>0</v>
      </c>
      <c r="F35" s="12">
        <v>0</v>
      </c>
      <c r="G35" s="12">
        <v>0</v>
      </c>
      <c r="H35" s="12">
        <v>0</v>
      </c>
      <c r="I35" s="12">
        <v>0</v>
      </c>
      <c r="J35" s="12">
        <v>0</v>
      </c>
      <c r="K35" s="12">
        <v>0</v>
      </c>
      <c r="L35" s="12">
        <v>0</v>
      </c>
      <c r="M35" s="12">
        <v>0</v>
      </c>
      <c r="N35" s="12">
        <v>0</v>
      </c>
      <c r="O35" s="12">
        <v>0</v>
      </c>
      <c r="P35" s="12">
        <v>0</v>
      </c>
      <c r="Q35" s="12">
        <v>0</v>
      </c>
      <c r="R35" s="12">
        <v>0</v>
      </c>
      <c r="S35" s="12">
        <v>0</v>
      </c>
      <c r="T35" s="12">
        <v>0</v>
      </c>
      <c r="U35" s="12">
        <v>0</v>
      </c>
      <c r="V35" s="12">
        <v>0</v>
      </c>
      <c r="W35" s="12">
        <v>15.64</v>
      </c>
      <c r="X35" s="12">
        <v>0</v>
      </c>
      <c r="Y35" s="12">
        <v>0</v>
      </c>
      <c r="Z35" s="12">
        <v>0</v>
      </c>
      <c r="AA35" s="12">
        <v>0</v>
      </c>
      <c r="AB35" s="12">
        <v>0</v>
      </c>
      <c r="AC35" s="12">
        <v>0</v>
      </c>
      <c r="AD35" s="12">
        <v>0</v>
      </c>
      <c r="AE35" s="12">
        <v>0</v>
      </c>
      <c r="AF35" s="12">
        <v>0</v>
      </c>
      <c r="AG35" s="12">
        <v>0</v>
      </c>
      <c r="AH35" s="12">
        <v>0</v>
      </c>
      <c r="AI35" s="12">
        <v>200</v>
      </c>
      <c r="AJ35" s="12">
        <v>0</v>
      </c>
      <c r="AK35" s="12">
        <v>0</v>
      </c>
      <c r="AL35" s="12">
        <v>0</v>
      </c>
      <c r="AM35" s="12">
        <v>0</v>
      </c>
      <c r="AN35" s="12">
        <v>0</v>
      </c>
      <c r="AO35" s="12">
        <v>0</v>
      </c>
      <c r="AP35" s="12">
        <v>0</v>
      </c>
      <c r="AQ35" s="12">
        <v>0</v>
      </c>
      <c r="AR35" s="12">
        <v>0</v>
      </c>
      <c r="AS35" s="12">
        <v>0</v>
      </c>
      <c r="AT35" s="12">
        <v>0</v>
      </c>
      <c r="AU35" s="12">
        <v>0</v>
      </c>
      <c r="AV35" s="12">
        <v>0</v>
      </c>
      <c r="AW35" s="12">
        <v>0</v>
      </c>
      <c r="AX35" s="12">
        <v>0</v>
      </c>
      <c r="AY35" s="12">
        <v>0</v>
      </c>
      <c r="AZ35" s="12">
        <v>0</v>
      </c>
      <c r="BA35" s="12">
        <v>0</v>
      </c>
      <c r="BB35" s="12">
        <v>0</v>
      </c>
      <c r="BC35" s="12">
        <v>0</v>
      </c>
      <c r="BD35" s="12">
        <v>0</v>
      </c>
      <c r="BE35" s="12">
        <v>0</v>
      </c>
      <c r="BF35" s="12">
        <f t="shared" si="17"/>
        <v>215.64</v>
      </c>
      <c r="BG35" s="12">
        <f t="shared" si="18"/>
        <v>15.64</v>
      </c>
      <c r="BH35" s="12">
        <f t="shared" si="19"/>
        <v>200</v>
      </c>
      <c r="BI35" s="12">
        <f t="shared" si="20"/>
        <v>0</v>
      </c>
    </row>
    <row r="36" spans="2:61" x14ac:dyDescent="0.25">
      <c r="C36" s="7">
        <v>343</v>
      </c>
      <c r="D36" s="7" t="s">
        <v>104</v>
      </c>
      <c r="E36" s="12">
        <v>0</v>
      </c>
      <c r="F36" s="12">
        <v>9181.59</v>
      </c>
      <c r="G36" s="12">
        <v>20645.349999999999</v>
      </c>
      <c r="H36" s="12">
        <v>23573.4</v>
      </c>
      <c r="I36" s="12">
        <v>162516.93</v>
      </c>
      <c r="J36" s="12">
        <v>16060.61</v>
      </c>
      <c r="K36" s="12">
        <v>60179.27</v>
      </c>
      <c r="L36" s="12">
        <v>347614.65</v>
      </c>
      <c r="M36" s="12">
        <v>8620.1</v>
      </c>
      <c r="N36" s="12">
        <v>0</v>
      </c>
      <c r="O36" s="12">
        <v>75817.45</v>
      </c>
      <c r="P36" s="12">
        <v>8452.75</v>
      </c>
      <c r="Q36" s="12">
        <v>2314.85</v>
      </c>
      <c r="R36" s="12">
        <v>14081.3</v>
      </c>
      <c r="S36" s="12">
        <v>1109.95</v>
      </c>
      <c r="T36" s="12">
        <v>8579.4</v>
      </c>
      <c r="U36" s="12">
        <v>5381.99</v>
      </c>
      <c r="V36" s="12">
        <v>10640.35</v>
      </c>
      <c r="W36" s="12">
        <v>19387.86</v>
      </c>
      <c r="X36" s="12">
        <v>-328.05</v>
      </c>
      <c r="Y36" s="12">
        <v>0</v>
      </c>
      <c r="Z36" s="12">
        <v>6621.15</v>
      </c>
      <c r="AA36" s="12">
        <v>719.15</v>
      </c>
      <c r="AB36" s="12">
        <v>8120.6</v>
      </c>
      <c r="AC36" s="12">
        <v>16425.650000000001</v>
      </c>
      <c r="AD36" s="12">
        <v>3655.45</v>
      </c>
      <c r="AE36" s="12">
        <v>0</v>
      </c>
      <c r="AF36" s="12">
        <v>73738.100000000006</v>
      </c>
      <c r="AG36" s="12">
        <v>39582.550000000003</v>
      </c>
      <c r="AH36" s="12">
        <v>21541.75</v>
      </c>
      <c r="AI36" s="12">
        <v>82.25</v>
      </c>
      <c r="AJ36" s="12">
        <v>26979.25</v>
      </c>
      <c r="AK36" s="12">
        <v>19964.5</v>
      </c>
      <c r="AL36" s="12">
        <v>56815</v>
      </c>
      <c r="AM36" s="12">
        <v>22414.1</v>
      </c>
      <c r="AN36" s="12">
        <v>0</v>
      </c>
      <c r="AO36" s="12">
        <v>150065.95000000001</v>
      </c>
      <c r="AP36" s="12">
        <v>5484.65</v>
      </c>
      <c r="AQ36" s="12">
        <v>0</v>
      </c>
      <c r="AR36" s="12">
        <v>179370.25</v>
      </c>
      <c r="AS36" s="12">
        <v>6316.67</v>
      </c>
      <c r="AT36" s="12">
        <v>46764.65</v>
      </c>
      <c r="AU36" s="12">
        <v>0</v>
      </c>
      <c r="AV36" s="12">
        <v>0</v>
      </c>
      <c r="AW36" s="12">
        <v>14884.75</v>
      </c>
      <c r="AX36" s="12">
        <v>0</v>
      </c>
      <c r="AY36" s="12">
        <v>0</v>
      </c>
      <c r="AZ36" s="12">
        <v>7440.35</v>
      </c>
      <c r="BA36" s="12">
        <v>5017.8500000000004</v>
      </c>
      <c r="BB36" s="12">
        <v>29912.35</v>
      </c>
      <c r="BC36" s="12">
        <v>351.8</v>
      </c>
      <c r="BD36" s="12">
        <v>97606.05</v>
      </c>
      <c r="BE36" s="12">
        <v>18949.2</v>
      </c>
      <c r="BF36" s="12">
        <f t="shared" si="17"/>
        <v>1652653.77</v>
      </c>
      <c r="BG36" s="12">
        <f t="shared" si="18"/>
        <v>794157.79999999993</v>
      </c>
      <c r="BH36" s="12">
        <f t="shared" si="19"/>
        <v>197137.85</v>
      </c>
      <c r="BI36" s="12">
        <f t="shared" si="20"/>
        <v>661358.12</v>
      </c>
    </row>
    <row r="37" spans="2:61" x14ac:dyDescent="0.25">
      <c r="C37" s="7">
        <v>344</v>
      </c>
      <c r="D37" s="7" t="s">
        <v>105</v>
      </c>
      <c r="E37" s="12">
        <v>0</v>
      </c>
      <c r="F37" s="12">
        <v>87320</v>
      </c>
      <c r="G37" s="12">
        <v>0</v>
      </c>
      <c r="H37" s="12">
        <v>0</v>
      </c>
      <c r="I37" s="12">
        <v>0</v>
      </c>
      <c r="J37" s="12">
        <v>0</v>
      </c>
      <c r="K37" s="12">
        <v>790.64</v>
      </c>
      <c r="L37" s="12">
        <v>0</v>
      </c>
      <c r="M37" s="12">
        <v>0</v>
      </c>
      <c r="N37" s="12">
        <v>0</v>
      </c>
      <c r="O37" s="12">
        <v>0</v>
      </c>
      <c r="P37" s="12">
        <v>0</v>
      </c>
      <c r="Q37" s="12">
        <v>0</v>
      </c>
      <c r="R37" s="12">
        <v>0</v>
      </c>
      <c r="S37" s="12">
        <v>0</v>
      </c>
      <c r="T37" s="12">
        <v>920.25</v>
      </c>
      <c r="U37" s="12">
        <v>0</v>
      </c>
      <c r="V37" s="12">
        <v>0</v>
      </c>
      <c r="W37" s="12">
        <v>0</v>
      </c>
      <c r="X37" s="12">
        <v>0</v>
      </c>
      <c r="Y37" s="12">
        <v>0</v>
      </c>
      <c r="Z37" s="12">
        <v>0</v>
      </c>
      <c r="AA37" s="12">
        <v>0</v>
      </c>
      <c r="AB37" s="12">
        <v>0</v>
      </c>
      <c r="AC37" s="12">
        <v>0</v>
      </c>
      <c r="AD37" s="12">
        <v>0</v>
      </c>
      <c r="AE37" s="12">
        <v>0</v>
      </c>
      <c r="AF37" s="12">
        <v>0</v>
      </c>
      <c r="AG37" s="12">
        <v>0</v>
      </c>
      <c r="AH37" s="12">
        <v>0</v>
      </c>
      <c r="AI37" s="12">
        <v>0</v>
      </c>
      <c r="AJ37" s="12">
        <v>3103</v>
      </c>
      <c r="AK37" s="12">
        <v>0</v>
      </c>
      <c r="AL37" s="12">
        <v>0</v>
      </c>
      <c r="AM37" s="12">
        <v>0</v>
      </c>
      <c r="AN37" s="12">
        <v>0</v>
      </c>
      <c r="AO37" s="12">
        <v>0</v>
      </c>
      <c r="AP37" s="12">
        <v>0</v>
      </c>
      <c r="AQ37" s="12">
        <v>0</v>
      </c>
      <c r="AR37" s="12">
        <v>0</v>
      </c>
      <c r="AS37" s="12">
        <v>0</v>
      </c>
      <c r="AT37" s="12">
        <v>0</v>
      </c>
      <c r="AU37" s="12">
        <v>0</v>
      </c>
      <c r="AV37" s="12">
        <v>0</v>
      </c>
      <c r="AW37" s="12">
        <v>0</v>
      </c>
      <c r="AX37" s="12">
        <v>200</v>
      </c>
      <c r="AY37" s="12">
        <v>0</v>
      </c>
      <c r="AZ37" s="12">
        <v>0</v>
      </c>
      <c r="BA37" s="12">
        <v>0</v>
      </c>
      <c r="BB37" s="12">
        <v>2418</v>
      </c>
      <c r="BC37" s="12">
        <v>0</v>
      </c>
      <c r="BD37" s="12">
        <v>84477</v>
      </c>
      <c r="BE37" s="12">
        <v>0</v>
      </c>
      <c r="BF37" s="12">
        <f t="shared" si="17"/>
        <v>179228.89</v>
      </c>
      <c r="BG37" s="12">
        <f t="shared" si="18"/>
        <v>89030.89</v>
      </c>
      <c r="BH37" s="12">
        <f t="shared" si="19"/>
        <v>3103</v>
      </c>
      <c r="BI37" s="12">
        <f t="shared" si="20"/>
        <v>87095</v>
      </c>
    </row>
    <row r="38" spans="2:61" x14ac:dyDescent="0.25">
      <c r="C38" s="7">
        <v>349</v>
      </c>
      <c r="D38" s="7" t="s">
        <v>106</v>
      </c>
      <c r="E38" s="12">
        <v>0</v>
      </c>
      <c r="F38" s="12">
        <v>0.85</v>
      </c>
      <c r="G38" s="12">
        <v>0</v>
      </c>
      <c r="H38" s="12">
        <v>0</v>
      </c>
      <c r="I38" s="12">
        <v>0</v>
      </c>
      <c r="J38" s="12">
        <v>0</v>
      </c>
      <c r="K38" s="12">
        <v>0</v>
      </c>
      <c r="L38" s="12">
        <v>0</v>
      </c>
      <c r="M38" s="12">
        <v>4.43</v>
      </c>
      <c r="N38" s="12">
        <v>0</v>
      </c>
      <c r="O38" s="12">
        <v>0</v>
      </c>
      <c r="P38" s="12">
        <v>0</v>
      </c>
      <c r="Q38" s="12">
        <v>0</v>
      </c>
      <c r="R38" s="12">
        <v>0</v>
      </c>
      <c r="S38" s="12">
        <v>0</v>
      </c>
      <c r="T38" s="12">
        <v>0</v>
      </c>
      <c r="U38" s="12">
        <v>0</v>
      </c>
      <c r="V38" s="12">
        <v>0</v>
      </c>
      <c r="W38" s="12">
        <v>-61</v>
      </c>
      <c r="X38" s="12">
        <v>4354.92</v>
      </c>
      <c r="Y38" s="12">
        <v>0</v>
      </c>
      <c r="Z38" s="12">
        <v>0</v>
      </c>
      <c r="AA38" s="12">
        <v>0</v>
      </c>
      <c r="AB38" s="12">
        <v>2609.35</v>
      </c>
      <c r="AC38" s="12">
        <v>0</v>
      </c>
      <c r="AD38" s="12">
        <v>0</v>
      </c>
      <c r="AE38" s="12">
        <v>0</v>
      </c>
      <c r="AF38" s="12">
        <v>0</v>
      </c>
      <c r="AG38" s="12">
        <v>7098.97</v>
      </c>
      <c r="AH38" s="12">
        <v>0</v>
      </c>
      <c r="AI38" s="12">
        <v>0.05</v>
      </c>
      <c r="AJ38" s="12">
        <v>146.5</v>
      </c>
      <c r="AK38" s="12">
        <v>0</v>
      </c>
      <c r="AL38" s="12">
        <v>8201.23</v>
      </c>
      <c r="AM38" s="12">
        <v>0</v>
      </c>
      <c r="AN38" s="12">
        <v>788.1</v>
      </c>
      <c r="AO38" s="12">
        <v>0</v>
      </c>
      <c r="AP38" s="12">
        <v>3243.7</v>
      </c>
      <c r="AQ38" s="12">
        <v>0</v>
      </c>
      <c r="AR38" s="12">
        <v>0</v>
      </c>
      <c r="AS38" s="12">
        <v>1566.23</v>
      </c>
      <c r="AT38" s="12">
        <v>0</v>
      </c>
      <c r="AU38" s="12">
        <v>0</v>
      </c>
      <c r="AV38" s="12">
        <v>0</v>
      </c>
      <c r="AW38" s="12">
        <v>229.45</v>
      </c>
      <c r="AX38" s="12">
        <v>906.55</v>
      </c>
      <c r="AY38" s="12">
        <v>0</v>
      </c>
      <c r="AZ38" s="12">
        <v>0</v>
      </c>
      <c r="BA38" s="12">
        <v>0</v>
      </c>
      <c r="BB38" s="12">
        <v>0</v>
      </c>
      <c r="BC38" s="12">
        <v>0</v>
      </c>
      <c r="BD38" s="12">
        <v>0</v>
      </c>
      <c r="BE38" s="12">
        <v>2453.1999999999998</v>
      </c>
      <c r="BF38" s="12">
        <f t="shared" si="17"/>
        <v>31542.53</v>
      </c>
      <c r="BG38" s="12">
        <f t="shared" si="18"/>
        <v>-55.72</v>
      </c>
      <c r="BH38" s="12">
        <f t="shared" si="19"/>
        <v>14209.79</v>
      </c>
      <c r="BI38" s="12">
        <f t="shared" si="20"/>
        <v>17388.46</v>
      </c>
    </row>
    <row r="39" spans="2:61" x14ac:dyDescent="0.25">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row>
    <row r="40" spans="2:61" x14ac:dyDescent="0.25">
      <c r="B40" s="66">
        <v>35</v>
      </c>
      <c r="C40" s="66"/>
      <c r="D40" s="66" t="s">
        <v>108</v>
      </c>
      <c r="E40" s="67">
        <f>E41+E42</f>
        <v>13669.95</v>
      </c>
      <c r="F40" s="67">
        <f t="shared" ref="F40:BI40" si="21">F41+F42</f>
        <v>22425.32</v>
      </c>
      <c r="G40" s="67">
        <f t="shared" si="21"/>
        <v>5326.55</v>
      </c>
      <c r="H40" s="67">
        <f t="shared" si="21"/>
        <v>0</v>
      </c>
      <c r="I40" s="67">
        <f t="shared" si="21"/>
        <v>287118.55</v>
      </c>
      <c r="J40" s="67">
        <f t="shared" si="21"/>
        <v>8240.7000000000007</v>
      </c>
      <c r="K40" s="67">
        <f t="shared" si="21"/>
        <v>29873.4</v>
      </c>
      <c r="L40" s="67">
        <f t="shared" si="21"/>
        <v>0</v>
      </c>
      <c r="M40" s="67">
        <f t="shared" si="21"/>
        <v>94598.63</v>
      </c>
      <c r="N40" s="67">
        <f t="shared" si="21"/>
        <v>19000</v>
      </c>
      <c r="O40" s="67">
        <f t="shared" si="21"/>
        <v>998890</v>
      </c>
      <c r="P40" s="67">
        <f t="shared" si="21"/>
        <v>0</v>
      </c>
      <c r="Q40" s="67">
        <f t="shared" si="21"/>
        <v>0</v>
      </c>
      <c r="R40" s="67">
        <f t="shared" si="21"/>
        <v>0</v>
      </c>
      <c r="S40" s="67">
        <f t="shared" si="21"/>
        <v>0</v>
      </c>
      <c r="T40" s="67">
        <f t="shared" si="21"/>
        <v>0</v>
      </c>
      <c r="U40" s="67">
        <f t="shared" si="21"/>
        <v>0</v>
      </c>
      <c r="V40" s="67">
        <f t="shared" si="21"/>
        <v>0</v>
      </c>
      <c r="W40" s="67">
        <f t="shared" si="21"/>
        <v>0</v>
      </c>
      <c r="X40" s="67">
        <f t="shared" si="21"/>
        <v>28915.25</v>
      </c>
      <c r="Y40" s="67">
        <f t="shared" si="21"/>
        <v>323.14999999999998</v>
      </c>
      <c r="Z40" s="67">
        <f t="shared" si="21"/>
        <v>122878</v>
      </c>
      <c r="AA40" s="67">
        <f t="shared" si="21"/>
        <v>12281.9</v>
      </c>
      <c r="AB40" s="67">
        <f t="shared" si="21"/>
        <v>8938.7999999999993</v>
      </c>
      <c r="AC40" s="67">
        <f t="shared" si="21"/>
        <v>12454</v>
      </c>
      <c r="AD40" s="67">
        <f t="shared" si="21"/>
        <v>4699</v>
      </c>
      <c r="AE40" s="67">
        <f t="shared" si="21"/>
        <v>16453.509999999998</v>
      </c>
      <c r="AF40" s="67">
        <f t="shared" si="21"/>
        <v>0</v>
      </c>
      <c r="AG40" s="67">
        <f t="shared" si="21"/>
        <v>32708.1</v>
      </c>
      <c r="AH40" s="67">
        <f t="shared" si="21"/>
        <v>83053.600000000006</v>
      </c>
      <c r="AI40" s="67">
        <f t="shared" si="21"/>
        <v>1586.6</v>
      </c>
      <c r="AJ40" s="67">
        <f t="shared" si="21"/>
        <v>3000</v>
      </c>
      <c r="AK40" s="67">
        <f t="shared" si="21"/>
        <v>2696.1</v>
      </c>
      <c r="AL40" s="67">
        <f t="shared" si="21"/>
        <v>44906.47</v>
      </c>
      <c r="AM40" s="67">
        <f t="shared" si="21"/>
        <v>8438.27</v>
      </c>
      <c r="AN40" s="67">
        <f t="shared" si="21"/>
        <v>0</v>
      </c>
      <c r="AO40" s="67">
        <f t="shared" si="21"/>
        <v>0</v>
      </c>
      <c r="AP40" s="67">
        <f t="shared" si="21"/>
        <v>10.25</v>
      </c>
      <c r="AQ40" s="67">
        <f t="shared" si="21"/>
        <v>1740</v>
      </c>
      <c r="AR40" s="67">
        <f t="shared" si="21"/>
        <v>250436.1</v>
      </c>
      <c r="AS40" s="67">
        <f t="shared" si="21"/>
        <v>114117.9</v>
      </c>
      <c r="AT40" s="67">
        <f t="shared" si="21"/>
        <v>255280</v>
      </c>
      <c r="AU40" s="67">
        <f t="shared" si="21"/>
        <v>1402.95</v>
      </c>
      <c r="AV40" s="67">
        <f t="shared" si="21"/>
        <v>208371.59000000003</v>
      </c>
      <c r="AW40" s="67">
        <f t="shared" si="21"/>
        <v>16960</v>
      </c>
      <c r="AX40" s="67">
        <f t="shared" si="21"/>
        <v>59.85</v>
      </c>
      <c r="AY40" s="67">
        <f t="shared" si="21"/>
        <v>0</v>
      </c>
      <c r="AZ40" s="67">
        <f t="shared" si="21"/>
        <v>1391.7</v>
      </c>
      <c r="BA40" s="67">
        <f t="shared" si="21"/>
        <v>1144.44</v>
      </c>
      <c r="BB40" s="67">
        <f t="shared" si="21"/>
        <v>71263.19</v>
      </c>
      <c r="BC40" s="67">
        <f t="shared" si="21"/>
        <v>444.15</v>
      </c>
      <c r="BD40" s="67">
        <f t="shared" si="21"/>
        <v>13630.41</v>
      </c>
      <c r="BE40" s="67">
        <f t="shared" si="21"/>
        <v>10517.29</v>
      </c>
      <c r="BF40" s="67">
        <f t="shared" si="21"/>
        <v>2809245.6700000009</v>
      </c>
      <c r="BG40" s="67">
        <f t="shared" si="21"/>
        <v>1479143.1</v>
      </c>
      <c r="BH40" s="67">
        <f t="shared" si="21"/>
        <v>327291.90999999997</v>
      </c>
      <c r="BI40" s="67">
        <f t="shared" si="21"/>
        <v>1002810.6599999999</v>
      </c>
    </row>
    <row r="41" spans="2:61" x14ac:dyDescent="0.25">
      <c r="C41" s="7">
        <v>350</v>
      </c>
      <c r="D41" s="7" t="s">
        <v>108</v>
      </c>
      <c r="E41" s="12">
        <v>0</v>
      </c>
      <c r="F41" s="12">
        <v>0</v>
      </c>
      <c r="G41" s="12">
        <v>0</v>
      </c>
      <c r="H41" s="12">
        <v>0</v>
      </c>
      <c r="I41" s="12">
        <v>12819.55</v>
      </c>
      <c r="J41" s="12">
        <v>0</v>
      </c>
      <c r="K41" s="12">
        <v>0</v>
      </c>
      <c r="L41" s="12">
        <v>0</v>
      </c>
      <c r="M41" s="12">
        <v>0</v>
      </c>
      <c r="N41" s="12">
        <v>19000</v>
      </c>
      <c r="O41" s="12">
        <v>0</v>
      </c>
      <c r="P41" s="12">
        <v>0</v>
      </c>
      <c r="Q41" s="12">
        <v>0</v>
      </c>
      <c r="R41" s="12">
        <v>0</v>
      </c>
      <c r="S41" s="12">
        <v>0</v>
      </c>
      <c r="T41" s="12">
        <v>0</v>
      </c>
      <c r="U41" s="12">
        <v>0</v>
      </c>
      <c r="V41" s="12">
        <v>0</v>
      </c>
      <c r="W41" s="12">
        <v>0</v>
      </c>
      <c r="X41" s="12">
        <v>0</v>
      </c>
      <c r="Y41" s="12">
        <v>0</v>
      </c>
      <c r="Z41" s="12">
        <v>0</v>
      </c>
      <c r="AA41" s="12">
        <v>0</v>
      </c>
      <c r="AB41" s="12">
        <v>0</v>
      </c>
      <c r="AC41" s="12">
        <v>0</v>
      </c>
      <c r="AD41" s="12">
        <v>0</v>
      </c>
      <c r="AE41" s="12">
        <v>0</v>
      </c>
      <c r="AF41" s="12">
        <v>0</v>
      </c>
      <c r="AG41" s="12">
        <v>0</v>
      </c>
      <c r="AH41" s="12">
        <v>0</v>
      </c>
      <c r="AI41" s="12">
        <v>105.25</v>
      </c>
      <c r="AJ41" s="12">
        <v>0</v>
      </c>
      <c r="AK41" s="12">
        <v>0</v>
      </c>
      <c r="AL41" s="12">
        <v>0</v>
      </c>
      <c r="AM41" s="12">
        <v>0</v>
      </c>
      <c r="AN41" s="12">
        <v>0</v>
      </c>
      <c r="AO41" s="12">
        <v>0</v>
      </c>
      <c r="AP41" s="12">
        <v>0</v>
      </c>
      <c r="AQ41" s="12">
        <v>0</v>
      </c>
      <c r="AR41" s="12">
        <v>0</v>
      </c>
      <c r="AS41" s="12">
        <v>0</v>
      </c>
      <c r="AT41" s="12">
        <v>20000</v>
      </c>
      <c r="AU41" s="12">
        <v>0</v>
      </c>
      <c r="AV41" s="12">
        <v>15433.45</v>
      </c>
      <c r="AW41" s="12">
        <v>0</v>
      </c>
      <c r="AX41" s="12">
        <v>0</v>
      </c>
      <c r="AY41" s="12">
        <v>0</v>
      </c>
      <c r="AZ41" s="12">
        <v>0</v>
      </c>
      <c r="BA41" s="12">
        <v>0</v>
      </c>
      <c r="BB41" s="12">
        <v>0</v>
      </c>
      <c r="BC41" s="12">
        <v>0</v>
      </c>
      <c r="BD41" s="12">
        <v>0</v>
      </c>
      <c r="BE41" s="12">
        <v>0</v>
      </c>
      <c r="BF41" s="12">
        <f t="shared" ref="BF41:BF42" si="22">SUM(E41:BE41)</f>
        <v>67358.25</v>
      </c>
      <c r="BG41" s="12">
        <f t="shared" ref="BG41:BG42" si="23">SUM(E41:W41)</f>
        <v>31819.55</v>
      </c>
      <c r="BH41" s="12">
        <f t="shared" ref="BH41:BH42" si="24">SUM(X41:AJ41)</f>
        <v>105.25</v>
      </c>
      <c r="BI41" s="12">
        <f t="shared" ref="BI41:BI42" si="25">SUM(AK41:BE41)</f>
        <v>35433.449999999997</v>
      </c>
    </row>
    <row r="42" spans="2:61" x14ac:dyDescent="0.25">
      <c r="C42" s="7">
        <v>351</v>
      </c>
      <c r="D42" s="7" t="s">
        <v>107</v>
      </c>
      <c r="E42" s="12">
        <v>13669.95</v>
      </c>
      <c r="F42" s="12">
        <v>22425.32</v>
      </c>
      <c r="G42" s="12">
        <v>5326.55</v>
      </c>
      <c r="H42" s="12">
        <v>0</v>
      </c>
      <c r="I42" s="12">
        <v>274299</v>
      </c>
      <c r="J42" s="12">
        <v>8240.7000000000007</v>
      </c>
      <c r="K42" s="12">
        <v>29873.4</v>
      </c>
      <c r="L42" s="12">
        <v>0</v>
      </c>
      <c r="M42" s="12">
        <v>94598.63</v>
      </c>
      <c r="N42" s="12">
        <v>0</v>
      </c>
      <c r="O42" s="12">
        <v>998890</v>
      </c>
      <c r="P42" s="12">
        <v>0</v>
      </c>
      <c r="Q42" s="12">
        <v>0</v>
      </c>
      <c r="R42" s="12">
        <v>0</v>
      </c>
      <c r="S42" s="12">
        <v>0</v>
      </c>
      <c r="T42" s="12">
        <v>0</v>
      </c>
      <c r="U42" s="12">
        <v>0</v>
      </c>
      <c r="V42" s="12">
        <v>0</v>
      </c>
      <c r="W42" s="12">
        <v>0</v>
      </c>
      <c r="X42" s="12">
        <v>28915.25</v>
      </c>
      <c r="Y42" s="12">
        <v>323.14999999999998</v>
      </c>
      <c r="Z42" s="12">
        <v>122878</v>
      </c>
      <c r="AA42" s="12">
        <v>12281.9</v>
      </c>
      <c r="AB42" s="12">
        <v>8938.7999999999993</v>
      </c>
      <c r="AC42" s="12">
        <v>12454</v>
      </c>
      <c r="AD42" s="12">
        <v>4699</v>
      </c>
      <c r="AE42" s="12">
        <v>16453.509999999998</v>
      </c>
      <c r="AF42" s="12">
        <v>0</v>
      </c>
      <c r="AG42" s="12">
        <v>32708.1</v>
      </c>
      <c r="AH42" s="12">
        <v>83053.600000000006</v>
      </c>
      <c r="AI42" s="12">
        <v>1481.35</v>
      </c>
      <c r="AJ42" s="12">
        <v>3000</v>
      </c>
      <c r="AK42" s="12">
        <v>2696.1</v>
      </c>
      <c r="AL42" s="12">
        <v>44906.47</v>
      </c>
      <c r="AM42" s="12">
        <v>8438.27</v>
      </c>
      <c r="AN42" s="12">
        <v>0</v>
      </c>
      <c r="AO42" s="12">
        <v>0</v>
      </c>
      <c r="AP42" s="12">
        <v>10.25</v>
      </c>
      <c r="AQ42" s="12">
        <v>1740</v>
      </c>
      <c r="AR42" s="12">
        <v>250436.1</v>
      </c>
      <c r="AS42" s="12">
        <v>114117.9</v>
      </c>
      <c r="AT42" s="12">
        <v>235280</v>
      </c>
      <c r="AU42" s="12">
        <v>1402.95</v>
      </c>
      <c r="AV42" s="12">
        <v>192938.14</v>
      </c>
      <c r="AW42" s="12">
        <v>16960</v>
      </c>
      <c r="AX42" s="12">
        <v>59.85</v>
      </c>
      <c r="AY42" s="12">
        <v>0</v>
      </c>
      <c r="AZ42" s="12">
        <v>1391.7</v>
      </c>
      <c r="BA42" s="12">
        <v>1144.44</v>
      </c>
      <c r="BB42" s="12">
        <v>71263.19</v>
      </c>
      <c r="BC42" s="12">
        <v>444.15</v>
      </c>
      <c r="BD42" s="12">
        <v>13630.41</v>
      </c>
      <c r="BE42" s="12">
        <v>10517.29</v>
      </c>
      <c r="BF42" s="12">
        <f t="shared" si="22"/>
        <v>2741887.4200000009</v>
      </c>
      <c r="BG42" s="12">
        <f t="shared" si="23"/>
        <v>1447323.55</v>
      </c>
      <c r="BH42" s="12">
        <f t="shared" si="24"/>
        <v>327186.65999999997</v>
      </c>
      <c r="BI42" s="12">
        <f t="shared" si="25"/>
        <v>967377.21</v>
      </c>
    </row>
    <row r="43" spans="2:61" x14ac:dyDescent="0.25">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row>
    <row r="44" spans="2:61" x14ac:dyDescent="0.25">
      <c r="B44" s="66">
        <v>36</v>
      </c>
      <c r="C44" s="66"/>
      <c r="D44" s="66" t="s">
        <v>109</v>
      </c>
      <c r="E44" s="67">
        <f>E45+E46+E47+E48+E49+E50+E51+E52</f>
        <v>2335972.77</v>
      </c>
      <c r="F44" s="67">
        <f t="shared" ref="F44:BI44" si="26">F45+F46+F47+F48+F49+F50+F51+F52</f>
        <v>715593.75</v>
      </c>
      <c r="G44" s="67">
        <f t="shared" si="26"/>
        <v>1029040.3899999999</v>
      </c>
      <c r="H44" s="67">
        <f t="shared" si="26"/>
        <v>1038611.89</v>
      </c>
      <c r="I44" s="67">
        <f t="shared" si="26"/>
        <v>7564693.6200000001</v>
      </c>
      <c r="J44" s="67">
        <f t="shared" si="26"/>
        <v>6645093.4699999997</v>
      </c>
      <c r="K44" s="67">
        <f t="shared" si="26"/>
        <v>6799431.96</v>
      </c>
      <c r="L44" s="67">
        <f t="shared" si="26"/>
        <v>42498373.259999998</v>
      </c>
      <c r="M44" s="67">
        <f t="shared" si="26"/>
        <v>3698764.9600000004</v>
      </c>
      <c r="N44" s="67">
        <f t="shared" si="26"/>
        <v>226310.37</v>
      </c>
      <c r="O44" s="67">
        <f t="shared" si="26"/>
        <v>16520054.24</v>
      </c>
      <c r="P44" s="67">
        <f t="shared" si="26"/>
        <v>1163642.27</v>
      </c>
      <c r="Q44" s="67">
        <f t="shared" si="26"/>
        <v>238741.24</v>
      </c>
      <c r="R44" s="67">
        <f t="shared" si="26"/>
        <v>826271.54</v>
      </c>
      <c r="S44" s="67">
        <f t="shared" si="26"/>
        <v>730027.09</v>
      </c>
      <c r="T44" s="67">
        <f t="shared" si="26"/>
        <v>1804506.9100000001</v>
      </c>
      <c r="U44" s="67">
        <f t="shared" si="26"/>
        <v>622173.63000000012</v>
      </c>
      <c r="V44" s="67">
        <f t="shared" si="26"/>
        <v>1224964.3600000001</v>
      </c>
      <c r="W44" s="67">
        <f t="shared" si="26"/>
        <v>6272146.9100000001</v>
      </c>
      <c r="X44" s="67">
        <f t="shared" si="26"/>
        <v>689609.38</v>
      </c>
      <c r="Y44" s="67">
        <f t="shared" si="26"/>
        <v>2903047.1100000003</v>
      </c>
      <c r="Z44" s="67">
        <f t="shared" si="26"/>
        <v>6938807.3800000008</v>
      </c>
      <c r="AA44" s="67">
        <f t="shared" si="26"/>
        <v>201028.64</v>
      </c>
      <c r="AB44" s="67">
        <f t="shared" si="26"/>
        <v>365964.76</v>
      </c>
      <c r="AC44" s="67">
        <f t="shared" si="26"/>
        <v>1307318.8599999999</v>
      </c>
      <c r="AD44" s="67">
        <f t="shared" si="26"/>
        <v>1891180.97</v>
      </c>
      <c r="AE44" s="67">
        <f t="shared" si="26"/>
        <v>1233639.25</v>
      </c>
      <c r="AF44" s="67">
        <f t="shared" si="26"/>
        <v>1362614.12</v>
      </c>
      <c r="AG44" s="67">
        <f t="shared" si="26"/>
        <v>5046760.97</v>
      </c>
      <c r="AH44" s="67">
        <f t="shared" si="26"/>
        <v>5912975.6200000001</v>
      </c>
      <c r="AI44" s="67">
        <f t="shared" si="26"/>
        <v>510873.09</v>
      </c>
      <c r="AJ44" s="67">
        <f t="shared" si="26"/>
        <v>339764.56</v>
      </c>
      <c r="AK44" s="67">
        <f t="shared" si="26"/>
        <v>5018555.8599999994</v>
      </c>
      <c r="AL44" s="67">
        <f t="shared" si="26"/>
        <v>2724299.72</v>
      </c>
      <c r="AM44" s="67">
        <f t="shared" si="26"/>
        <v>3063225.96</v>
      </c>
      <c r="AN44" s="67">
        <f t="shared" si="26"/>
        <v>263832.40000000002</v>
      </c>
      <c r="AO44" s="67">
        <f t="shared" si="26"/>
        <v>3922643.5999999996</v>
      </c>
      <c r="AP44" s="67">
        <f t="shared" si="26"/>
        <v>1932874.57</v>
      </c>
      <c r="AQ44" s="67">
        <f t="shared" si="26"/>
        <v>1532252.74</v>
      </c>
      <c r="AR44" s="67">
        <f t="shared" si="26"/>
        <v>3097346.57</v>
      </c>
      <c r="AS44" s="67">
        <f t="shared" si="26"/>
        <v>1931105.75</v>
      </c>
      <c r="AT44" s="67">
        <f t="shared" si="26"/>
        <v>2589642.35</v>
      </c>
      <c r="AU44" s="67">
        <f t="shared" si="26"/>
        <v>1107211.42</v>
      </c>
      <c r="AV44" s="67">
        <f t="shared" si="26"/>
        <v>6527264.6500000004</v>
      </c>
      <c r="AW44" s="67">
        <f t="shared" si="26"/>
        <v>1760269.63</v>
      </c>
      <c r="AX44" s="67">
        <f t="shared" si="26"/>
        <v>511957.8</v>
      </c>
      <c r="AY44" s="67">
        <f t="shared" si="26"/>
        <v>728225.70000000007</v>
      </c>
      <c r="AZ44" s="67">
        <f t="shared" si="26"/>
        <v>3902354.7399999998</v>
      </c>
      <c r="BA44" s="67">
        <f t="shared" si="26"/>
        <v>974904.38</v>
      </c>
      <c r="BB44" s="67">
        <f t="shared" si="26"/>
        <v>2631978.75</v>
      </c>
      <c r="BC44" s="67">
        <f t="shared" si="26"/>
        <v>552226.14</v>
      </c>
      <c r="BD44" s="67">
        <f t="shared" si="26"/>
        <v>19586888.559999999</v>
      </c>
      <c r="BE44" s="67">
        <f t="shared" si="26"/>
        <v>1477066.1</v>
      </c>
      <c r="BF44" s="67">
        <f t="shared" si="26"/>
        <v>196494126.72999996</v>
      </c>
      <c r="BG44" s="67">
        <f t="shared" si="26"/>
        <v>101954414.63</v>
      </c>
      <c r="BH44" s="67">
        <f t="shared" si="26"/>
        <v>28703584.710000001</v>
      </c>
      <c r="BI44" s="67">
        <f t="shared" si="26"/>
        <v>65836127.389999993</v>
      </c>
    </row>
    <row r="45" spans="2:61" x14ac:dyDescent="0.25">
      <c r="C45" s="7">
        <v>360</v>
      </c>
      <c r="D45" s="7" t="s">
        <v>110</v>
      </c>
      <c r="E45" s="12">
        <v>5823.35</v>
      </c>
      <c r="F45" s="12">
        <v>1540</v>
      </c>
      <c r="G45" s="12">
        <v>1480</v>
      </c>
      <c r="H45" s="12">
        <v>1020</v>
      </c>
      <c r="I45" s="12">
        <v>18033.75</v>
      </c>
      <c r="J45" s="12">
        <v>120560.35</v>
      </c>
      <c r="K45" s="12">
        <v>4420</v>
      </c>
      <c r="L45" s="12">
        <v>29125.75</v>
      </c>
      <c r="M45" s="12">
        <v>2720</v>
      </c>
      <c r="N45" s="12">
        <v>680</v>
      </c>
      <c r="O45" s="12">
        <v>93112.3</v>
      </c>
      <c r="P45" s="12">
        <v>1340</v>
      </c>
      <c r="Q45" s="12">
        <v>220</v>
      </c>
      <c r="R45" s="12">
        <v>1520</v>
      </c>
      <c r="S45" s="12">
        <v>1040</v>
      </c>
      <c r="T45" s="12">
        <v>6528.85</v>
      </c>
      <c r="U45" s="12">
        <v>920</v>
      </c>
      <c r="V45" s="12">
        <v>1440</v>
      </c>
      <c r="W45" s="12">
        <v>7280</v>
      </c>
      <c r="X45" s="12">
        <v>2510</v>
      </c>
      <c r="Y45" s="12">
        <v>2304.5500000000002</v>
      </c>
      <c r="Z45" s="12">
        <v>0</v>
      </c>
      <c r="AA45" s="12">
        <v>805</v>
      </c>
      <c r="AB45" s="12">
        <v>2104.5</v>
      </c>
      <c r="AC45" s="12">
        <v>4565</v>
      </c>
      <c r="AD45" s="12">
        <v>13286.15</v>
      </c>
      <c r="AE45" s="12">
        <v>4235</v>
      </c>
      <c r="AF45" s="12">
        <v>5080</v>
      </c>
      <c r="AG45" s="12">
        <v>18750</v>
      </c>
      <c r="AH45" s="12">
        <v>23240</v>
      </c>
      <c r="AI45" s="12">
        <v>2275</v>
      </c>
      <c r="AJ45" s="12">
        <v>3483.25</v>
      </c>
      <c r="AK45" s="12">
        <v>4525</v>
      </c>
      <c r="AL45" s="12">
        <v>4400</v>
      </c>
      <c r="AM45" s="12">
        <v>4665</v>
      </c>
      <c r="AN45" s="12">
        <v>936</v>
      </c>
      <c r="AO45" s="12">
        <v>1120</v>
      </c>
      <c r="AP45" s="12">
        <v>525</v>
      </c>
      <c r="AQ45" s="12">
        <v>1800</v>
      </c>
      <c r="AR45" s="12">
        <v>6475</v>
      </c>
      <c r="AS45" s="12">
        <v>2410</v>
      </c>
      <c r="AT45" s="12">
        <v>3120</v>
      </c>
      <c r="AU45" s="12">
        <v>1585</v>
      </c>
      <c r="AV45" s="12">
        <v>6000</v>
      </c>
      <c r="AW45" s="12">
        <v>1760</v>
      </c>
      <c r="AX45" s="12">
        <v>0</v>
      </c>
      <c r="AY45" s="12">
        <v>70</v>
      </c>
      <c r="AZ45" s="12">
        <v>4945</v>
      </c>
      <c r="BA45" s="12">
        <v>3275</v>
      </c>
      <c r="BB45" s="12">
        <v>6885</v>
      </c>
      <c r="BC45" s="12">
        <v>401.9</v>
      </c>
      <c r="BD45" s="12">
        <v>17530</v>
      </c>
      <c r="BE45" s="12">
        <v>2240</v>
      </c>
      <c r="BF45" s="12">
        <f t="shared" ref="BF45:BF52" si="27">SUM(E45:BE45)</f>
        <v>456110.7</v>
      </c>
      <c r="BG45" s="12">
        <f t="shared" ref="BG45:BG52" si="28">SUM(E45:W45)</f>
        <v>298804.34999999998</v>
      </c>
      <c r="BH45" s="12">
        <f t="shared" ref="BH45:BH52" si="29">SUM(X45:AJ45)</f>
        <v>82638.45</v>
      </c>
      <c r="BI45" s="12">
        <f t="shared" ref="BI45:BI52" si="30">SUM(AK45:BE45)</f>
        <v>74667.899999999994</v>
      </c>
    </row>
    <row r="46" spans="2:61" x14ac:dyDescent="0.25">
      <c r="C46" s="7">
        <v>361</v>
      </c>
      <c r="D46" s="7" t="s">
        <v>111</v>
      </c>
      <c r="E46" s="12">
        <v>1730003.38</v>
      </c>
      <c r="F46" s="12">
        <v>476459.45</v>
      </c>
      <c r="G46" s="12">
        <v>836856.94</v>
      </c>
      <c r="H46" s="12">
        <v>743646.4</v>
      </c>
      <c r="I46" s="12">
        <v>4724297.7300000004</v>
      </c>
      <c r="J46" s="12">
        <v>4308067.6900000004</v>
      </c>
      <c r="K46" s="12">
        <v>4834795.41</v>
      </c>
      <c r="L46" s="12">
        <v>18497661.68</v>
      </c>
      <c r="M46" s="12">
        <v>2546451.89</v>
      </c>
      <c r="N46" s="12">
        <v>141150.35</v>
      </c>
      <c r="O46" s="12">
        <v>11812215.800000001</v>
      </c>
      <c r="P46" s="12">
        <v>869096.42</v>
      </c>
      <c r="Q46" s="12">
        <v>190263.44</v>
      </c>
      <c r="R46" s="12">
        <v>655084.04</v>
      </c>
      <c r="S46" s="12">
        <v>545345.99</v>
      </c>
      <c r="T46" s="12">
        <v>1491743.46</v>
      </c>
      <c r="U46" s="12">
        <v>444383.69</v>
      </c>
      <c r="V46" s="12">
        <v>760702.18</v>
      </c>
      <c r="W46" s="12">
        <v>4341798.79</v>
      </c>
      <c r="X46" s="12">
        <v>465871.25</v>
      </c>
      <c r="Y46" s="12">
        <v>2062068.01</v>
      </c>
      <c r="Z46" s="12">
        <v>2369758.9</v>
      </c>
      <c r="AA46" s="12">
        <v>160288</v>
      </c>
      <c r="AB46" s="12">
        <v>260539.86</v>
      </c>
      <c r="AC46" s="12">
        <v>965885.45</v>
      </c>
      <c r="AD46" s="12">
        <v>1405504.52</v>
      </c>
      <c r="AE46" s="12">
        <v>798007.45</v>
      </c>
      <c r="AF46" s="12">
        <v>994346</v>
      </c>
      <c r="AG46" s="12">
        <v>3364191.33</v>
      </c>
      <c r="AH46" s="12">
        <v>3178730.67</v>
      </c>
      <c r="AI46" s="12">
        <v>397076.26</v>
      </c>
      <c r="AJ46" s="12">
        <v>214527.1</v>
      </c>
      <c r="AK46" s="12">
        <v>4004133.76</v>
      </c>
      <c r="AL46" s="12">
        <v>1877001.12</v>
      </c>
      <c r="AM46" s="12">
        <v>2191741.71</v>
      </c>
      <c r="AN46" s="12">
        <v>133400.9</v>
      </c>
      <c r="AO46" s="12">
        <v>1277343.94</v>
      </c>
      <c r="AP46" s="12">
        <v>1350814.35</v>
      </c>
      <c r="AQ46" s="12">
        <v>1192764.99</v>
      </c>
      <c r="AR46" s="12">
        <v>2241368.4</v>
      </c>
      <c r="AS46" s="12">
        <v>1507807.25</v>
      </c>
      <c r="AT46" s="12">
        <v>1833219.97</v>
      </c>
      <c r="AU46" s="12">
        <v>567637.02</v>
      </c>
      <c r="AV46" s="12">
        <v>5212640.25</v>
      </c>
      <c r="AW46" s="12">
        <v>1373001.13</v>
      </c>
      <c r="AX46" s="12">
        <v>318760.3</v>
      </c>
      <c r="AY46" s="12">
        <v>537273.80000000005</v>
      </c>
      <c r="AZ46" s="12">
        <v>3042432.09</v>
      </c>
      <c r="BA46" s="12">
        <v>770575.38</v>
      </c>
      <c r="BB46" s="12">
        <v>1997511.85</v>
      </c>
      <c r="BC46" s="12">
        <v>429756.49</v>
      </c>
      <c r="BD46" s="12">
        <v>9100282.7799999993</v>
      </c>
      <c r="BE46" s="12">
        <v>1071138.3</v>
      </c>
      <c r="BF46" s="12">
        <f t="shared" si="27"/>
        <v>118617425.30999997</v>
      </c>
      <c r="BG46" s="12">
        <f t="shared" si="28"/>
        <v>59950024.729999997</v>
      </c>
      <c r="BH46" s="12">
        <f t="shared" si="29"/>
        <v>16636794.799999999</v>
      </c>
      <c r="BI46" s="12">
        <f t="shared" si="30"/>
        <v>42030605.779999994</v>
      </c>
    </row>
    <row r="47" spans="2:61" x14ac:dyDescent="0.25">
      <c r="C47" s="7">
        <v>362</v>
      </c>
      <c r="D47" s="7" t="s">
        <v>112</v>
      </c>
      <c r="E47" s="12">
        <v>38535</v>
      </c>
      <c r="F47" s="12">
        <v>6399</v>
      </c>
      <c r="G47" s="12">
        <v>0</v>
      </c>
      <c r="H47" s="12">
        <v>0</v>
      </c>
      <c r="I47" s="12">
        <v>144150</v>
      </c>
      <c r="J47" s="12">
        <v>132354</v>
      </c>
      <c r="K47" s="12">
        <v>212945</v>
      </c>
      <c r="L47" s="12">
        <v>426800.5</v>
      </c>
      <c r="M47" s="12">
        <v>54924</v>
      </c>
      <c r="N47" s="12">
        <v>599.97</v>
      </c>
      <c r="O47" s="12">
        <v>226089</v>
      </c>
      <c r="P47" s="12">
        <v>0</v>
      </c>
      <c r="Q47" s="12">
        <v>3413</v>
      </c>
      <c r="R47" s="12">
        <v>0</v>
      </c>
      <c r="S47" s="12">
        <v>0</v>
      </c>
      <c r="T47" s="12">
        <v>27562</v>
      </c>
      <c r="U47" s="12">
        <v>4037</v>
      </c>
      <c r="V47" s="12">
        <v>17492</v>
      </c>
      <c r="W47" s="12">
        <v>0</v>
      </c>
      <c r="X47" s="12">
        <v>0</v>
      </c>
      <c r="Y47" s="12">
        <v>0</v>
      </c>
      <c r="Z47" s="12">
        <v>3565766</v>
      </c>
      <c r="AA47" s="12">
        <v>0</v>
      </c>
      <c r="AB47" s="12">
        <v>0</v>
      </c>
      <c r="AC47" s="12">
        <v>0</v>
      </c>
      <c r="AD47" s="12">
        <v>0</v>
      </c>
      <c r="AE47" s="12">
        <v>0</v>
      </c>
      <c r="AF47" s="12">
        <v>117790</v>
      </c>
      <c r="AG47" s="12">
        <v>314160</v>
      </c>
      <c r="AH47" s="12">
        <v>0</v>
      </c>
      <c r="AI47" s="12">
        <v>0</v>
      </c>
      <c r="AJ47" s="12">
        <v>0</v>
      </c>
      <c r="AK47" s="12">
        <v>0</v>
      </c>
      <c r="AL47" s="12">
        <v>110521</v>
      </c>
      <c r="AM47" s="12">
        <v>0</v>
      </c>
      <c r="AN47" s="12">
        <v>0</v>
      </c>
      <c r="AO47" s="12">
        <v>1442298</v>
      </c>
      <c r="AP47" s="12">
        <v>10339</v>
      </c>
      <c r="AQ47" s="12">
        <v>20616</v>
      </c>
      <c r="AR47" s="12">
        <v>0</v>
      </c>
      <c r="AS47" s="12">
        <v>0</v>
      </c>
      <c r="AT47" s="12">
        <v>0</v>
      </c>
      <c r="AU47" s="12">
        <v>341674</v>
      </c>
      <c r="AV47" s="12">
        <v>0</v>
      </c>
      <c r="AW47" s="12">
        <v>0</v>
      </c>
      <c r="AX47" s="12">
        <v>0</v>
      </c>
      <c r="AY47" s="12">
        <v>0</v>
      </c>
      <c r="AZ47" s="12">
        <v>54004</v>
      </c>
      <c r="BA47" s="12">
        <v>6034</v>
      </c>
      <c r="BB47" s="12">
        <v>8093</v>
      </c>
      <c r="BC47" s="12">
        <v>0</v>
      </c>
      <c r="BD47" s="12">
        <v>679030</v>
      </c>
      <c r="BE47" s="12">
        <v>0</v>
      </c>
      <c r="BF47" s="12">
        <f t="shared" si="27"/>
        <v>7965625.4699999997</v>
      </c>
      <c r="BG47" s="12">
        <f t="shared" si="28"/>
        <v>1295300.47</v>
      </c>
      <c r="BH47" s="12">
        <f t="shared" si="29"/>
        <v>3997716</v>
      </c>
      <c r="BI47" s="12">
        <f t="shared" si="30"/>
        <v>2672609</v>
      </c>
    </row>
    <row r="48" spans="2:61" x14ac:dyDescent="0.25">
      <c r="C48" s="7">
        <v>363</v>
      </c>
      <c r="D48" s="7" t="s">
        <v>113</v>
      </c>
      <c r="E48" s="12">
        <v>553705.75</v>
      </c>
      <c r="F48" s="12">
        <v>229359.3</v>
      </c>
      <c r="G48" s="12">
        <v>190703.45</v>
      </c>
      <c r="H48" s="12">
        <v>254348.9</v>
      </c>
      <c r="I48" s="12">
        <v>2676470.34</v>
      </c>
      <c r="J48" s="12">
        <v>2084111.43</v>
      </c>
      <c r="K48" s="12">
        <v>1602594.05</v>
      </c>
      <c r="L48" s="12">
        <v>18921066.079999998</v>
      </c>
      <c r="M48" s="12">
        <v>848719.3</v>
      </c>
      <c r="N48" s="12">
        <v>83880.05</v>
      </c>
      <c r="O48" s="12">
        <v>4299771.7</v>
      </c>
      <c r="P48" s="12">
        <v>293205.84999999998</v>
      </c>
      <c r="Q48" s="12">
        <v>44844.800000000003</v>
      </c>
      <c r="R48" s="12">
        <v>166022.5</v>
      </c>
      <c r="S48" s="12">
        <v>183641.1</v>
      </c>
      <c r="T48" s="12">
        <v>278672.59999999998</v>
      </c>
      <c r="U48" s="12">
        <v>161977.39000000001</v>
      </c>
      <c r="V48" s="12">
        <v>445330.18</v>
      </c>
      <c r="W48" s="12">
        <v>1790040.12</v>
      </c>
      <c r="X48" s="12">
        <v>221228.13</v>
      </c>
      <c r="Y48" s="12">
        <v>831015.55</v>
      </c>
      <c r="Z48" s="12">
        <v>990448.48</v>
      </c>
      <c r="AA48" s="12">
        <v>39935.64</v>
      </c>
      <c r="AB48" s="12">
        <v>103320.4</v>
      </c>
      <c r="AC48" s="12">
        <v>336868.41</v>
      </c>
      <c r="AD48" s="12">
        <v>449996.25</v>
      </c>
      <c r="AE48" s="12">
        <v>427607.8</v>
      </c>
      <c r="AF48" s="12">
        <v>237845.62</v>
      </c>
      <c r="AG48" s="12">
        <v>1334503.6399999999</v>
      </c>
      <c r="AH48" s="12">
        <v>2689683.95</v>
      </c>
      <c r="AI48" s="12">
        <v>110360.83</v>
      </c>
      <c r="AJ48" s="12">
        <v>121754.21</v>
      </c>
      <c r="AK48" s="12">
        <v>1009897.1</v>
      </c>
      <c r="AL48" s="12">
        <v>732377.59999999998</v>
      </c>
      <c r="AM48" s="12">
        <v>864965.25</v>
      </c>
      <c r="AN48" s="12">
        <v>129495.5</v>
      </c>
      <c r="AO48" s="12">
        <v>1201881.6599999999</v>
      </c>
      <c r="AP48" s="12">
        <v>570460.22</v>
      </c>
      <c r="AQ48" s="12">
        <v>310915.75</v>
      </c>
      <c r="AR48" s="12">
        <v>842447.17</v>
      </c>
      <c r="AS48" s="12">
        <v>413947.5</v>
      </c>
      <c r="AT48" s="12">
        <v>753302.38</v>
      </c>
      <c r="AU48" s="12">
        <v>195947.4</v>
      </c>
      <c r="AV48" s="12">
        <v>1308624.3999999999</v>
      </c>
      <c r="AW48" s="12">
        <v>384875.5</v>
      </c>
      <c r="AX48" s="12">
        <v>191334.5</v>
      </c>
      <c r="AY48" s="12">
        <v>187735.9</v>
      </c>
      <c r="AZ48" s="12">
        <v>786376.65</v>
      </c>
      <c r="BA48" s="12">
        <v>194701</v>
      </c>
      <c r="BB48" s="12">
        <v>618405.9</v>
      </c>
      <c r="BC48" s="12">
        <v>120230.75</v>
      </c>
      <c r="BD48" s="12">
        <v>9790045.7799999993</v>
      </c>
      <c r="BE48" s="12">
        <v>398728.8</v>
      </c>
      <c r="BF48" s="12">
        <f t="shared" si="27"/>
        <v>64009730.509999983</v>
      </c>
      <c r="BG48" s="12">
        <f t="shared" si="28"/>
        <v>35108464.890000001</v>
      </c>
      <c r="BH48" s="12">
        <f t="shared" si="29"/>
        <v>7894568.9100000001</v>
      </c>
      <c r="BI48" s="12">
        <f t="shared" si="30"/>
        <v>21006696.710000001</v>
      </c>
    </row>
    <row r="49" spans="2:61" x14ac:dyDescent="0.25">
      <c r="C49" s="7">
        <v>364</v>
      </c>
      <c r="D49" s="7" t="s">
        <v>114</v>
      </c>
      <c r="E49" s="12">
        <v>0</v>
      </c>
      <c r="F49" s="12">
        <v>0</v>
      </c>
      <c r="G49" s="12">
        <v>0</v>
      </c>
      <c r="H49" s="12">
        <v>0</v>
      </c>
      <c r="I49" s="12">
        <v>0</v>
      </c>
      <c r="J49" s="12">
        <v>0</v>
      </c>
      <c r="K49" s="12">
        <v>0</v>
      </c>
      <c r="L49" s="12">
        <v>0</v>
      </c>
      <c r="M49" s="12">
        <v>0</v>
      </c>
      <c r="N49" s="12">
        <v>0</v>
      </c>
      <c r="O49" s="12">
        <v>0</v>
      </c>
      <c r="P49" s="12">
        <v>0</v>
      </c>
      <c r="Q49" s="12">
        <v>0</v>
      </c>
      <c r="R49" s="12">
        <v>0</v>
      </c>
      <c r="S49" s="12">
        <v>0</v>
      </c>
      <c r="T49" s="12">
        <v>0</v>
      </c>
      <c r="U49" s="12">
        <v>0</v>
      </c>
      <c r="V49" s="12">
        <v>0</v>
      </c>
      <c r="W49" s="12">
        <v>0</v>
      </c>
      <c r="X49" s="12">
        <v>0</v>
      </c>
      <c r="Y49" s="12">
        <v>0</v>
      </c>
      <c r="Z49" s="12">
        <v>0</v>
      </c>
      <c r="AA49" s="12">
        <v>0</v>
      </c>
      <c r="AB49" s="12">
        <v>0</v>
      </c>
      <c r="AC49" s="12">
        <v>0</v>
      </c>
      <c r="AD49" s="12">
        <v>0</v>
      </c>
      <c r="AE49" s="12">
        <v>0</v>
      </c>
      <c r="AF49" s="12">
        <v>0</v>
      </c>
      <c r="AG49" s="12">
        <v>0</v>
      </c>
      <c r="AH49" s="12">
        <v>0</v>
      </c>
      <c r="AI49" s="12">
        <v>0</v>
      </c>
      <c r="AJ49" s="12">
        <v>0</v>
      </c>
      <c r="AK49" s="12">
        <v>0</v>
      </c>
      <c r="AL49" s="12">
        <v>0</v>
      </c>
      <c r="AM49" s="12">
        <v>0</v>
      </c>
      <c r="AN49" s="12">
        <v>0</v>
      </c>
      <c r="AO49" s="12">
        <v>0</v>
      </c>
      <c r="AP49" s="12">
        <v>0</v>
      </c>
      <c r="AQ49" s="12">
        <v>0</v>
      </c>
      <c r="AR49" s="12">
        <v>0</v>
      </c>
      <c r="AS49" s="12">
        <v>0</v>
      </c>
      <c r="AT49" s="12">
        <v>0</v>
      </c>
      <c r="AU49" s="12">
        <v>0</v>
      </c>
      <c r="AV49" s="12">
        <v>0</v>
      </c>
      <c r="AW49" s="12">
        <v>0</v>
      </c>
      <c r="AX49" s="12">
        <v>0</v>
      </c>
      <c r="AY49" s="12">
        <v>0</v>
      </c>
      <c r="AZ49" s="12">
        <v>0</v>
      </c>
      <c r="BA49" s="12">
        <v>0</v>
      </c>
      <c r="BB49" s="12">
        <v>0</v>
      </c>
      <c r="BC49" s="12">
        <v>0</v>
      </c>
      <c r="BD49" s="12">
        <v>0</v>
      </c>
      <c r="BE49" s="12">
        <v>0</v>
      </c>
      <c r="BF49" s="12">
        <f t="shared" si="27"/>
        <v>0</v>
      </c>
      <c r="BG49" s="12">
        <f t="shared" si="28"/>
        <v>0</v>
      </c>
      <c r="BH49" s="12">
        <f t="shared" si="29"/>
        <v>0</v>
      </c>
      <c r="BI49" s="12">
        <f t="shared" si="30"/>
        <v>0</v>
      </c>
    </row>
    <row r="50" spans="2:61" x14ac:dyDescent="0.25">
      <c r="C50" s="7">
        <v>365</v>
      </c>
      <c r="D50" s="7" t="s">
        <v>115</v>
      </c>
      <c r="E50" s="12">
        <v>0</v>
      </c>
      <c r="F50" s="12">
        <v>0</v>
      </c>
      <c r="G50" s="12">
        <v>0</v>
      </c>
      <c r="H50" s="12">
        <v>0</v>
      </c>
      <c r="I50" s="12">
        <v>0</v>
      </c>
      <c r="J50" s="12">
        <v>0</v>
      </c>
      <c r="K50" s="12">
        <v>0</v>
      </c>
      <c r="L50" s="12">
        <v>0</v>
      </c>
      <c r="M50" s="12">
        <v>0</v>
      </c>
      <c r="N50" s="12">
        <v>0</v>
      </c>
      <c r="O50" s="12">
        <v>0</v>
      </c>
      <c r="P50" s="12">
        <v>0</v>
      </c>
      <c r="Q50" s="12">
        <v>0</v>
      </c>
      <c r="R50" s="12">
        <v>0</v>
      </c>
      <c r="S50" s="12">
        <v>0</v>
      </c>
      <c r="T50" s="12">
        <v>0</v>
      </c>
      <c r="U50" s="12">
        <v>8100</v>
      </c>
      <c r="V50" s="12">
        <v>0</v>
      </c>
      <c r="W50" s="12">
        <v>0</v>
      </c>
      <c r="X50" s="12">
        <v>0</v>
      </c>
      <c r="Y50" s="12">
        <v>0</v>
      </c>
      <c r="Z50" s="12">
        <v>0</v>
      </c>
      <c r="AA50" s="12">
        <v>0</v>
      </c>
      <c r="AB50" s="12">
        <v>0</v>
      </c>
      <c r="AC50" s="12">
        <v>0</v>
      </c>
      <c r="AD50" s="12">
        <v>0</v>
      </c>
      <c r="AE50" s="12">
        <v>0</v>
      </c>
      <c r="AF50" s="12">
        <v>0</v>
      </c>
      <c r="AG50" s="12">
        <v>0</v>
      </c>
      <c r="AH50" s="12">
        <v>0</v>
      </c>
      <c r="AI50" s="12">
        <v>0</v>
      </c>
      <c r="AJ50" s="12">
        <v>0</v>
      </c>
      <c r="AK50" s="12">
        <v>0</v>
      </c>
      <c r="AL50" s="12">
        <v>0</v>
      </c>
      <c r="AM50" s="12">
        <v>0</v>
      </c>
      <c r="AN50" s="12">
        <v>0</v>
      </c>
      <c r="AO50" s="12">
        <v>0</v>
      </c>
      <c r="AP50" s="12">
        <v>0</v>
      </c>
      <c r="AQ50" s="12">
        <v>0</v>
      </c>
      <c r="AR50" s="12">
        <v>0</v>
      </c>
      <c r="AS50" s="12">
        <v>0</v>
      </c>
      <c r="AT50" s="12">
        <v>0</v>
      </c>
      <c r="AU50" s="12">
        <v>0</v>
      </c>
      <c r="AV50" s="12">
        <v>0</v>
      </c>
      <c r="AW50" s="12">
        <v>0</v>
      </c>
      <c r="AX50" s="12">
        <v>0</v>
      </c>
      <c r="AY50" s="12">
        <v>0</v>
      </c>
      <c r="AZ50" s="12">
        <v>13000</v>
      </c>
      <c r="BA50" s="12">
        <v>0</v>
      </c>
      <c r="BB50" s="12">
        <v>0</v>
      </c>
      <c r="BC50" s="12">
        <v>0</v>
      </c>
      <c r="BD50" s="12">
        <v>0</v>
      </c>
      <c r="BE50" s="12">
        <v>0</v>
      </c>
      <c r="BF50" s="12">
        <f t="shared" si="27"/>
        <v>21100</v>
      </c>
      <c r="BG50" s="12">
        <f t="shared" si="28"/>
        <v>8100</v>
      </c>
      <c r="BH50" s="12">
        <f t="shared" si="29"/>
        <v>0</v>
      </c>
      <c r="BI50" s="12">
        <f t="shared" si="30"/>
        <v>13000</v>
      </c>
    </row>
    <row r="51" spans="2:61" x14ac:dyDescent="0.25">
      <c r="C51" s="7">
        <v>366</v>
      </c>
      <c r="D51" s="7" t="s">
        <v>116</v>
      </c>
      <c r="E51" s="12">
        <v>7905.29</v>
      </c>
      <c r="F51" s="12">
        <v>0</v>
      </c>
      <c r="G51" s="12">
        <v>0</v>
      </c>
      <c r="H51" s="12">
        <v>0</v>
      </c>
      <c r="I51" s="12">
        <v>1741.8</v>
      </c>
      <c r="J51" s="12">
        <v>0</v>
      </c>
      <c r="K51" s="12">
        <v>144677.5</v>
      </c>
      <c r="L51" s="12">
        <v>0</v>
      </c>
      <c r="M51" s="12">
        <v>10700</v>
      </c>
      <c r="N51" s="12">
        <v>0</v>
      </c>
      <c r="O51" s="12">
        <v>71002.240000000005</v>
      </c>
      <c r="P51" s="12">
        <v>0</v>
      </c>
      <c r="Q51" s="12">
        <v>0</v>
      </c>
      <c r="R51" s="12">
        <v>0</v>
      </c>
      <c r="S51" s="12">
        <v>0</v>
      </c>
      <c r="T51" s="12">
        <v>0</v>
      </c>
      <c r="U51" s="12">
        <v>667.55</v>
      </c>
      <c r="V51" s="12">
        <v>0</v>
      </c>
      <c r="W51" s="12">
        <v>133028</v>
      </c>
      <c r="X51" s="12">
        <v>0</v>
      </c>
      <c r="Y51" s="12">
        <v>0</v>
      </c>
      <c r="Z51" s="12">
        <v>0</v>
      </c>
      <c r="AA51" s="12">
        <v>0</v>
      </c>
      <c r="AB51" s="12">
        <v>0</v>
      </c>
      <c r="AC51" s="12">
        <v>0</v>
      </c>
      <c r="AD51" s="12">
        <v>0</v>
      </c>
      <c r="AE51" s="12">
        <v>0</v>
      </c>
      <c r="AF51" s="12">
        <v>0</v>
      </c>
      <c r="AG51" s="12">
        <v>0</v>
      </c>
      <c r="AH51" s="12">
        <v>0</v>
      </c>
      <c r="AI51" s="12">
        <v>0</v>
      </c>
      <c r="AJ51" s="12">
        <v>0</v>
      </c>
      <c r="AK51" s="12">
        <v>0</v>
      </c>
      <c r="AL51" s="12">
        <v>0</v>
      </c>
      <c r="AM51" s="12">
        <v>0</v>
      </c>
      <c r="AN51" s="12">
        <v>0</v>
      </c>
      <c r="AO51" s="12">
        <v>0</v>
      </c>
      <c r="AP51" s="12">
        <v>736</v>
      </c>
      <c r="AQ51" s="12">
        <v>567</v>
      </c>
      <c r="AR51" s="12">
        <v>0</v>
      </c>
      <c r="AS51" s="12">
        <v>422</v>
      </c>
      <c r="AT51" s="12">
        <v>0</v>
      </c>
      <c r="AU51" s="12">
        <v>338</v>
      </c>
      <c r="AV51" s="12">
        <v>0</v>
      </c>
      <c r="AW51" s="12">
        <v>633</v>
      </c>
      <c r="AX51" s="12">
        <v>207</v>
      </c>
      <c r="AY51" s="12">
        <v>311</v>
      </c>
      <c r="AZ51" s="12">
        <v>1597</v>
      </c>
      <c r="BA51" s="12">
        <v>319</v>
      </c>
      <c r="BB51" s="12">
        <v>1083</v>
      </c>
      <c r="BC51" s="12">
        <v>235</v>
      </c>
      <c r="BD51" s="12">
        <v>0</v>
      </c>
      <c r="BE51" s="12">
        <v>0</v>
      </c>
      <c r="BF51" s="12">
        <f t="shared" si="27"/>
        <v>376170.38</v>
      </c>
      <c r="BG51" s="12">
        <f t="shared" si="28"/>
        <v>369722.38</v>
      </c>
      <c r="BH51" s="12">
        <f t="shared" si="29"/>
        <v>0</v>
      </c>
      <c r="BI51" s="12">
        <f t="shared" si="30"/>
        <v>6448</v>
      </c>
    </row>
    <row r="52" spans="2:61" x14ac:dyDescent="0.25">
      <c r="C52" s="7">
        <v>369</v>
      </c>
      <c r="D52" s="7" t="s">
        <v>117</v>
      </c>
      <c r="E52" s="12">
        <v>0</v>
      </c>
      <c r="F52" s="12">
        <v>1836</v>
      </c>
      <c r="G52" s="12">
        <v>0</v>
      </c>
      <c r="H52" s="12">
        <v>39596.589999999997</v>
      </c>
      <c r="I52" s="12">
        <v>0</v>
      </c>
      <c r="J52" s="12">
        <v>0</v>
      </c>
      <c r="K52" s="12">
        <v>0</v>
      </c>
      <c r="L52" s="12">
        <v>4623719.25</v>
      </c>
      <c r="M52" s="12">
        <v>235249.77</v>
      </c>
      <c r="N52" s="12">
        <v>0</v>
      </c>
      <c r="O52" s="12">
        <v>17863.2</v>
      </c>
      <c r="P52" s="12">
        <v>0</v>
      </c>
      <c r="Q52" s="12">
        <v>0</v>
      </c>
      <c r="R52" s="12">
        <v>3645</v>
      </c>
      <c r="S52" s="12">
        <v>0</v>
      </c>
      <c r="T52" s="12">
        <v>0</v>
      </c>
      <c r="U52" s="12">
        <v>2088</v>
      </c>
      <c r="V52" s="12">
        <v>0</v>
      </c>
      <c r="W52" s="12">
        <v>0</v>
      </c>
      <c r="X52" s="12">
        <v>0</v>
      </c>
      <c r="Y52" s="12">
        <v>7659</v>
      </c>
      <c r="Z52" s="12">
        <v>12834</v>
      </c>
      <c r="AA52" s="12">
        <v>0</v>
      </c>
      <c r="AB52" s="12">
        <v>0</v>
      </c>
      <c r="AC52" s="12">
        <v>0</v>
      </c>
      <c r="AD52" s="12">
        <v>22394.05</v>
      </c>
      <c r="AE52" s="12">
        <v>3789</v>
      </c>
      <c r="AF52" s="12">
        <v>7552.5</v>
      </c>
      <c r="AG52" s="12">
        <v>15156</v>
      </c>
      <c r="AH52" s="12">
        <v>21321</v>
      </c>
      <c r="AI52" s="12">
        <v>1161</v>
      </c>
      <c r="AJ52" s="12">
        <v>0</v>
      </c>
      <c r="AK52" s="12">
        <v>0</v>
      </c>
      <c r="AL52" s="12">
        <v>0</v>
      </c>
      <c r="AM52" s="12">
        <v>1854</v>
      </c>
      <c r="AN52" s="12">
        <v>0</v>
      </c>
      <c r="AO52" s="12">
        <v>0</v>
      </c>
      <c r="AP52" s="12">
        <v>0</v>
      </c>
      <c r="AQ52" s="12">
        <v>5589</v>
      </c>
      <c r="AR52" s="12">
        <v>7056</v>
      </c>
      <c r="AS52" s="12">
        <v>6519</v>
      </c>
      <c r="AT52" s="12">
        <v>0</v>
      </c>
      <c r="AU52" s="12">
        <v>30</v>
      </c>
      <c r="AV52" s="12">
        <v>0</v>
      </c>
      <c r="AW52" s="12">
        <v>0</v>
      </c>
      <c r="AX52" s="12">
        <v>1656</v>
      </c>
      <c r="AY52" s="12">
        <v>2835</v>
      </c>
      <c r="AZ52" s="12">
        <v>0</v>
      </c>
      <c r="BA52" s="12">
        <v>0</v>
      </c>
      <c r="BB52" s="12">
        <v>0</v>
      </c>
      <c r="BC52" s="12">
        <v>1602</v>
      </c>
      <c r="BD52" s="12">
        <v>0</v>
      </c>
      <c r="BE52" s="12">
        <v>4959</v>
      </c>
      <c r="BF52" s="12">
        <f t="shared" si="27"/>
        <v>5047964.3599999994</v>
      </c>
      <c r="BG52" s="12">
        <f t="shared" si="28"/>
        <v>4923997.8099999996</v>
      </c>
      <c r="BH52" s="12">
        <f t="shared" si="29"/>
        <v>91866.55</v>
      </c>
      <c r="BI52" s="12">
        <f t="shared" si="30"/>
        <v>32100</v>
      </c>
    </row>
    <row r="53" spans="2:61" x14ac:dyDescent="0.25">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row>
    <row r="54" spans="2:61" x14ac:dyDescent="0.25">
      <c r="B54" s="66">
        <v>37</v>
      </c>
      <c r="C54" s="66"/>
      <c r="D54" s="66" t="s">
        <v>118</v>
      </c>
      <c r="E54" s="67">
        <f>E55</f>
        <v>0</v>
      </c>
      <c r="F54" s="67">
        <f t="shared" ref="F54:BI54" si="31">F55</f>
        <v>0</v>
      </c>
      <c r="G54" s="67">
        <f t="shared" si="31"/>
        <v>0</v>
      </c>
      <c r="H54" s="67">
        <f t="shared" si="31"/>
        <v>0</v>
      </c>
      <c r="I54" s="67">
        <f t="shared" si="31"/>
        <v>0</v>
      </c>
      <c r="J54" s="67">
        <f t="shared" si="31"/>
        <v>0</v>
      </c>
      <c r="K54" s="67">
        <f t="shared" si="31"/>
        <v>0</v>
      </c>
      <c r="L54" s="67">
        <f t="shared" si="31"/>
        <v>0</v>
      </c>
      <c r="M54" s="67">
        <f t="shared" si="31"/>
        <v>0</v>
      </c>
      <c r="N54" s="67">
        <f t="shared" si="31"/>
        <v>0</v>
      </c>
      <c r="O54" s="67">
        <f t="shared" si="31"/>
        <v>0</v>
      </c>
      <c r="P54" s="67">
        <f t="shared" si="31"/>
        <v>0</v>
      </c>
      <c r="Q54" s="67">
        <f t="shared" si="31"/>
        <v>0</v>
      </c>
      <c r="R54" s="67">
        <f t="shared" si="31"/>
        <v>0</v>
      </c>
      <c r="S54" s="67">
        <f t="shared" si="31"/>
        <v>0</v>
      </c>
      <c r="T54" s="67">
        <f t="shared" si="31"/>
        <v>0</v>
      </c>
      <c r="U54" s="67">
        <f t="shared" si="31"/>
        <v>0</v>
      </c>
      <c r="V54" s="67">
        <f t="shared" si="31"/>
        <v>0</v>
      </c>
      <c r="W54" s="67">
        <f t="shared" si="31"/>
        <v>0</v>
      </c>
      <c r="X54" s="67">
        <f t="shared" si="31"/>
        <v>429761.85</v>
      </c>
      <c r="Y54" s="67">
        <f t="shared" si="31"/>
        <v>0</v>
      </c>
      <c r="Z54" s="67">
        <f t="shared" si="31"/>
        <v>428988.05</v>
      </c>
      <c r="AA54" s="67">
        <f t="shared" si="31"/>
        <v>159801.5</v>
      </c>
      <c r="AB54" s="67">
        <f t="shared" si="31"/>
        <v>177389.45</v>
      </c>
      <c r="AC54" s="67">
        <f t="shared" si="31"/>
        <v>157194.6</v>
      </c>
      <c r="AD54" s="67">
        <f t="shared" si="31"/>
        <v>0</v>
      </c>
      <c r="AE54" s="67">
        <f t="shared" si="31"/>
        <v>239155.5</v>
      </c>
      <c r="AF54" s="67">
        <f t="shared" si="31"/>
        <v>593828</v>
      </c>
      <c r="AG54" s="67">
        <f t="shared" si="31"/>
        <v>388007.35</v>
      </c>
      <c r="AH54" s="67">
        <f t="shared" si="31"/>
        <v>0</v>
      </c>
      <c r="AI54" s="67">
        <f t="shared" si="31"/>
        <v>4182.45</v>
      </c>
      <c r="AJ54" s="67">
        <f t="shared" si="31"/>
        <v>0</v>
      </c>
      <c r="AK54" s="67">
        <f t="shared" si="31"/>
        <v>0</v>
      </c>
      <c r="AL54" s="67">
        <f t="shared" si="31"/>
        <v>0</v>
      </c>
      <c r="AM54" s="67">
        <f t="shared" si="31"/>
        <v>0</v>
      </c>
      <c r="AN54" s="67">
        <f t="shared" si="31"/>
        <v>0</v>
      </c>
      <c r="AO54" s="67">
        <f t="shared" si="31"/>
        <v>0</v>
      </c>
      <c r="AP54" s="67">
        <f t="shared" si="31"/>
        <v>1343.5</v>
      </c>
      <c r="AQ54" s="67">
        <f t="shared" si="31"/>
        <v>0</v>
      </c>
      <c r="AR54" s="67">
        <f t="shared" si="31"/>
        <v>56609</v>
      </c>
      <c r="AS54" s="67">
        <f t="shared" si="31"/>
        <v>0</v>
      </c>
      <c r="AT54" s="67">
        <f t="shared" si="31"/>
        <v>0</v>
      </c>
      <c r="AU54" s="67">
        <f t="shared" si="31"/>
        <v>0</v>
      </c>
      <c r="AV54" s="67">
        <f t="shared" si="31"/>
        <v>42383.05</v>
      </c>
      <c r="AW54" s="67">
        <f t="shared" si="31"/>
        <v>9660</v>
      </c>
      <c r="AX54" s="67">
        <f t="shared" si="31"/>
        <v>0</v>
      </c>
      <c r="AY54" s="67">
        <f t="shared" si="31"/>
        <v>0</v>
      </c>
      <c r="AZ54" s="67">
        <f t="shared" si="31"/>
        <v>0</v>
      </c>
      <c r="BA54" s="67">
        <f t="shared" si="31"/>
        <v>0</v>
      </c>
      <c r="BB54" s="67">
        <f t="shared" si="31"/>
        <v>0</v>
      </c>
      <c r="BC54" s="67">
        <f t="shared" si="31"/>
        <v>0</v>
      </c>
      <c r="BD54" s="67">
        <f t="shared" si="31"/>
        <v>0</v>
      </c>
      <c r="BE54" s="67">
        <f t="shared" si="31"/>
        <v>0</v>
      </c>
      <c r="BF54" s="67">
        <f t="shared" si="31"/>
        <v>2688304.3000000003</v>
      </c>
      <c r="BG54" s="67">
        <f t="shared" si="31"/>
        <v>0</v>
      </c>
      <c r="BH54" s="67">
        <f t="shared" si="31"/>
        <v>2578308.7500000005</v>
      </c>
      <c r="BI54" s="67">
        <f t="shared" si="31"/>
        <v>109995.55</v>
      </c>
    </row>
    <row r="55" spans="2:61" x14ac:dyDescent="0.25">
      <c r="C55" s="7">
        <v>370</v>
      </c>
      <c r="D55" s="7" t="s">
        <v>119</v>
      </c>
      <c r="E55" s="12">
        <v>0</v>
      </c>
      <c r="F55" s="12">
        <v>0</v>
      </c>
      <c r="G55" s="12">
        <v>0</v>
      </c>
      <c r="H55" s="12">
        <v>0</v>
      </c>
      <c r="I55" s="12">
        <v>0</v>
      </c>
      <c r="J55" s="12">
        <v>0</v>
      </c>
      <c r="K55" s="12">
        <v>0</v>
      </c>
      <c r="L55" s="12">
        <v>0</v>
      </c>
      <c r="M55" s="12">
        <v>0</v>
      </c>
      <c r="N55" s="12">
        <v>0</v>
      </c>
      <c r="O55" s="12">
        <v>0</v>
      </c>
      <c r="P55" s="12">
        <v>0</v>
      </c>
      <c r="Q55" s="12">
        <v>0</v>
      </c>
      <c r="R55" s="12">
        <v>0</v>
      </c>
      <c r="S55" s="12">
        <v>0</v>
      </c>
      <c r="T55" s="12">
        <v>0</v>
      </c>
      <c r="U55" s="12">
        <v>0</v>
      </c>
      <c r="V55" s="12">
        <v>0</v>
      </c>
      <c r="W55" s="12">
        <v>0</v>
      </c>
      <c r="X55" s="12">
        <v>429761.85</v>
      </c>
      <c r="Y55" s="12">
        <v>0</v>
      </c>
      <c r="Z55" s="12">
        <v>428988.05</v>
      </c>
      <c r="AA55" s="12">
        <v>159801.5</v>
      </c>
      <c r="AB55" s="12">
        <v>177389.45</v>
      </c>
      <c r="AC55" s="12">
        <v>157194.6</v>
      </c>
      <c r="AD55" s="12">
        <v>0</v>
      </c>
      <c r="AE55" s="12">
        <v>239155.5</v>
      </c>
      <c r="AF55" s="12">
        <v>593828</v>
      </c>
      <c r="AG55" s="12">
        <v>388007.35</v>
      </c>
      <c r="AH55" s="12">
        <v>0</v>
      </c>
      <c r="AI55" s="12">
        <v>4182.45</v>
      </c>
      <c r="AJ55" s="12">
        <v>0</v>
      </c>
      <c r="AK55" s="12">
        <v>0</v>
      </c>
      <c r="AL55" s="12">
        <v>0</v>
      </c>
      <c r="AM55" s="12">
        <v>0</v>
      </c>
      <c r="AN55" s="12">
        <v>0</v>
      </c>
      <c r="AO55" s="12">
        <v>0</v>
      </c>
      <c r="AP55" s="12">
        <v>1343.5</v>
      </c>
      <c r="AQ55" s="12">
        <v>0</v>
      </c>
      <c r="AR55" s="12">
        <v>56609</v>
      </c>
      <c r="AS55" s="12">
        <v>0</v>
      </c>
      <c r="AT55" s="12">
        <v>0</v>
      </c>
      <c r="AU55" s="12">
        <v>0</v>
      </c>
      <c r="AV55" s="12">
        <v>42383.05</v>
      </c>
      <c r="AW55" s="12">
        <v>9660</v>
      </c>
      <c r="AX55" s="12">
        <v>0</v>
      </c>
      <c r="AY55" s="12">
        <v>0</v>
      </c>
      <c r="AZ55" s="12">
        <v>0</v>
      </c>
      <c r="BA55" s="12">
        <v>0</v>
      </c>
      <c r="BB55" s="12">
        <v>0</v>
      </c>
      <c r="BC55" s="12">
        <v>0</v>
      </c>
      <c r="BD55" s="12">
        <v>0</v>
      </c>
      <c r="BE55" s="12">
        <v>0</v>
      </c>
      <c r="BF55" s="12">
        <f t="shared" ref="BF55" si="32">SUM(E55:BE55)</f>
        <v>2688304.3000000003</v>
      </c>
      <c r="BG55" s="12">
        <f t="shared" ref="BG55" si="33">SUM(E55:W55)</f>
        <v>0</v>
      </c>
      <c r="BH55" s="12">
        <f t="shared" ref="BH55" si="34">SUM(X55:AJ55)</f>
        <v>2578308.7500000005</v>
      </c>
      <c r="BI55" s="12">
        <f t="shared" ref="BI55" si="35">SUM(AK55:BE55)</f>
        <v>109995.55</v>
      </c>
    </row>
    <row r="56" spans="2:61" x14ac:dyDescent="0.25">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row>
    <row r="57" spans="2:61" x14ac:dyDescent="0.25">
      <c r="B57" s="66">
        <v>38</v>
      </c>
      <c r="C57" s="66"/>
      <c r="D57" s="66" t="s">
        <v>120</v>
      </c>
      <c r="E57" s="67">
        <f>E58+E59+E60+E61+E62+E63</f>
        <v>0</v>
      </c>
      <c r="F57" s="67">
        <f t="shared" ref="F57:BI57" si="36">F58+F59+F60+F61+F62+F63</f>
        <v>0</v>
      </c>
      <c r="G57" s="67">
        <f t="shared" si="36"/>
        <v>0</v>
      </c>
      <c r="H57" s="67">
        <f t="shared" si="36"/>
        <v>339.5</v>
      </c>
      <c r="I57" s="67">
        <f t="shared" si="36"/>
        <v>299720.06</v>
      </c>
      <c r="J57" s="67">
        <f t="shared" si="36"/>
        <v>7340</v>
      </c>
      <c r="K57" s="67">
        <f t="shared" si="36"/>
        <v>650000</v>
      </c>
      <c r="L57" s="67">
        <f t="shared" si="36"/>
        <v>0</v>
      </c>
      <c r="M57" s="67">
        <f t="shared" si="36"/>
        <v>0</v>
      </c>
      <c r="N57" s="67">
        <f t="shared" si="36"/>
        <v>0</v>
      </c>
      <c r="O57" s="67">
        <f t="shared" si="36"/>
        <v>383444.45</v>
      </c>
      <c r="P57" s="67">
        <f t="shared" si="36"/>
        <v>337.1</v>
      </c>
      <c r="Q57" s="67">
        <f t="shared" si="36"/>
        <v>946.6</v>
      </c>
      <c r="R57" s="67">
        <f t="shared" si="36"/>
        <v>0</v>
      </c>
      <c r="S57" s="67">
        <f t="shared" si="36"/>
        <v>0</v>
      </c>
      <c r="T57" s="67">
        <f t="shared" si="36"/>
        <v>95000</v>
      </c>
      <c r="U57" s="67">
        <f t="shared" si="36"/>
        <v>0</v>
      </c>
      <c r="V57" s="67">
        <f t="shared" si="36"/>
        <v>0</v>
      </c>
      <c r="W57" s="67">
        <f t="shared" si="36"/>
        <v>600000</v>
      </c>
      <c r="X57" s="67">
        <f t="shared" si="36"/>
        <v>0</v>
      </c>
      <c r="Y57" s="67">
        <f t="shared" si="36"/>
        <v>100</v>
      </c>
      <c r="Z57" s="67">
        <f t="shared" si="36"/>
        <v>1000000</v>
      </c>
      <c r="AA57" s="67">
        <f t="shared" si="36"/>
        <v>0</v>
      </c>
      <c r="AB57" s="67">
        <f t="shared" si="36"/>
        <v>35000</v>
      </c>
      <c r="AC57" s="67">
        <f t="shared" si="36"/>
        <v>0</v>
      </c>
      <c r="AD57" s="67">
        <f t="shared" si="36"/>
        <v>2270</v>
      </c>
      <c r="AE57" s="67">
        <f t="shared" si="36"/>
        <v>0</v>
      </c>
      <c r="AF57" s="67">
        <f t="shared" si="36"/>
        <v>0</v>
      </c>
      <c r="AG57" s="67">
        <f t="shared" si="36"/>
        <v>0</v>
      </c>
      <c r="AH57" s="67">
        <f t="shared" si="36"/>
        <v>350000</v>
      </c>
      <c r="AI57" s="67">
        <f t="shared" si="36"/>
        <v>50000</v>
      </c>
      <c r="AJ57" s="67">
        <f t="shared" si="36"/>
        <v>170000</v>
      </c>
      <c r="AK57" s="67">
        <f t="shared" si="36"/>
        <v>367367.02</v>
      </c>
      <c r="AL57" s="67">
        <f t="shared" si="36"/>
        <v>163343.70000000001</v>
      </c>
      <c r="AM57" s="67">
        <f t="shared" si="36"/>
        <v>0</v>
      </c>
      <c r="AN57" s="67">
        <f t="shared" si="36"/>
        <v>13103.97</v>
      </c>
      <c r="AO57" s="67">
        <f t="shared" si="36"/>
        <v>1900000</v>
      </c>
      <c r="AP57" s="67">
        <f t="shared" si="36"/>
        <v>0</v>
      </c>
      <c r="AQ57" s="67">
        <f t="shared" si="36"/>
        <v>0</v>
      </c>
      <c r="AR57" s="67">
        <f t="shared" si="36"/>
        <v>20000</v>
      </c>
      <c r="AS57" s="67">
        <f t="shared" si="36"/>
        <v>0</v>
      </c>
      <c r="AT57" s="67">
        <f t="shared" si="36"/>
        <v>0</v>
      </c>
      <c r="AU57" s="67">
        <f t="shared" si="36"/>
        <v>0</v>
      </c>
      <c r="AV57" s="67">
        <f t="shared" si="36"/>
        <v>100000</v>
      </c>
      <c r="AW57" s="67">
        <f t="shared" si="36"/>
        <v>200000</v>
      </c>
      <c r="AX57" s="67">
        <f t="shared" si="36"/>
        <v>1717.95</v>
      </c>
      <c r="AY57" s="67">
        <f t="shared" si="36"/>
        <v>0</v>
      </c>
      <c r="AZ57" s="67">
        <f t="shared" si="36"/>
        <v>0</v>
      </c>
      <c r="BA57" s="67">
        <f t="shared" si="36"/>
        <v>920</v>
      </c>
      <c r="BB57" s="67">
        <f t="shared" si="36"/>
        <v>250253.45</v>
      </c>
      <c r="BC57" s="67">
        <f t="shared" si="36"/>
        <v>0</v>
      </c>
      <c r="BD57" s="67">
        <f t="shared" si="36"/>
        <v>0</v>
      </c>
      <c r="BE57" s="67">
        <f t="shared" si="36"/>
        <v>0</v>
      </c>
      <c r="BF57" s="67">
        <f t="shared" si="36"/>
        <v>6661203.8000000007</v>
      </c>
      <c r="BG57" s="67">
        <f t="shared" si="36"/>
        <v>2037127.7100000002</v>
      </c>
      <c r="BH57" s="67">
        <f t="shared" si="36"/>
        <v>1607370</v>
      </c>
      <c r="BI57" s="67">
        <f t="shared" si="36"/>
        <v>3016706.0900000003</v>
      </c>
    </row>
    <row r="58" spans="2:61" x14ac:dyDescent="0.25">
      <c r="C58" s="7">
        <v>380</v>
      </c>
      <c r="D58" s="7" t="s">
        <v>121</v>
      </c>
      <c r="E58" s="12">
        <v>0</v>
      </c>
      <c r="F58" s="12">
        <v>0</v>
      </c>
      <c r="G58" s="12">
        <v>0</v>
      </c>
      <c r="H58" s="12">
        <v>0</v>
      </c>
      <c r="I58" s="12">
        <v>0</v>
      </c>
      <c r="J58" s="12">
        <v>0</v>
      </c>
      <c r="K58" s="12">
        <v>0</v>
      </c>
      <c r="L58" s="12">
        <v>0</v>
      </c>
      <c r="M58" s="12">
        <v>0</v>
      </c>
      <c r="N58" s="12">
        <v>0</v>
      </c>
      <c r="O58" s="12">
        <v>0</v>
      </c>
      <c r="P58" s="12">
        <v>0</v>
      </c>
      <c r="Q58" s="12">
        <v>0</v>
      </c>
      <c r="R58" s="12">
        <v>0</v>
      </c>
      <c r="S58" s="12">
        <v>0</v>
      </c>
      <c r="T58" s="12">
        <v>0</v>
      </c>
      <c r="U58" s="12">
        <v>0</v>
      </c>
      <c r="V58" s="12">
        <v>0</v>
      </c>
      <c r="W58" s="12">
        <v>0</v>
      </c>
      <c r="X58" s="12">
        <v>0</v>
      </c>
      <c r="Y58" s="12">
        <v>0</v>
      </c>
      <c r="Z58" s="12">
        <v>0</v>
      </c>
      <c r="AA58" s="12">
        <v>0</v>
      </c>
      <c r="AB58" s="12">
        <v>0</v>
      </c>
      <c r="AC58" s="12">
        <v>0</v>
      </c>
      <c r="AD58" s="12">
        <v>0</v>
      </c>
      <c r="AE58" s="12">
        <v>0</v>
      </c>
      <c r="AF58" s="12">
        <v>0</v>
      </c>
      <c r="AG58" s="12">
        <v>0</v>
      </c>
      <c r="AH58" s="12">
        <v>0</v>
      </c>
      <c r="AI58" s="12">
        <v>0</v>
      </c>
      <c r="AJ58" s="12">
        <v>0</v>
      </c>
      <c r="AK58" s="12">
        <v>0</v>
      </c>
      <c r="AL58" s="12">
        <v>0</v>
      </c>
      <c r="AM58" s="12">
        <v>0</v>
      </c>
      <c r="AN58" s="12">
        <v>0</v>
      </c>
      <c r="AO58" s="12">
        <v>0</v>
      </c>
      <c r="AP58" s="12">
        <v>0</v>
      </c>
      <c r="AQ58" s="12">
        <v>0</v>
      </c>
      <c r="AR58" s="12">
        <v>0</v>
      </c>
      <c r="AS58" s="12">
        <v>0</v>
      </c>
      <c r="AT58" s="12">
        <v>0</v>
      </c>
      <c r="AU58" s="12">
        <v>0</v>
      </c>
      <c r="AV58" s="12">
        <v>0</v>
      </c>
      <c r="AW58" s="12">
        <v>0</v>
      </c>
      <c r="AX58" s="12">
        <v>0</v>
      </c>
      <c r="AY58" s="12">
        <v>0</v>
      </c>
      <c r="AZ58" s="12">
        <v>0</v>
      </c>
      <c r="BA58" s="12">
        <v>0</v>
      </c>
      <c r="BB58" s="12">
        <v>0</v>
      </c>
      <c r="BC58" s="12">
        <v>0</v>
      </c>
      <c r="BD58" s="12">
        <v>0</v>
      </c>
      <c r="BE58" s="12">
        <v>0</v>
      </c>
      <c r="BF58" s="12">
        <f t="shared" ref="BF58:BF63" si="37">SUM(E58:BE58)</f>
        <v>0</v>
      </c>
      <c r="BG58" s="12">
        <f t="shared" ref="BG58:BG63" si="38">SUM(E58:W58)</f>
        <v>0</v>
      </c>
      <c r="BH58" s="12">
        <f t="shared" ref="BH58:BH63" si="39">SUM(X58:AJ58)</f>
        <v>0</v>
      </c>
      <c r="BI58" s="12">
        <f t="shared" ref="BI58:BI63" si="40">SUM(AK58:BE58)</f>
        <v>0</v>
      </c>
    </row>
    <row r="59" spans="2:61" x14ac:dyDescent="0.25">
      <c r="C59" s="7">
        <v>381</v>
      </c>
      <c r="D59" s="7" t="s">
        <v>122</v>
      </c>
      <c r="E59" s="12">
        <v>0</v>
      </c>
      <c r="F59" s="12">
        <v>0</v>
      </c>
      <c r="G59" s="12">
        <v>0</v>
      </c>
      <c r="H59" s="12">
        <v>339.5</v>
      </c>
      <c r="I59" s="12">
        <v>0</v>
      </c>
      <c r="J59" s="12">
        <v>7340</v>
      </c>
      <c r="K59" s="12">
        <v>0</v>
      </c>
      <c r="L59" s="12">
        <v>0</v>
      </c>
      <c r="M59" s="12">
        <v>0</v>
      </c>
      <c r="N59" s="12">
        <v>0</v>
      </c>
      <c r="O59" s="12">
        <v>144.44999999999999</v>
      </c>
      <c r="P59" s="12">
        <v>0</v>
      </c>
      <c r="Q59" s="12">
        <v>946.6</v>
      </c>
      <c r="R59" s="12">
        <v>0</v>
      </c>
      <c r="S59" s="12">
        <v>0</v>
      </c>
      <c r="T59" s="12">
        <v>0</v>
      </c>
      <c r="U59" s="12">
        <v>0</v>
      </c>
      <c r="V59" s="12">
        <v>0</v>
      </c>
      <c r="W59" s="12">
        <v>0</v>
      </c>
      <c r="X59" s="12">
        <v>0</v>
      </c>
      <c r="Y59" s="12">
        <v>0</v>
      </c>
      <c r="Z59" s="12">
        <v>0</v>
      </c>
      <c r="AA59" s="12">
        <v>0</v>
      </c>
      <c r="AB59" s="12">
        <v>0</v>
      </c>
      <c r="AC59" s="12">
        <v>0</v>
      </c>
      <c r="AD59" s="12">
        <v>0</v>
      </c>
      <c r="AE59" s="12">
        <v>0</v>
      </c>
      <c r="AF59" s="12">
        <v>0</v>
      </c>
      <c r="AG59" s="12">
        <v>0</v>
      </c>
      <c r="AH59" s="12">
        <v>0</v>
      </c>
      <c r="AI59" s="12">
        <v>0</v>
      </c>
      <c r="AJ59" s="12">
        <v>0</v>
      </c>
      <c r="AK59" s="12">
        <v>0</v>
      </c>
      <c r="AL59" s="12">
        <v>0</v>
      </c>
      <c r="AM59" s="12">
        <v>0</v>
      </c>
      <c r="AN59" s="12">
        <v>0</v>
      </c>
      <c r="AO59" s="12">
        <v>0</v>
      </c>
      <c r="AP59" s="12">
        <v>0</v>
      </c>
      <c r="AQ59" s="12">
        <v>0</v>
      </c>
      <c r="AR59" s="12">
        <v>0</v>
      </c>
      <c r="AS59" s="12">
        <v>0</v>
      </c>
      <c r="AT59" s="12">
        <v>0</v>
      </c>
      <c r="AU59" s="12">
        <v>0</v>
      </c>
      <c r="AV59" s="12">
        <v>0</v>
      </c>
      <c r="AW59" s="12">
        <v>0</v>
      </c>
      <c r="AX59" s="12">
        <v>0</v>
      </c>
      <c r="AY59" s="12">
        <v>0</v>
      </c>
      <c r="AZ59" s="12">
        <v>0</v>
      </c>
      <c r="BA59" s="12">
        <v>0</v>
      </c>
      <c r="BB59" s="12">
        <v>0</v>
      </c>
      <c r="BC59" s="12">
        <v>0</v>
      </c>
      <c r="BD59" s="12">
        <v>0</v>
      </c>
      <c r="BE59" s="12">
        <v>0</v>
      </c>
      <c r="BF59" s="12">
        <f t="shared" si="37"/>
        <v>8770.5499999999993</v>
      </c>
      <c r="BG59" s="12">
        <f t="shared" si="38"/>
        <v>8770.5499999999993</v>
      </c>
      <c r="BH59" s="12">
        <f t="shared" si="39"/>
        <v>0</v>
      </c>
      <c r="BI59" s="12">
        <f t="shared" si="40"/>
        <v>0</v>
      </c>
    </row>
    <row r="60" spans="2:61" x14ac:dyDescent="0.25">
      <c r="C60" s="7">
        <v>384</v>
      </c>
      <c r="D60" s="7" t="s">
        <v>123</v>
      </c>
      <c r="E60" s="12">
        <v>0</v>
      </c>
      <c r="F60" s="12">
        <v>0</v>
      </c>
      <c r="G60" s="12">
        <v>0</v>
      </c>
      <c r="H60" s="12">
        <v>0</v>
      </c>
      <c r="I60" s="12">
        <v>-279.94</v>
      </c>
      <c r="J60" s="12">
        <v>0</v>
      </c>
      <c r="K60" s="12">
        <v>0</v>
      </c>
      <c r="L60" s="12">
        <v>0</v>
      </c>
      <c r="M60" s="12">
        <v>0</v>
      </c>
      <c r="N60" s="12">
        <v>0</v>
      </c>
      <c r="O60" s="12">
        <v>0</v>
      </c>
      <c r="P60" s="12">
        <v>0</v>
      </c>
      <c r="Q60" s="12">
        <v>0</v>
      </c>
      <c r="R60" s="12">
        <v>0</v>
      </c>
      <c r="S60" s="12">
        <v>0</v>
      </c>
      <c r="T60" s="12">
        <v>0</v>
      </c>
      <c r="U60" s="12">
        <v>0</v>
      </c>
      <c r="V60" s="12">
        <v>0</v>
      </c>
      <c r="W60" s="12">
        <v>0</v>
      </c>
      <c r="X60" s="12">
        <v>0</v>
      </c>
      <c r="Y60" s="12">
        <v>100</v>
      </c>
      <c r="Z60" s="12">
        <v>0</v>
      </c>
      <c r="AA60" s="12">
        <v>0</v>
      </c>
      <c r="AB60" s="12">
        <v>0</v>
      </c>
      <c r="AC60" s="12">
        <v>0</v>
      </c>
      <c r="AD60" s="12">
        <v>0</v>
      </c>
      <c r="AE60" s="12">
        <v>0</v>
      </c>
      <c r="AF60" s="12">
        <v>0</v>
      </c>
      <c r="AG60" s="12">
        <v>0</v>
      </c>
      <c r="AH60" s="12">
        <v>0</v>
      </c>
      <c r="AI60" s="12">
        <v>0</v>
      </c>
      <c r="AJ60" s="12">
        <v>0</v>
      </c>
      <c r="AK60" s="12">
        <v>0</v>
      </c>
      <c r="AL60" s="12">
        <v>0</v>
      </c>
      <c r="AM60" s="12">
        <v>0</v>
      </c>
      <c r="AN60" s="12">
        <v>745.97</v>
      </c>
      <c r="AO60" s="12">
        <v>0</v>
      </c>
      <c r="AP60" s="12">
        <v>0</v>
      </c>
      <c r="AQ60" s="12">
        <v>0</v>
      </c>
      <c r="AR60" s="12">
        <v>0</v>
      </c>
      <c r="AS60" s="12">
        <v>0</v>
      </c>
      <c r="AT60" s="12">
        <v>0</v>
      </c>
      <c r="AU60" s="12">
        <v>0</v>
      </c>
      <c r="AV60" s="12">
        <v>0</v>
      </c>
      <c r="AW60" s="12">
        <v>0</v>
      </c>
      <c r="AX60" s="12">
        <v>0</v>
      </c>
      <c r="AY60" s="12">
        <v>0</v>
      </c>
      <c r="AZ60" s="12">
        <v>0</v>
      </c>
      <c r="BA60" s="12">
        <v>0</v>
      </c>
      <c r="BB60" s="12">
        <v>0</v>
      </c>
      <c r="BC60" s="12">
        <v>0</v>
      </c>
      <c r="BD60" s="12">
        <v>0</v>
      </c>
      <c r="BE60" s="12">
        <v>0</v>
      </c>
      <c r="BF60" s="12">
        <f t="shared" si="37"/>
        <v>566.03</v>
      </c>
      <c r="BG60" s="12">
        <f t="shared" si="38"/>
        <v>-279.94</v>
      </c>
      <c r="BH60" s="12">
        <f t="shared" si="39"/>
        <v>100</v>
      </c>
      <c r="BI60" s="12">
        <f t="shared" si="40"/>
        <v>745.97</v>
      </c>
    </row>
    <row r="61" spans="2:61" x14ac:dyDescent="0.25">
      <c r="C61" s="7">
        <v>385</v>
      </c>
      <c r="D61" s="7" t="s">
        <v>124</v>
      </c>
      <c r="E61" s="12">
        <v>0</v>
      </c>
      <c r="F61" s="12">
        <v>0</v>
      </c>
      <c r="G61" s="12">
        <v>0</v>
      </c>
      <c r="H61" s="12">
        <v>0</v>
      </c>
      <c r="I61" s="12">
        <v>0</v>
      </c>
      <c r="J61" s="12">
        <v>0</v>
      </c>
      <c r="K61" s="12">
        <v>0</v>
      </c>
      <c r="L61" s="12">
        <v>0</v>
      </c>
      <c r="M61" s="12">
        <v>0</v>
      </c>
      <c r="N61" s="12">
        <v>0</v>
      </c>
      <c r="O61" s="12">
        <v>0</v>
      </c>
      <c r="P61" s="12">
        <v>0</v>
      </c>
      <c r="Q61" s="12">
        <v>0</v>
      </c>
      <c r="R61" s="12">
        <v>0</v>
      </c>
      <c r="S61" s="12">
        <v>0</v>
      </c>
      <c r="T61" s="12">
        <v>0</v>
      </c>
      <c r="U61" s="12">
        <v>0</v>
      </c>
      <c r="V61" s="12">
        <v>0</v>
      </c>
      <c r="W61" s="12">
        <v>0</v>
      </c>
      <c r="X61" s="12">
        <v>0</v>
      </c>
      <c r="Y61" s="12">
        <v>0</v>
      </c>
      <c r="Z61" s="12">
        <v>0</v>
      </c>
      <c r="AA61" s="12">
        <v>0</v>
      </c>
      <c r="AB61" s="12">
        <v>0</v>
      </c>
      <c r="AC61" s="12">
        <v>0</v>
      </c>
      <c r="AD61" s="12">
        <v>0</v>
      </c>
      <c r="AE61" s="12">
        <v>0</v>
      </c>
      <c r="AF61" s="12">
        <v>0</v>
      </c>
      <c r="AG61" s="12">
        <v>0</v>
      </c>
      <c r="AH61" s="12">
        <v>0</v>
      </c>
      <c r="AI61" s="12">
        <v>0</v>
      </c>
      <c r="AJ61" s="12">
        <v>0</v>
      </c>
      <c r="AK61" s="12">
        <v>0</v>
      </c>
      <c r="AL61" s="12">
        <v>0</v>
      </c>
      <c r="AM61" s="12">
        <v>0</v>
      </c>
      <c r="AN61" s="12">
        <v>0</v>
      </c>
      <c r="AO61" s="12">
        <v>0</v>
      </c>
      <c r="AP61" s="12">
        <v>0</v>
      </c>
      <c r="AQ61" s="12">
        <v>0</v>
      </c>
      <c r="AR61" s="12">
        <v>0</v>
      </c>
      <c r="AS61" s="12">
        <v>0</v>
      </c>
      <c r="AT61" s="12">
        <v>0</v>
      </c>
      <c r="AU61" s="12">
        <v>0</v>
      </c>
      <c r="AV61" s="12">
        <v>0</v>
      </c>
      <c r="AW61" s="12">
        <v>0</v>
      </c>
      <c r="AX61" s="12">
        <v>0</v>
      </c>
      <c r="AY61" s="12">
        <v>0</v>
      </c>
      <c r="AZ61" s="12">
        <v>0</v>
      </c>
      <c r="BA61" s="12">
        <v>0</v>
      </c>
      <c r="BB61" s="12">
        <v>0</v>
      </c>
      <c r="BC61" s="12">
        <v>0</v>
      </c>
      <c r="BD61" s="12">
        <v>0</v>
      </c>
      <c r="BE61" s="12">
        <v>0</v>
      </c>
      <c r="BF61" s="12">
        <f t="shared" si="37"/>
        <v>0</v>
      </c>
      <c r="BG61" s="12">
        <f t="shared" si="38"/>
        <v>0</v>
      </c>
      <c r="BH61" s="12">
        <f t="shared" si="39"/>
        <v>0</v>
      </c>
      <c r="BI61" s="12">
        <f t="shared" si="40"/>
        <v>0</v>
      </c>
    </row>
    <row r="62" spans="2:61" x14ac:dyDescent="0.25">
      <c r="C62" s="7">
        <v>386</v>
      </c>
      <c r="D62" s="7" t="s">
        <v>125</v>
      </c>
      <c r="E62" s="12">
        <v>0</v>
      </c>
      <c r="F62" s="12">
        <v>0</v>
      </c>
      <c r="G62" s="12">
        <v>0</v>
      </c>
      <c r="H62" s="12">
        <v>0</v>
      </c>
      <c r="I62" s="12">
        <v>0</v>
      </c>
      <c r="J62" s="12">
        <v>0</v>
      </c>
      <c r="K62" s="12">
        <v>0</v>
      </c>
      <c r="L62" s="12">
        <v>0</v>
      </c>
      <c r="M62" s="12">
        <v>0</v>
      </c>
      <c r="N62" s="12">
        <v>0</v>
      </c>
      <c r="O62" s="12">
        <v>0</v>
      </c>
      <c r="P62" s="12">
        <v>0</v>
      </c>
      <c r="Q62" s="12">
        <v>0</v>
      </c>
      <c r="R62" s="12">
        <v>0</v>
      </c>
      <c r="S62" s="12">
        <v>0</v>
      </c>
      <c r="T62" s="12">
        <v>0</v>
      </c>
      <c r="U62" s="12">
        <v>0</v>
      </c>
      <c r="V62" s="12">
        <v>0</v>
      </c>
      <c r="W62" s="12">
        <v>0</v>
      </c>
      <c r="X62" s="12">
        <v>0</v>
      </c>
      <c r="Y62" s="12">
        <v>0</v>
      </c>
      <c r="Z62" s="12">
        <v>0</v>
      </c>
      <c r="AA62" s="12">
        <v>0</v>
      </c>
      <c r="AB62" s="12">
        <v>0</v>
      </c>
      <c r="AC62" s="12">
        <v>0</v>
      </c>
      <c r="AD62" s="12">
        <v>2270</v>
      </c>
      <c r="AE62" s="12">
        <v>0</v>
      </c>
      <c r="AF62" s="12">
        <v>0</v>
      </c>
      <c r="AG62" s="12">
        <v>0</v>
      </c>
      <c r="AH62" s="12">
        <v>0</v>
      </c>
      <c r="AI62" s="12">
        <v>0</v>
      </c>
      <c r="AJ62" s="12">
        <v>0</v>
      </c>
      <c r="AK62" s="12">
        <v>0</v>
      </c>
      <c r="AL62" s="12">
        <v>0</v>
      </c>
      <c r="AM62" s="12">
        <v>0</v>
      </c>
      <c r="AN62" s="12">
        <v>0</v>
      </c>
      <c r="AO62" s="12">
        <v>0</v>
      </c>
      <c r="AP62" s="12">
        <v>0</v>
      </c>
      <c r="AQ62" s="12">
        <v>0</v>
      </c>
      <c r="AR62" s="12">
        <v>0</v>
      </c>
      <c r="AS62" s="12">
        <v>0</v>
      </c>
      <c r="AT62" s="12">
        <v>0</v>
      </c>
      <c r="AU62" s="12">
        <v>0</v>
      </c>
      <c r="AV62" s="12">
        <v>0</v>
      </c>
      <c r="AW62" s="12">
        <v>0</v>
      </c>
      <c r="AX62" s="12">
        <v>0</v>
      </c>
      <c r="AY62" s="12">
        <v>0</v>
      </c>
      <c r="AZ62" s="12">
        <v>0</v>
      </c>
      <c r="BA62" s="12">
        <v>0</v>
      </c>
      <c r="BB62" s="12">
        <v>0</v>
      </c>
      <c r="BC62" s="12">
        <v>0</v>
      </c>
      <c r="BD62" s="12">
        <v>0</v>
      </c>
      <c r="BE62" s="12">
        <v>0</v>
      </c>
      <c r="BF62" s="12">
        <f t="shared" si="37"/>
        <v>2270</v>
      </c>
      <c r="BG62" s="12">
        <f t="shared" si="38"/>
        <v>0</v>
      </c>
      <c r="BH62" s="12">
        <f t="shared" si="39"/>
        <v>2270</v>
      </c>
      <c r="BI62" s="12">
        <f t="shared" si="40"/>
        <v>0</v>
      </c>
    </row>
    <row r="63" spans="2:61" x14ac:dyDescent="0.25">
      <c r="C63" s="7">
        <v>389</v>
      </c>
      <c r="D63" s="7" t="s">
        <v>289</v>
      </c>
      <c r="E63" s="12">
        <v>0</v>
      </c>
      <c r="F63" s="12">
        <v>0</v>
      </c>
      <c r="G63" s="12">
        <v>0</v>
      </c>
      <c r="H63" s="12">
        <v>0</v>
      </c>
      <c r="I63" s="12">
        <v>300000</v>
      </c>
      <c r="J63" s="12">
        <v>0</v>
      </c>
      <c r="K63" s="12">
        <v>650000</v>
      </c>
      <c r="L63" s="12">
        <v>0</v>
      </c>
      <c r="M63" s="12">
        <v>0</v>
      </c>
      <c r="N63" s="12">
        <v>0</v>
      </c>
      <c r="O63" s="12">
        <v>383300</v>
      </c>
      <c r="P63" s="12">
        <v>337.1</v>
      </c>
      <c r="Q63" s="12">
        <v>0</v>
      </c>
      <c r="R63" s="12">
        <v>0</v>
      </c>
      <c r="S63" s="12">
        <v>0</v>
      </c>
      <c r="T63" s="12">
        <v>95000</v>
      </c>
      <c r="U63" s="12">
        <v>0</v>
      </c>
      <c r="V63" s="12">
        <v>0</v>
      </c>
      <c r="W63" s="12">
        <v>600000</v>
      </c>
      <c r="X63" s="12">
        <v>0</v>
      </c>
      <c r="Y63" s="12">
        <v>0</v>
      </c>
      <c r="Z63" s="12">
        <v>1000000</v>
      </c>
      <c r="AA63" s="12">
        <v>0</v>
      </c>
      <c r="AB63" s="12">
        <v>35000</v>
      </c>
      <c r="AC63" s="12">
        <v>0</v>
      </c>
      <c r="AD63" s="12">
        <v>0</v>
      </c>
      <c r="AE63" s="12">
        <v>0</v>
      </c>
      <c r="AF63" s="12">
        <v>0</v>
      </c>
      <c r="AG63" s="12">
        <v>0</v>
      </c>
      <c r="AH63" s="12">
        <v>350000</v>
      </c>
      <c r="AI63" s="12">
        <v>50000</v>
      </c>
      <c r="AJ63" s="12">
        <v>170000</v>
      </c>
      <c r="AK63" s="12">
        <v>367367.02</v>
      </c>
      <c r="AL63" s="12">
        <v>163343.70000000001</v>
      </c>
      <c r="AM63" s="12">
        <v>0</v>
      </c>
      <c r="AN63" s="12">
        <v>12358</v>
      </c>
      <c r="AO63" s="12">
        <v>1900000</v>
      </c>
      <c r="AP63" s="12">
        <v>0</v>
      </c>
      <c r="AQ63" s="12">
        <v>0</v>
      </c>
      <c r="AR63" s="12">
        <v>20000</v>
      </c>
      <c r="AS63" s="12">
        <v>0</v>
      </c>
      <c r="AT63" s="12">
        <v>0</v>
      </c>
      <c r="AU63" s="12">
        <v>0</v>
      </c>
      <c r="AV63" s="12">
        <v>100000</v>
      </c>
      <c r="AW63" s="12">
        <v>200000</v>
      </c>
      <c r="AX63" s="12">
        <v>1717.95</v>
      </c>
      <c r="AY63" s="12">
        <v>0</v>
      </c>
      <c r="AZ63" s="12">
        <v>0</v>
      </c>
      <c r="BA63" s="12">
        <v>920</v>
      </c>
      <c r="BB63" s="12">
        <v>250253.45</v>
      </c>
      <c r="BC63" s="12">
        <v>0</v>
      </c>
      <c r="BD63" s="12">
        <v>0</v>
      </c>
      <c r="BE63" s="12">
        <v>0</v>
      </c>
      <c r="BF63" s="12">
        <f t="shared" si="37"/>
        <v>6649597.2200000007</v>
      </c>
      <c r="BG63" s="12">
        <f t="shared" si="38"/>
        <v>2028637.1</v>
      </c>
      <c r="BH63" s="12">
        <f t="shared" si="39"/>
        <v>1605000</v>
      </c>
      <c r="BI63" s="12">
        <f t="shared" si="40"/>
        <v>3015960.12</v>
      </c>
    </row>
    <row r="64" spans="2:61" x14ac:dyDescent="0.25">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row>
    <row r="65" spans="1:61" x14ac:dyDescent="0.25">
      <c r="B65" s="66">
        <v>39</v>
      </c>
      <c r="C65" s="66"/>
      <c r="D65" s="66" t="s">
        <v>127</v>
      </c>
      <c r="E65" s="67">
        <f>E66+E67+E68+E69+E70+E71+E72+E73</f>
        <v>0</v>
      </c>
      <c r="F65" s="67">
        <f t="shared" ref="F65:BI65" si="41">F66+F67+F68+F69+F70+F71+F72+F73</f>
        <v>23995.279999999999</v>
      </c>
      <c r="G65" s="67">
        <f t="shared" si="41"/>
        <v>10960.2</v>
      </c>
      <c r="H65" s="67">
        <f t="shared" si="41"/>
        <v>40456</v>
      </c>
      <c r="I65" s="67">
        <f t="shared" si="41"/>
        <v>311300</v>
      </c>
      <c r="J65" s="67">
        <f t="shared" si="41"/>
        <v>65470</v>
      </c>
      <c r="K65" s="67">
        <f t="shared" si="41"/>
        <v>185959.25</v>
      </c>
      <c r="L65" s="67">
        <f t="shared" si="41"/>
        <v>4472239.7600000007</v>
      </c>
      <c r="M65" s="67">
        <f t="shared" si="41"/>
        <v>88638.64</v>
      </c>
      <c r="N65" s="67">
        <f t="shared" si="41"/>
        <v>0</v>
      </c>
      <c r="O65" s="67">
        <f t="shared" si="41"/>
        <v>186891</v>
      </c>
      <c r="P65" s="67">
        <f t="shared" si="41"/>
        <v>29305.55</v>
      </c>
      <c r="Q65" s="67">
        <f t="shared" si="41"/>
        <v>0</v>
      </c>
      <c r="R65" s="67">
        <f t="shared" si="41"/>
        <v>57467.6</v>
      </c>
      <c r="S65" s="67">
        <f t="shared" si="41"/>
        <v>0</v>
      </c>
      <c r="T65" s="67">
        <f t="shared" si="41"/>
        <v>0</v>
      </c>
      <c r="U65" s="67">
        <f t="shared" si="41"/>
        <v>0</v>
      </c>
      <c r="V65" s="67">
        <f t="shared" si="41"/>
        <v>59200</v>
      </c>
      <c r="W65" s="67">
        <f t="shared" si="41"/>
        <v>111300</v>
      </c>
      <c r="X65" s="67">
        <f t="shared" si="41"/>
        <v>0</v>
      </c>
      <c r="Y65" s="67">
        <f t="shared" si="41"/>
        <v>0</v>
      </c>
      <c r="Z65" s="67">
        <f t="shared" si="41"/>
        <v>84000</v>
      </c>
      <c r="AA65" s="67">
        <f t="shared" si="41"/>
        <v>15000</v>
      </c>
      <c r="AB65" s="67">
        <f t="shared" si="41"/>
        <v>0</v>
      </c>
      <c r="AC65" s="67">
        <f t="shared" si="41"/>
        <v>0</v>
      </c>
      <c r="AD65" s="67">
        <f t="shared" si="41"/>
        <v>49277.34</v>
      </c>
      <c r="AE65" s="67">
        <f t="shared" si="41"/>
        <v>42750</v>
      </c>
      <c r="AF65" s="67">
        <f t="shared" si="41"/>
        <v>109873.3</v>
      </c>
      <c r="AG65" s="67">
        <f t="shared" si="41"/>
        <v>7274.65</v>
      </c>
      <c r="AH65" s="67">
        <f t="shared" si="41"/>
        <v>31290.65</v>
      </c>
      <c r="AI65" s="67">
        <f t="shared" si="41"/>
        <v>0</v>
      </c>
      <c r="AJ65" s="67">
        <f t="shared" si="41"/>
        <v>0</v>
      </c>
      <c r="AK65" s="67">
        <f t="shared" si="41"/>
        <v>93000</v>
      </c>
      <c r="AL65" s="67">
        <f t="shared" si="41"/>
        <v>60365.9</v>
      </c>
      <c r="AM65" s="67">
        <f t="shared" si="41"/>
        <v>3520</v>
      </c>
      <c r="AN65" s="67">
        <f t="shared" si="41"/>
        <v>240</v>
      </c>
      <c r="AO65" s="67">
        <f t="shared" si="41"/>
        <v>68595.55</v>
      </c>
      <c r="AP65" s="67">
        <f t="shared" si="41"/>
        <v>101766.79999999999</v>
      </c>
      <c r="AQ65" s="67">
        <f t="shared" si="41"/>
        <v>0</v>
      </c>
      <c r="AR65" s="67">
        <f t="shared" si="41"/>
        <v>0</v>
      </c>
      <c r="AS65" s="67">
        <f t="shared" si="41"/>
        <v>121643.75</v>
      </c>
      <c r="AT65" s="67">
        <f t="shared" si="41"/>
        <v>39687.449999999997</v>
      </c>
      <c r="AU65" s="67">
        <f t="shared" si="41"/>
        <v>2000</v>
      </c>
      <c r="AV65" s="67">
        <f t="shared" si="41"/>
        <v>57192.25</v>
      </c>
      <c r="AW65" s="67">
        <f t="shared" si="41"/>
        <v>0</v>
      </c>
      <c r="AX65" s="67">
        <f t="shared" si="41"/>
        <v>7038.5</v>
      </c>
      <c r="AY65" s="67">
        <f t="shared" si="41"/>
        <v>0</v>
      </c>
      <c r="AZ65" s="67">
        <f t="shared" si="41"/>
        <v>105684.75</v>
      </c>
      <c r="BA65" s="67">
        <f t="shared" si="41"/>
        <v>0</v>
      </c>
      <c r="BB65" s="67">
        <f t="shared" si="41"/>
        <v>46285.83</v>
      </c>
      <c r="BC65" s="67">
        <f t="shared" si="41"/>
        <v>1651.9</v>
      </c>
      <c r="BD65" s="67">
        <f t="shared" si="41"/>
        <v>0</v>
      </c>
      <c r="BE65" s="67">
        <f t="shared" si="41"/>
        <v>15500</v>
      </c>
      <c r="BF65" s="67">
        <f t="shared" si="41"/>
        <v>6706821.9000000004</v>
      </c>
      <c r="BG65" s="67">
        <f t="shared" si="41"/>
        <v>5643183.2800000003</v>
      </c>
      <c r="BH65" s="67">
        <f t="shared" si="41"/>
        <v>339465.94000000006</v>
      </c>
      <c r="BI65" s="67">
        <f t="shared" si="41"/>
        <v>724172.68</v>
      </c>
    </row>
    <row r="66" spans="1:61" x14ac:dyDescent="0.25">
      <c r="C66" s="7">
        <v>390</v>
      </c>
      <c r="D66" s="7" t="s">
        <v>128</v>
      </c>
      <c r="E66" s="12">
        <v>0</v>
      </c>
      <c r="F66" s="12">
        <v>200</v>
      </c>
      <c r="G66" s="12">
        <v>0</v>
      </c>
      <c r="H66" s="12">
        <v>0</v>
      </c>
      <c r="I66" s="12">
        <v>0</v>
      </c>
      <c r="J66" s="12">
        <v>0</v>
      </c>
      <c r="K66" s="12">
        <v>0</v>
      </c>
      <c r="L66" s="12">
        <v>50000</v>
      </c>
      <c r="M66" s="12">
        <v>1200</v>
      </c>
      <c r="N66" s="12">
        <v>0</v>
      </c>
      <c r="O66" s="12">
        <v>0</v>
      </c>
      <c r="P66" s="12">
        <v>0</v>
      </c>
      <c r="Q66" s="12">
        <v>0</v>
      </c>
      <c r="R66" s="12">
        <v>0</v>
      </c>
      <c r="S66" s="12">
        <v>0</v>
      </c>
      <c r="T66" s="12">
        <v>0</v>
      </c>
      <c r="U66" s="12">
        <v>0</v>
      </c>
      <c r="V66" s="12">
        <v>0</v>
      </c>
      <c r="W66" s="12">
        <v>13000</v>
      </c>
      <c r="X66" s="12">
        <v>0</v>
      </c>
      <c r="Y66" s="12">
        <v>0</v>
      </c>
      <c r="Z66" s="12">
        <v>0</v>
      </c>
      <c r="AA66" s="12">
        <v>0</v>
      </c>
      <c r="AB66" s="12">
        <v>0</v>
      </c>
      <c r="AC66" s="12">
        <v>0</v>
      </c>
      <c r="AD66" s="12">
        <v>1350</v>
      </c>
      <c r="AE66" s="12">
        <v>0</v>
      </c>
      <c r="AF66" s="12">
        <v>0</v>
      </c>
      <c r="AG66" s="12">
        <v>4616.2</v>
      </c>
      <c r="AH66" s="12">
        <v>2790.65</v>
      </c>
      <c r="AI66" s="12">
        <v>0</v>
      </c>
      <c r="AJ66" s="12">
        <v>0</v>
      </c>
      <c r="AK66" s="12">
        <v>0</v>
      </c>
      <c r="AL66" s="12">
        <v>0</v>
      </c>
      <c r="AM66" s="12">
        <v>0</v>
      </c>
      <c r="AN66" s="12">
        <v>0</v>
      </c>
      <c r="AO66" s="12">
        <v>0</v>
      </c>
      <c r="AP66" s="12">
        <v>800</v>
      </c>
      <c r="AQ66" s="12">
        <v>0</v>
      </c>
      <c r="AR66" s="12">
        <v>0</v>
      </c>
      <c r="AS66" s="12">
        <v>0</v>
      </c>
      <c r="AT66" s="12">
        <v>0</v>
      </c>
      <c r="AU66" s="12">
        <v>0</v>
      </c>
      <c r="AV66" s="12">
        <v>0</v>
      </c>
      <c r="AW66" s="12">
        <v>0</v>
      </c>
      <c r="AX66" s="12">
        <v>0</v>
      </c>
      <c r="AY66" s="12">
        <v>0</v>
      </c>
      <c r="AZ66" s="12">
        <v>0</v>
      </c>
      <c r="BA66" s="12">
        <v>0</v>
      </c>
      <c r="BB66" s="12">
        <v>0</v>
      </c>
      <c r="BC66" s="12">
        <v>0</v>
      </c>
      <c r="BD66" s="12">
        <v>0</v>
      </c>
      <c r="BE66" s="12">
        <v>0</v>
      </c>
      <c r="BF66" s="12">
        <f t="shared" ref="BF66:BF73" si="42">SUM(E66:BE66)</f>
        <v>73956.849999999991</v>
      </c>
      <c r="BG66" s="12">
        <f t="shared" ref="BG66:BG73" si="43">SUM(E66:W66)</f>
        <v>64400</v>
      </c>
      <c r="BH66" s="12">
        <f t="shared" ref="BH66:BH73" si="44">SUM(X66:AJ66)</f>
        <v>8756.85</v>
      </c>
      <c r="BI66" s="12">
        <f t="shared" ref="BI66:BI73" si="45">SUM(AK66:BE66)</f>
        <v>800</v>
      </c>
    </row>
    <row r="67" spans="1:61" x14ac:dyDescent="0.25">
      <c r="C67" s="7">
        <v>391</v>
      </c>
      <c r="D67" s="7" t="s">
        <v>129</v>
      </c>
      <c r="E67" s="12">
        <v>0</v>
      </c>
      <c r="F67" s="12">
        <v>3916.8</v>
      </c>
      <c r="G67" s="12">
        <v>4681.6000000000004</v>
      </c>
      <c r="H67" s="12">
        <v>40100</v>
      </c>
      <c r="I67" s="12">
        <v>8500</v>
      </c>
      <c r="J67" s="12">
        <v>65470</v>
      </c>
      <c r="K67" s="12">
        <v>111315</v>
      </c>
      <c r="L67" s="12">
        <v>1470128.86</v>
      </c>
      <c r="M67" s="12">
        <v>55142.5</v>
      </c>
      <c r="N67" s="12">
        <v>0</v>
      </c>
      <c r="O67" s="12">
        <v>186891</v>
      </c>
      <c r="P67" s="12">
        <v>29305.55</v>
      </c>
      <c r="Q67" s="12">
        <v>0</v>
      </c>
      <c r="R67" s="12">
        <v>57467.6</v>
      </c>
      <c r="S67" s="12">
        <v>0</v>
      </c>
      <c r="T67" s="12">
        <v>0</v>
      </c>
      <c r="U67" s="12">
        <v>0</v>
      </c>
      <c r="V67" s="12">
        <v>59200</v>
      </c>
      <c r="W67" s="12">
        <v>87600</v>
      </c>
      <c r="X67" s="12">
        <v>0</v>
      </c>
      <c r="Y67" s="12">
        <v>0</v>
      </c>
      <c r="Z67" s="12">
        <v>0</v>
      </c>
      <c r="AA67" s="12">
        <v>15000</v>
      </c>
      <c r="AB67" s="12">
        <v>0</v>
      </c>
      <c r="AC67" s="12">
        <v>0</v>
      </c>
      <c r="AD67" s="12">
        <v>47927.34</v>
      </c>
      <c r="AE67" s="12">
        <v>42750</v>
      </c>
      <c r="AF67" s="12">
        <v>109873.3</v>
      </c>
      <c r="AG67" s="12">
        <v>2658.45</v>
      </c>
      <c r="AH67" s="12">
        <v>28500</v>
      </c>
      <c r="AI67" s="12">
        <v>0</v>
      </c>
      <c r="AJ67" s="12">
        <v>0</v>
      </c>
      <c r="AK67" s="12">
        <v>93000</v>
      </c>
      <c r="AL67" s="12">
        <v>0</v>
      </c>
      <c r="AM67" s="12">
        <v>3520</v>
      </c>
      <c r="AN67" s="12">
        <v>240</v>
      </c>
      <c r="AO67" s="12">
        <v>68595.55</v>
      </c>
      <c r="AP67" s="12">
        <v>68629.7</v>
      </c>
      <c r="AQ67" s="12">
        <v>0</v>
      </c>
      <c r="AR67" s="12">
        <v>0</v>
      </c>
      <c r="AS67" s="12">
        <v>48710.5</v>
      </c>
      <c r="AT67" s="12">
        <v>39687.449999999997</v>
      </c>
      <c r="AU67" s="12">
        <v>2000</v>
      </c>
      <c r="AV67" s="12">
        <v>57192.25</v>
      </c>
      <c r="AW67" s="12">
        <v>0</v>
      </c>
      <c r="AX67" s="12">
        <v>0</v>
      </c>
      <c r="AY67" s="12">
        <v>0</v>
      </c>
      <c r="AZ67" s="12">
        <v>102184.75</v>
      </c>
      <c r="BA67" s="12">
        <v>0</v>
      </c>
      <c r="BB67" s="12">
        <v>46285.83</v>
      </c>
      <c r="BC67" s="12">
        <v>0</v>
      </c>
      <c r="BD67" s="12">
        <v>0</v>
      </c>
      <c r="BE67" s="12">
        <v>15500</v>
      </c>
      <c r="BF67" s="12">
        <f t="shared" si="42"/>
        <v>2971974.0300000003</v>
      </c>
      <c r="BG67" s="12">
        <f t="shared" si="43"/>
        <v>2179718.91</v>
      </c>
      <c r="BH67" s="12">
        <f t="shared" si="44"/>
        <v>246709.09000000003</v>
      </c>
      <c r="BI67" s="12">
        <f t="shared" si="45"/>
        <v>545546.03</v>
      </c>
    </row>
    <row r="68" spans="1:61" x14ac:dyDescent="0.25">
      <c r="C68" s="7">
        <v>392</v>
      </c>
      <c r="D68" s="7" t="s">
        <v>130</v>
      </c>
      <c r="E68" s="12">
        <v>0</v>
      </c>
      <c r="F68" s="12">
        <v>0</v>
      </c>
      <c r="G68" s="12">
        <v>0</v>
      </c>
      <c r="H68" s="12">
        <v>0</v>
      </c>
      <c r="I68" s="12">
        <v>0</v>
      </c>
      <c r="J68" s="12">
        <v>0</v>
      </c>
      <c r="K68" s="12">
        <v>0</v>
      </c>
      <c r="L68" s="12">
        <v>60000</v>
      </c>
      <c r="M68" s="12">
        <v>0</v>
      </c>
      <c r="N68" s="12">
        <v>0</v>
      </c>
      <c r="O68" s="12">
        <v>0</v>
      </c>
      <c r="P68" s="12">
        <v>0</v>
      </c>
      <c r="Q68" s="12">
        <v>0</v>
      </c>
      <c r="R68" s="12">
        <v>0</v>
      </c>
      <c r="S68" s="12">
        <v>0</v>
      </c>
      <c r="T68" s="12">
        <v>0</v>
      </c>
      <c r="U68" s="12">
        <v>0</v>
      </c>
      <c r="V68" s="12">
        <v>0</v>
      </c>
      <c r="W68" s="12">
        <v>0</v>
      </c>
      <c r="X68" s="12">
        <v>0</v>
      </c>
      <c r="Y68" s="12">
        <v>0</v>
      </c>
      <c r="Z68" s="12">
        <v>84000</v>
      </c>
      <c r="AA68" s="12">
        <v>0</v>
      </c>
      <c r="AB68" s="12">
        <v>0</v>
      </c>
      <c r="AC68" s="12">
        <v>0</v>
      </c>
      <c r="AD68" s="12">
        <v>0</v>
      </c>
      <c r="AE68" s="12">
        <v>0</v>
      </c>
      <c r="AF68" s="12">
        <v>0</v>
      </c>
      <c r="AG68" s="12">
        <v>0</v>
      </c>
      <c r="AH68" s="12">
        <v>0</v>
      </c>
      <c r="AI68" s="12">
        <v>0</v>
      </c>
      <c r="AJ68" s="12">
        <v>0</v>
      </c>
      <c r="AK68" s="12">
        <v>0</v>
      </c>
      <c r="AL68" s="12">
        <v>0</v>
      </c>
      <c r="AM68" s="12">
        <v>0</v>
      </c>
      <c r="AN68" s="12">
        <v>0</v>
      </c>
      <c r="AO68" s="12">
        <v>0</v>
      </c>
      <c r="AP68" s="12">
        <v>0</v>
      </c>
      <c r="AQ68" s="12">
        <v>0</v>
      </c>
      <c r="AR68" s="12">
        <v>0</v>
      </c>
      <c r="AS68" s="12">
        <v>0</v>
      </c>
      <c r="AT68" s="12">
        <v>0</v>
      </c>
      <c r="AU68" s="12">
        <v>0</v>
      </c>
      <c r="AV68" s="12">
        <v>0</v>
      </c>
      <c r="AW68" s="12">
        <v>0</v>
      </c>
      <c r="AX68" s="12">
        <v>0</v>
      </c>
      <c r="AY68" s="12">
        <v>0</v>
      </c>
      <c r="AZ68" s="12">
        <v>0</v>
      </c>
      <c r="BA68" s="12">
        <v>0</v>
      </c>
      <c r="BB68" s="12">
        <v>0</v>
      </c>
      <c r="BC68" s="12">
        <v>0</v>
      </c>
      <c r="BD68" s="12">
        <v>0</v>
      </c>
      <c r="BE68" s="12">
        <v>0</v>
      </c>
      <c r="BF68" s="12">
        <f t="shared" si="42"/>
        <v>144000</v>
      </c>
      <c r="BG68" s="12">
        <f t="shared" si="43"/>
        <v>60000</v>
      </c>
      <c r="BH68" s="12">
        <f t="shared" si="44"/>
        <v>84000</v>
      </c>
      <c r="BI68" s="12">
        <f t="shared" si="45"/>
        <v>0</v>
      </c>
    </row>
    <row r="69" spans="1:61" x14ac:dyDescent="0.25">
      <c r="C69" s="7">
        <v>393</v>
      </c>
      <c r="D69" s="7" t="s">
        <v>131</v>
      </c>
      <c r="E69" s="12">
        <v>0</v>
      </c>
      <c r="F69" s="12">
        <v>0</v>
      </c>
      <c r="G69" s="12">
        <v>3036.5</v>
      </c>
      <c r="H69" s="12">
        <v>0</v>
      </c>
      <c r="I69" s="12">
        <v>0</v>
      </c>
      <c r="J69" s="12">
        <v>0</v>
      </c>
      <c r="K69" s="12">
        <v>15093</v>
      </c>
      <c r="L69" s="12">
        <v>0</v>
      </c>
      <c r="M69" s="12">
        <v>0</v>
      </c>
      <c r="N69" s="12">
        <v>0</v>
      </c>
      <c r="O69" s="12">
        <v>0</v>
      </c>
      <c r="P69" s="12">
        <v>0</v>
      </c>
      <c r="Q69" s="12">
        <v>0</v>
      </c>
      <c r="R69" s="12">
        <v>0</v>
      </c>
      <c r="S69" s="12">
        <v>0</v>
      </c>
      <c r="T69" s="12">
        <v>0</v>
      </c>
      <c r="U69" s="12">
        <v>0</v>
      </c>
      <c r="V69" s="12">
        <v>0</v>
      </c>
      <c r="W69" s="12">
        <v>5300</v>
      </c>
      <c r="X69" s="12">
        <v>0</v>
      </c>
      <c r="Y69" s="12">
        <v>0</v>
      </c>
      <c r="Z69" s="12">
        <v>0</v>
      </c>
      <c r="AA69" s="12">
        <v>0</v>
      </c>
      <c r="AB69" s="12">
        <v>0</v>
      </c>
      <c r="AC69" s="12">
        <v>0</v>
      </c>
      <c r="AD69" s="12">
        <v>0</v>
      </c>
      <c r="AE69" s="12">
        <v>0</v>
      </c>
      <c r="AF69" s="12">
        <v>0</v>
      </c>
      <c r="AG69" s="12">
        <v>0</v>
      </c>
      <c r="AH69" s="12">
        <v>0</v>
      </c>
      <c r="AI69" s="12">
        <v>0</v>
      </c>
      <c r="AJ69" s="12">
        <v>0</v>
      </c>
      <c r="AK69" s="12">
        <v>0</v>
      </c>
      <c r="AL69" s="12">
        <v>0</v>
      </c>
      <c r="AM69" s="12">
        <v>0</v>
      </c>
      <c r="AN69" s="12">
        <v>0</v>
      </c>
      <c r="AO69" s="12">
        <v>0</v>
      </c>
      <c r="AP69" s="12">
        <v>0</v>
      </c>
      <c r="AQ69" s="12">
        <v>0</v>
      </c>
      <c r="AR69" s="12">
        <v>0</v>
      </c>
      <c r="AS69" s="12">
        <v>13939.55</v>
      </c>
      <c r="AT69" s="12">
        <v>0</v>
      </c>
      <c r="AU69" s="12">
        <v>0</v>
      </c>
      <c r="AV69" s="12">
        <v>0</v>
      </c>
      <c r="AW69" s="12">
        <v>0</v>
      </c>
      <c r="AX69" s="12">
        <v>0</v>
      </c>
      <c r="AY69" s="12">
        <v>0</v>
      </c>
      <c r="AZ69" s="12">
        <v>0</v>
      </c>
      <c r="BA69" s="12">
        <v>0</v>
      </c>
      <c r="BB69" s="12">
        <v>0</v>
      </c>
      <c r="BC69" s="12">
        <v>0</v>
      </c>
      <c r="BD69" s="12">
        <v>0</v>
      </c>
      <c r="BE69" s="12">
        <v>0</v>
      </c>
      <c r="BF69" s="12">
        <f t="shared" si="42"/>
        <v>37369.050000000003</v>
      </c>
      <c r="BG69" s="12">
        <f t="shared" si="43"/>
        <v>23429.5</v>
      </c>
      <c r="BH69" s="12">
        <f t="shared" si="44"/>
        <v>0</v>
      </c>
      <c r="BI69" s="12">
        <f t="shared" si="45"/>
        <v>13939.55</v>
      </c>
    </row>
    <row r="70" spans="1:61" x14ac:dyDescent="0.25">
      <c r="C70" s="7">
        <v>394</v>
      </c>
      <c r="D70" s="7" t="s">
        <v>132</v>
      </c>
      <c r="E70" s="12">
        <v>0</v>
      </c>
      <c r="F70" s="12">
        <v>19878.48</v>
      </c>
      <c r="G70" s="12">
        <v>3242.1</v>
      </c>
      <c r="H70" s="12">
        <v>0</v>
      </c>
      <c r="I70" s="12">
        <v>302800</v>
      </c>
      <c r="J70" s="12">
        <v>0</v>
      </c>
      <c r="K70" s="12">
        <v>59551.25</v>
      </c>
      <c r="L70" s="12">
        <v>499217</v>
      </c>
      <c r="M70" s="12">
        <v>32296.14</v>
      </c>
      <c r="N70" s="12">
        <v>0</v>
      </c>
      <c r="O70" s="12">
        <v>0</v>
      </c>
      <c r="P70" s="12">
        <v>0</v>
      </c>
      <c r="Q70" s="12">
        <v>0</v>
      </c>
      <c r="R70" s="12">
        <v>0</v>
      </c>
      <c r="S70" s="12">
        <v>0</v>
      </c>
      <c r="T70" s="12">
        <v>0</v>
      </c>
      <c r="U70" s="12">
        <v>0</v>
      </c>
      <c r="V70" s="12">
        <v>0</v>
      </c>
      <c r="W70" s="12">
        <v>0</v>
      </c>
      <c r="X70" s="12">
        <v>0</v>
      </c>
      <c r="Y70" s="12">
        <v>0</v>
      </c>
      <c r="Z70" s="12">
        <v>0</v>
      </c>
      <c r="AA70" s="12">
        <v>0</v>
      </c>
      <c r="AB70" s="12">
        <v>0</v>
      </c>
      <c r="AC70" s="12">
        <v>0</v>
      </c>
      <c r="AD70" s="12">
        <v>0</v>
      </c>
      <c r="AE70" s="12">
        <v>0</v>
      </c>
      <c r="AF70" s="12">
        <v>0</v>
      </c>
      <c r="AG70" s="12">
        <v>0</v>
      </c>
      <c r="AH70" s="12">
        <v>0</v>
      </c>
      <c r="AI70" s="12">
        <v>0</v>
      </c>
      <c r="AJ70" s="12">
        <v>0</v>
      </c>
      <c r="AK70" s="12">
        <v>0</v>
      </c>
      <c r="AL70" s="12">
        <v>60365.9</v>
      </c>
      <c r="AM70" s="12">
        <v>0</v>
      </c>
      <c r="AN70" s="12">
        <v>0</v>
      </c>
      <c r="AO70" s="12">
        <v>0</v>
      </c>
      <c r="AP70" s="12">
        <v>32337.1</v>
      </c>
      <c r="AQ70" s="12">
        <v>0</v>
      </c>
      <c r="AR70" s="12">
        <v>0</v>
      </c>
      <c r="AS70" s="12">
        <v>58993.7</v>
      </c>
      <c r="AT70" s="12">
        <v>0</v>
      </c>
      <c r="AU70" s="12">
        <v>0</v>
      </c>
      <c r="AV70" s="12">
        <v>0</v>
      </c>
      <c r="AW70" s="12">
        <v>0</v>
      </c>
      <c r="AX70" s="12">
        <v>7038.5</v>
      </c>
      <c r="AY70" s="12">
        <v>0</v>
      </c>
      <c r="AZ70" s="12">
        <v>0</v>
      </c>
      <c r="BA70" s="12">
        <v>0</v>
      </c>
      <c r="BB70" s="12">
        <v>0</v>
      </c>
      <c r="BC70" s="12">
        <v>1651.9</v>
      </c>
      <c r="BD70" s="12">
        <v>0</v>
      </c>
      <c r="BE70" s="12">
        <v>0</v>
      </c>
      <c r="BF70" s="12">
        <f t="shared" si="42"/>
        <v>1077372.07</v>
      </c>
      <c r="BG70" s="12">
        <f t="shared" si="43"/>
        <v>916984.97000000009</v>
      </c>
      <c r="BH70" s="12">
        <f t="shared" si="44"/>
        <v>0</v>
      </c>
      <c r="BI70" s="12">
        <f t="shared" si="45"/>
        <v>160387.1</v>
      </c>
    </row>
    <row r="71" spans="1:61" x14ac:dyDescent="0.25">
      <c r="C71" s="7">
        <v>395</v>
      </c>
      <c r="D71" s="7" t="s">
        <v>133</v>
      </c>
      <c r="E71" s="12">
        <v>0</v>
      </c>
      <c r="F71" s="12">
        <v>0</v>
      </c>
      <c r="G71" s="12">
        <v>0</v>
      </c>
      <c r="H71" s="12">
        <v>356</v>
      </c>
      <c r="I71" s="12">
        <v>0</v>
      </c>
      <c r="J71" s="12">
        <v>0</v>
      </c>
      <c r="K71" s="12">
        <v>0</v>
      </c>
      <c r="L71" s="12">
        <v>0</v>
      </c>
      <c r="M71" s="12">
        <v>0</v>
      </c>
      <c r="N71" s="12">
        <v>0</v>
      </c>
      <c r="O71" s="12">
        <v>0</v>
      </c>
      <c r="P71" s="12">
        <v>0</v>
      </c>
      <c r="Q71" s="12">
        <v>0</v>
      </c>
      <c r="R71" s="12">
        <v>0</v>
      </c>
      <c r="S71" s="12">
        <v>0</v>
      </c>
      <c r="T71" s="12">
        <v>0</v>
      </c>
      <c r="U71" s="12">
        <v>0</v>
      </c>
      <c r="V71" s="12">
        <v>0</v>
      </c>
      <c r="W71" s="12">
        <v>0</v>
      </c>
      <c r="X71" s="12">
        <v>0</v>
      </c>
      <c r="Y71" s="12">
        <v>0</v>
      </c>
      <c r="Z71" s="12">
        <v>0</v>
      </c>
      <c r="AA71" s="12">
        <v>0</v>
      </c>
      <c r="AB71" s="12">
        <v>0</v>
      </c>
      <c r="AC71" s="12">
        <v>0</v>
      </c>
      <c r="AD71" s="12">
        <v>0</v>
      </c>
      <c r="AE71" s="12">
        <v>0</v>
      </c>
      <c r="AF71" s="12">
        <v>0</v>
      </c>
      <c r="AG71" s="12">
        <v>0</v>
      </c>
      <c r="AH71" s="12">
        <v>0</v>
      </c>
      <c r="AI71" s="12">
        <v>0</v>
      </c>
      <c r="AJ71" s="12">
        <v>0</v>
      </c>
      <c r="AK71" s="12">
        <v>0</v>
      </c>
      <c r="AL71" s="12">
        <v>0</v>
      </c>
      <c r="AM71" s="12">
        <v>0</v>
      </c>
      <c r="AN71" s="12">
        <v>0</v>
      </c>
      <c r="AO71" s="12">
        <v>0</v>
      </c>
      <c r="AP71" s="12">
        <v>0</v>
      </c>
      <c r="AQ71" s="12">
        <v>0</v>
      </c>
      <c r="AR71" s="12">
        <v>0</v>
      </c>
      <c r="AS71" s="12">
        <v>0</v>
      </c>
      <c r="AT71" s="12">
        <v>0</v>
      </c>
      <c r="AU71" s="12">
        <v>0</v>
      </c>
      <c r="AV71" s="12">
        <v>0</v>
      </c>
      <c r="AW71" s="12">
        <v>0</v>
      </c>
      <c r="AX71" s="12">
        <v>0</v>
      </c>
      <c r="AY71" s="12">
        <v>0</v>
      </c>
      <c r="AZ71" s="12">
        <v>0</v>
      </c>
      <c r="BA71" s="12">
        <v>0</v>
      </c>
      <c r="BB71" s="12">
        <v>0</v>
      </c>
      <c r="BC71" s="12">
        <v>0</v>
      </c>
      <c r="BD71" s="12">
        <v>0</v>
      </c>
      <c r="BE71" s="12">
        <v>0</v>
      </c>
      <c r="BF71" s="12">
        <f t="shared" si="42"/>
        <v>356</v>
      </c>
      <c r="BG71" s="12">
        <f t="shared" si="43"/>
        <v>356</v>
      </c>
      <c r="BH71" s="12">
        <f t="shared" si="44"/>
        <v>0</v>
      </c>
      <c r="BI71" s="12">
        <f t="shared" si="45"/>
        <v>0</v>
      </c>
    </row>
    <row r="72" spans="1:61" x14ac:dyDescent="0.25">
      <c r="C72" s="7">
        <v>398</v>
      </c>
      <c r="D72" s="7" t="s">
        <v>134</v>
      </c>
      <c r="E72" s="12">
        <v>0</v>
      </c>
      <c r="F72" s="12">
        <v>0</v>
      </c>
      <c r="G72" s="12">
        <v>0</v>
      </c>
      <c r="H72" s="12">
        <v>0</v>
      </c>
      <c r="I72" s="12">
        <v>0</v>
      </c>
      <c r="J72" s="12">
        <v>0</v>
      </c>
      <c r="K72" s="12">
        <v>0</v>
      </c>
      <c r="L72" s="12">
        <v>2394832.87</v>
      </c>
      <c r="M72" s="12">
        <v>0</v>
      </c>
      <c r="N72" s="12">
        <v>0</v>
      </c>
      <c r="O72" s="12">
        <v>0</v>
      </c>
      <c r="P72" s="12">
        <v>0</v>
      </c>
      <c r="Q72" s="12">
        <v>0</v>
      </c>
      <c r="R72" s="12">
        <v>0</v>
      </c>
      <c r="S72" s="12">
        <v>0</v>
      </c>
      <c r="T72" s="12">
        <v>0</v>
      </c>
      <c r="U72" s="12">
        <v>0</v>
      </c>
      <c r="V72" s="12">
        <v>0</v>
      </c>
      <c r="W72" s="12">
        <v>0</v>
      </c>
      <c r="X72" s="12">
        <v>0</v>
      </c>
      <c r="Y72" s="12">
        <v>0</v>
      </c>
      <c r="Z72" s="12">
        <v>0</v>
      </c>
      <c r="AA72" s="12">
        <v>0</v>
      </c>
      <c r="AB72" s="12">
        <v>0</v>
      </c>
      <c r="AC72" s="12">
        <v>0</v>
      </c>
      <c r="AD72" s="12">
        <v>0</v>
      </c>
      <c r="AE72" s="12">
        <v>0</v>
      </c>
      <c r="AF72" s="12">
        <v>0</v>
      </c>
      <c r="AG72" s="12">
        <v>0</v>
      </c>
      <c r="AH72" s="12">
        <v>0</v>
      </c>
      <c r="AI72" s="12">
        <v>0</v>
      </c>
      <c r="AJ72" s="12">
        <v>0</v>
      </c>
      <c r="AK72" s="12">
        <v>0</v>
      </c>
      <c r="AL72" s="12">
        <v>0</v>
      </c>
      <c r="AM72" s="12">
        <v>0</v>
      </c>
      <c r="AN72" s="12">
        <v>0</v>
      </c>
      <c r="AO72" s="12">
        <v>0</v>
      </c>
      <c r="AP72" s="12">
        <v>0</v>
      </c>
      <c r="AQ72" s="12">
        <v>0</v>
      </c>
      <c r="AR72" s="12">
        <v>0</v>
      </c>
      <c r="AS72" s="12">
        <v>0</v>
      </c>
      <c r="AT72" s="12">
        <v>0</v>
      </c>
      <c r="AU72" s="12">
        <v>0</v>
      </c>
      <c r="AV72" s="12">
        <v>0</v>
      </c>
      <c r="AW72" s="12">
        <v>0</v>
      </c>
      <c r="AX72" s="12">
        <v>0</v>
      </c>
      <c r="AY72" s="12">
        <v>0</v>
      </c>
      <c r="AZ72" s="12">
        <v>0</v>
      </c>
      <c r="BA72" s="12">
        <v>0</v>
      </c>
      <c r="BB72" s="12">
        <v>0</v>
      </c>
      <c r="BC72" s="12">
        <v>0</v>
      </c>
      <c r="BD72" s="12">
        <v>0</v>
      </c>
      <c r="BE72" s="12">
        <v>0</v>
      </c>
      <c r="BF72" s="12">
        <f t="shared" si="42"/>
        <v>2394832.87</v>
      </c>
      <c r="BG72" s="12">
        <f t="shared" si="43"/>
        <v>2394832.87</v>
      </c>
      <c r="BH72" s="12">
        <f t="shared" si="44"/>
        <v>0</v>
      </c>
      <c r="BI72" s="12">
        <f t="shared" si="45"/>
        <v>0</v>
      </c>
    </row>
    <row r="73" spans="1:61" x14ac:dyDescent="0.25">
      <c r="C73" s="7">
        <v>399</v>
      </c>
      <c r="D73" s="7" t="s">
        <v>135</v>
      </c>
      <c r="E73" s="12">
        <v>0</v>
      </c>
      <c r="F73" s="12">
        <v>0</v>
      </c>
      <c r="G73" s="12">
        <v>0</v>
      </c>
      <c r="H73" s="12">
        <v>0</v>
      </c>
      <c r="I73" s="12">
        <v>0</v>
      </c>
      <c r="J73" s="12">
        <v>0</v>
      </c>
      <c r="K73" s="12">
        <v>0</v>
      </c>
      <c r="L73" s="12">
        <v>-1938.97</v>
      </c>
      <c r="M73" s="12">
        <v>0</v>
      </c>
      <c r="N73" s="12">
        <v>0</v>
      </c>
      <c r="O73" s="12">
        <v>0</v>
      </c>
      <c r="P73" s="12">
        <v>0</v>
      </c>
      <c r="Q73" s="12">
        <v>0</v>
      </c>
      <c r="R73" s="12">
        <v>0</v>
      </c>
      <c r="S73" s="12">
        <v>0</v>
      </c>
      <c r="T73" s="12">
        <v>0</v>
      </c>
      <c r="U73" s="12">
        <v>0</v>
      </c>
      <c r="V73" s="12">
        <v>0</v>
      </c>
      <c r="W73" s="12">
        <v>5400</v>
      </c>
      <c r="X73" s="12">
        <v>0</v>
      </c>
      <c r="Y73" s="12">
        <v>0</v>
      </c>
      <c r="Z73" s="12">
        <v>0</v>
      </c>
      <c r="AA73" s="12">
        <v>0</v>
      </c>
      <c r="AB73" s="12">
        <v>0</v>
      </c>
      <c r="AC73" s="12">
        <v>0</v>
      </c>
      <c r="AD73" s="12">
        <v>0</v>
      </c>
      <c r="AE73" s="12">
        <v>0</v>
      </c>
      <c r="AF73" s="12">
        <v>0</v>
      </c>
      <c r="AG73" s="12">
        <v>0</v>
      </c>
      <c r="AH73" s="12">
        <v>0</v>
      </c>
      <c r="AI73" s="12">
        <v>0</v>
      </c>
      <c r="AJ73" s="12">
        <v>0</v>
      </c>
      <c r="AK73" s="12">
        <v>0</v>
      </c>
      <c r="AL73" s="12">
        <v>0</v>
      </c>
      <c r="AM73" s="12">
        <v>0</v>
      </c>
      <c r="AN73" s="12">
        <v>0</v>
      </c>
      <c r="AO73" s="12">
        <v>0</v>
      </c>
      <c r="AP73" s="12">
        <v>0</v>
      </c>
      <c r="AQ73" s="12">
        <v>0</v>
      </c>
      <c r="AR73" s="12">
        <v>0</v>
      </c>
      <c r="AS73" s="12">
        <v>0</v>
      </c>
      <c r="AT73" s="12">
        <v>0</v>
      </c>
      <c r="AU73" s="12">
        <v>0</v>
      </c>
      <c r="AV73" s="12">
        <v>0</v>
      </c>
      <c r="AW73" s="12">
        <v>0</v>
      </c>
      <c r="AX73" s="12">
        <v>0</v>
      </c>
      <c r="AY73" s="12">
        <v>0</v>
      </c>
      <c r="AZ73" s="12">
        <v>3500</v>
      </c>
      <c r="BA73" s="12">
        <v>0</v>
      </c>
      <c r="BB73" s="12">
        <v>0</v>
      </c>
      <c r="BC73" s="12">
        <v>0</v>
      </c>
      <c r="BD73" s="12">
        <v>0</v>
      </c>
      <c r="BE73" s="12">
        <v>0</v>
      </c>
      <c r="BF73" s="12">
        <f t="shared" si="42"/>
        <v>6961.03</v>
      </c>
      <c r="BG73" s="12">
        <f t="shared" si="43"/>
        <v>3461.0299999999997</v>
      </c>
      <c r="BH73" s="12">
        <f t="shared" si="44"/>
        <v>0</v>
      </c>
      <c r="BI73" s="12">
        <f t="shared" si="45"/>
        <v>3500</v>
      </c>
    </row>
    <row r="74" spans="1:61" x14ac:dyDescent="0.25">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row>
    <row r="75" spans="1:61" x14ac:dyDescent="0.25">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row>
    <row r="76" spans="1:61" ht="21" x14ac:dyDescent="0.4">
      <c r="A76" s="13">
        <v>4</v>
      </c>
      <c r="B76" s="13"/>
      <c r="C76" s="13"/>
      <c r="D76" s="13" t="s">
        <v>136</v>
      </c>
      <c r="E76" s="14">
        <f>E77+E83+E89+E100+E106+E118+E122+E129+E132+E141</f>
        <v>3851613.9499999997</v>
      </c>
      <c r="F76" s="14">
        <f t="shared" ref="F76:BI76" si="46">F77+F83+F89+F100+F106+F118+F122+F129+F132+F141</f>
        <v>1053880.0999999999</v>
      </c>
      <c r="G76" s="14">
        <f t="shared" si="46"/>
        <v>1889903.7700000005</v>
      </c>
      <c r="H76" s="14">
        <f t="shared" si="46"/>
        <v>1924661.97</v>
      </c>
      <c r="I76" s="14">
        <f t="shared" si="46"/>
        <v>16678003.560000002</v>
      </c>
      <c r="J76" s="14">
        <f t="shared" si="46"/>
        <v>14443183.439999999</v>
      </c>
      <c r="K76" s="14">
        <f t="shared" si="46"/>
        <v>11992734.959999999</v>
      </c>
      <c r="L76" s="14">
        <f t="shared" si="46"/>
        <v>107873400.12999998</v>
      </c>
      <c r="M76" s="14">
        <f t="shared" si="46"/>
        <v>7906926.8700000001</v>
      </c>
      <c r="N76" s="14">
        <f t="shared" si="46"/>
        <v>466521.59999999998</v>
      </c>
      <c r="O76" s="14">
        <f t="shared" si="46"/>
        <v>28823854.039999999</v>
      </c>
      <c r="P76" s="14">
        <f t="shared" si="46"/>
        <v>1953041.38</v>
      </c>
      <c r="Q76" s="14">
        <f t="shared" si="46"/>
        <v>426723.56000000006</v>
      </c>
      <c r="R76" s="14">
        <f t="shared" si="46"/>
        <v>1605786.6300000001</v>
      </c>
      <c r="S76" s="14">
        <f t="shared" si="46"/>
        <v>1669195.78</v>
      </c>
      <c r="T76" s="14">
        <f t="shared" si="46"/>
        <v>3424657.7500000005</v>
      </c>
      <c r="U76" s="14">
        <f t="shared" si="46"/>
        <v>967753.02</v>
      </c>
      <c r="V76" s="14">
        <f t="shared" si="46"/>
        <v>2308640.56</v>
      </c>
      <c r="W76" s="14">
        <f t="shared" si="46"/>
        <v>12830390.1</v>
      </c>
      <c r="X76" s="14">
        <f t="shared" si="46"/>
        <v>1940302.2999999998</v>
      </c>
      <c r="Y76" s="14">
        <f t="shared" si="46"/>
        <v>7010818.71</v>
      </c>
      <c r="Z76" s="14">
        <f t="shared" si="46"/>
        <v>15464133.35</v>
      </c>
      <c r="AA76" s="14">
        <f t="shared" si="46"/>
        <v>582960.55000000005</v>
      </c>
      <c r="AB76" s="14">
        <f t="shared" si="46"/>
        <v>1124629.0900000001</v>
      </c>
      <c r="AC76" s="14">
        <f t="shared" si="46"/>
        <v>2781468.3000000003</v>
      </c>
      <c r="AD76" s="14">
        <f t="shared" si="46"/>
        <v>3740880.7300000004</v>
      </c>
      <c r="AE76" s="14">
        <f t="shared" si="46"/>
        <v>2861906.21</v>
      </c>
      <c r="AF76" s="14">
        <f t="shared" si="46"/>
        <v>3532943.7699999996</v>
      </c>
      <c r="AG76" s="14">
        <f t="shared" si="46"/>
        <v>10362713.059999999</v>
      </c>
      <c r="AH76" s="14">
        <f t="shared" si="46"/>
        <v>12459995.75</v>
      </c>
      <c r="AI76" s="14">
        <f t="shared" si="46"/>
        <v>1123184.21</v>
      </c>
      <c r="AJ76" s="14">
        <f t="shared" si="46"/>
        <v>1009396.3499999999</v>
      </c>
      <c r="AK76" s="14">
        <f t="shared" si="46"/>
        <v>8724919.5899999999</v>
      </c>
      <c r="AL76" s="14">
        <f t="shared" si="46"/>
        <v>5640011.4800000004</v>
      </c>
      <c r="AM76" s="14">
        <f t="shared" si="46"/>
        <v>5172015.04</v>
      </c>
      <c r="AN76" s="14">
        <f t="shared" si="46"/>
        <v>603829.87</v>
      </c>
      <c r="AO76" s="14">
        <f t="shared" si="46"/>
        <v>10175273.030000001</v>
      </c>
      <c r="AP76" s="14">
        <f t="shared" si="46"/>
        <v>3693506.1</v>
      </c>
      <c r="AQ76" s="14">
        <f t="shared" si="46"/>
        <v>2426914.1599999997</v>
      </c>
      <c r="AR76" s="14">
        <f t="shared" si="46"/>
        <v>7423909.4800000004</v>
      </c>
      <c r="AS76" s="14">
        <f t="shared" si="46"/>
        <v>3260984.5</v>
      </c>
      <c r="AT76" s="14">
        <f t="shared" si="46"/>
        <v>4537138.45</v>
      </c>
      <c r="AU76" s="14">
        <f t="shared" si="46"/>
        <v>1544975.2100000002</v>
      </c>
      <c r="AV76" s="14">
        <f t="shared" si="46"/>
        <v>10706712.18</v>
      </c>
      <c r="AW76" s="14">
        <f t="shared" si="46"/>
        <v>3293941.63</v>
      </c>
      <c r="AX76" s="14">
        <f t="shared" si="46"/>
        <v>769190.34999999986</v>
      </c>
      <c r="AY76" s="14">
        <f t="shared" si="46"/>
        <v>1311205.6100000001</v>
      </c>
      <c r="AZ76" s="14">
        <f t="shared" si="46"/>
        <v>6978339.71</v>
      </c>
      <c r="BA76" s="14">
        <f t="shared" si="46"/>
        <v>1615808.17</v>
      </c>
      <c r="BB76" s="14">
        <f t="shared" si="46"/>
        <v>5996864.8600000013</v>
      </c>
      <c r="BC76" s="14">
        <f t="shared" si="46"/>
        <v>795418.14</v>
      </c>
      <c r="BD76" s="14">
        <f t="shared" si="46"/>
        <v>42638657.090000004</v>
      </c>
      <c r="BE76" s="14">
        <f t="shared" si="46"/>
        <v>2601254.09</v>
      </c>
      <c r="BF76" s="14">
        <f t="shared" si="46"/>
        <v>415997074.29000002</v>
      </c>
      <c r="BG76" s="14">
        <f t="shared" si="46"/>
        <v>222090873.16999996</v>
      </c>
      <c r="BH76" s="14">
        <f t="shared" si="46"/>
        <v>63995332.380000003</v>
      </c>
      <c r="BI76" s="14">
        <f t="shared" si="46"/>
        <v>129910868.74000001</v>
      </c>
    </row>
    <row r="77" spans="1:61" x14ac:dyDescent="0.25">
      <c r="A77" s="6"/>
      <c r="B77" s="68">
        <v>40</v>
      </c>
      <c r="C77" s="68"/>
      <c r="D77" s="68" t="s">
        <v>79</v>
      </c>
      <c r="E77" s="69">
        <f>E78+E79+E80+E81</f>
        <v>2612688.9700000002</v>
      </c>
      <c r="F77" s="69">
        <f t="shared" ref="F77:BI77" si="47">F78+F79+F80+F81</f>
        <v>538794.5</v>
      </c>
      <c r="G77" s="69">
        <f t="shared" si="47"/>
        <v>1322190.5300000003</v>
      </c>
      <c r="H77" s="69">
        <f t="shared" si="47"/>
        <v>1061305.54</v>
      </c>
      <c r="I77" s="69">
        <f t="shared" si="47"/>
        <v>9435219.4500000011</v>
      </c>
      <c r="J77" s="69">
        <f t="shared" si="47"/>
        <v>9146314.3900000006</v>
      </c>
      <c r="K77" s="69">
        <f t="shared" si="47"/>
        <v>8272966.9300000006</v>
      </c>
      <c r="L77" s="69">
        <f t="shared" si="47"/>
        <v>37935665.5</v>
      </c>
      <c r="M77" s="69">
        <f t="shared" si="47"/>
        <v>3584848.6599999997</v>
      </c>
      <c r="N77" s="69">
        <f t="shared" si="47"/>
        <v>244172.31</v>
      </c>
      <c r="O77" s="69">
        <f t="shared" si="47"/>
        <v>18658452.800000001</v>
      </c>
      <c r="P77" s="69">
        <f t="shared" si="47"/>
        <v>1222236.96</v>
      </c>
      <c r="Q77" s="69">
        <f t="shared" si="47"/>
        <v>277114.08</v>
      </c>
      <c r="R77" s="69">
        <f t="shared" si="47"/>
        <v>1121422.0999999999</v>
      </c>
      <c r="S77" s="69">
        <f t="shared" si="47"/>
        <v>791703.46000000008</v>
      </c>
      <c r="T77" s="69">
        <f t="shared" si="47"/>
        <v>2308448.0500000003</v>
      </c>
      <c r="U77" s="69">
        <f t="shared" si="47"/>
        <v>520020.95</v>
      </c>
      <c r="V77" s="69">
        <f t="shared" si="47"/>
        <v>1475673.34</v>
      </c>
      <c r="W77" s="69">
        <f t="shared" si="47"/>
        <v>8239040.4100000001</v>
      </c>
      <c r="X77" s="69">
        <f t="shared" si="47"/>
        <v>921376.24999999988</v>
      </c>
      <c r="Y77" s="69">
        <f t="shared" si="47"/>
        <v>4846822.5999999996</v>
      </c>
      <c r="Z77" s="69">
        <f t="shared" si="47"/>
        <v>10408715.17</v>
      </c>
      <c r="AA77" s="69">
        <f t="shared" si="47"/>
        <v>232528.25000000003</v>
      </c>
      <c r="AB77" s="69">
        <f t="shared" si="47"/>
        <v>339285.64000000007</v>
      </c>
      <c r="AC77" s="69">
        <f t="shared" si="47"/>
        <v>1527682</v>
      </c>
      <c r="AD77" s="69">
        <f t="shared" si="47"/>
        <v>1886970.1200000003</v>
      </c>
      <c r="AE77" s="69">
        <f t="shared" si="47"/>
        <v>1427624.28</v>
      </c>
      <c r="AF77" s="69">
        <f t="shared" si="47"/>
        <v>1608819.1</v>
      </c>
      <c r="AG77" s="69">
        <f t="shared" si="47"/>
        <v>6712622.2699999996</v>
      </c>
      <c r="AH77" s="69">
        <f t="shared" si="47"/>
        <v>7706784.1000000006</v>
      </c>
      <c r="AI77" s="69">
        <f t="shared" si="47"/>
        <v>561107.85000000009</v>
      </c>
      <c r="AJ77" s="69">
        <f t="shared" si="47"/>
        <v>358315.77999999997</v>
      </c>
      <c r="AK77" s="69">
        <f t="shared" si="47"/>
        <v>5996525.1300000008</v>
      </c>
      <c r="AL77" s="69">
        <f t="shared" si="47"/>
        <v>2632558.5500000003</v>
      </c>
      <c r="AM77" s="69">
        <f t="shared" si="47"/>
        <v>2942977.44</v>
      </c>
      <c r="AN77" s="69">
        <f t="shared" si="47"/>
        <v>351657.95</v>
      </c>
      <c r="AO77" s="69">
        <f t="shared" si="47"/>
        <v>8158206.9900000002</v>
      </c>
      <c r="AP77" s="69">
        <f t="shared" si="47"/>
        <v>1607863.4500000002</v>
      </c>
      <c r="AQ77" s="69">
        <f t="shared" si="47"/>
        <v>1696577.8399999999</v>
      </c>
      <c r="AR77" s="69">
        <f t="shared" si="47"/>
        <v>3068900.23</v>
      </c>
      <c r="AS77" s="69">
        <f t="shared" si="47"/>
        <v>1845262.8299999998</v>
      </c>
      <c r="AT77" s="69">
        <f t="shared" si="47"/>
        <v>2541861.7199999997</v>
      </c>
      <c r="AU77" s="69">
        <f t="shared" si="47"/>
        <v>882676.6</v>
      </c>
      <c r="AV77" s="69">
        <f t="shared" si="47"/>
        <v>6808270.2599999998</v>
      </c>
      <c r="AW77" s="69">
        <f t="shared" si="47"/>
        <v>2534797.7199999997</v>
      </c>
      <c r="AX77" s="69">
        <f t="shared" si="47"/>
        <v>400746.23999999999</v>
      </c>
      <c r="AY77" s="69">
        <f t="shared" si="47"/>
        <v>842160.66</v>
      </c>
      <c r="AZ77" s="69">
        <f t="shared" si="47"/>
        <v>4826681.75</v>
      </c>
      <c r="BA77" s="69">
        <f t="shared" si="47"/>
        <v>858898.73</v>
      </c>
      <c r="BB77" s="69">
        <f t="shared" si="47"/>
        <v>3576289.8800000004</v>
      </c>
      <c r="BC77" s="69">
        <f t="shared" si="47"/>
        <v>384685.00000000006</v>
      </c>
      <c r="BD77" s="69">
        <f t="shared" si="47"/>
        <v>23431745.539999999</v>
      </c>
      <c r="BE77" s="69">
        <f t="shared" si="47"/>
        <v>1543079.48</v>
      </c>
      <c r="BF77" s="69">
        <f t="shared" si="47"/>
        <v>224239356.33000001</v>
      </c>
      <c r="BG77" s="69">
        <f t="shared" si="47"/>
        <v>108768278.92999998</v>
      </c>
      <c r="BH77" s="69">
        <f t="shared" si="47"/>
        <v>38538653.409999996</v>
      </c>
      <c r="BI77" s="69">
        <f t="shared" si="47"/>
        <v>76932423.99000001</v>
      </c>
    </row>
    <row r="78" spans="1:61" x14ac:dyDescent="0.25">
      <c r="C78" s="7">
        <v>400</v>
      </c>
      <c r="D78" s="7" t="s">
        <v>137</v>
      </c>
      <c r="E78" s="12">
        <v>2262700.1</v>
      </c>
      <c r="F78" s="12">
        <v>394584.4</v>
      </c>
      <c r="G78" s="12">
        <v>1139128.03</v>
      </c>
      <c r="H78" s="12">
        <v>950656.41</v>
      </c>
      <c r="I78" s="12">
        <v>7671730.6699999999</v>
      </c>
      <c r="J78" s="12">
        <v>7674815.9800000004</v>
      </c>
      <c r="K78" s="12">
        <v>6509158.8200000003</v>
      </c>
      <c r="L78" s="12">
        <v>29188230.370000001</v>
      </c>
      <c r="M78" s="12">
        <v>3029773.01</v>
      </c>
      <c r="N78" s="12">
        <v>191379.45</v>
      </c>
      <c r="O78" s="12">
        <v>14939845.5</v>
      </c>
      <c r="P78" s="12">
        <v>1017923.84</v>
      </c>
      <c r="Q78" s="12">
        <v>207778.13</v>
      </c>
      <c r="R78" s="12">
        <v>999136.44</v>
      </c>
      <c r="S78" s="12">
        <v>640644.31000000006</v>
      </c>
      <c r="T78" s="12">
        <v>2080807.3</v>
      </c>
      <c r="U78" s="12">
        <v>447890.85</v>
      </c>
      <c r="V78" s="12">
        <v>1095422.74</v>
      </c>
      <c r="W78" s="12">
        <v>6728443.8799999999</v>
      </c>
      <c r="X78" s="12">
        <v>746834.75</v>
      </c>
      <c r="Y78" s="12">
        <v>4344563.7</v>
      </c>
      <c r="Z78" s="12">
        <v>3016734.59</v>
      </c>
      <c r="AA78" s="12">
        <v>162980.45000000001</v>
      </c>
      <c r="AB78" s="12">
        <v>290960.59000000003</v>
      </c>
      <c r="AC78" s="12">
        <v>1263965.1499999999</v>
      </c>
      <c r="AD78" s="12">
        <v>1550453.62</v>
      </c>
      <c r="AE78" s="12">
        <v>1150391.33</v>
      </c>
      <c r="AF78" s="12">
        <v>1344189.14</v>
      </c>
      <c r="AG78" s="12">
        <v>4697662.17</v>
      </c>
      <c r="AH78" s="12">
        <v>6280726.4000000004</v>
      </c>
      <c r="AI78" s="12">
        <v>432541.64</v>
      </c>
      <c r="AJ78" s="12">
        <v>246941.98</v>
      </c>
      <c r="AK78" s="12">
        <v>4913883.17</v>
      </c>
      <c r="AL78" s="12">
        <v>2112923.7400000002</v>
      </c>
      <c r="AM78" s="12">
        <v>2384568.14</v>
      </c>
      <c r="AN78" s="12">
        <v>269179</v>
      </c>
      <c r="AO78" s="12">
        <v>3543365.99</v>
      </c>
      <c r="AP78" s="12">
        <v>1427538.26</v>
      </c>
      <c r="AQ78" s="12">
        <v>1396587.69</v>
      </c>
      <c r="AR78" s="12">
        <v>2314628.2999999998</v>
      </c>
      <c r="AS78" s="12">
        <v>1555418.93</v>
      </c>
      <c r="AT78" s="12">
        <v>2260301.69</v>
      </c>
      <c r="AU78" s="12">
        <v>665145.5</v>
      </c>
      <c r="AV78" s="12">
        <v>5397412.5199999996</v>
      </c>
      <c r="AW78" s="12">
        <v>1851760.6</v>
      </c>
      <c r="AX78" s="12">
        <v>313766.09999999998</v>
      </c>
      <c r="AY78" s="12">
        <v>678698.3</v>
      </c>
      <c r="AZ78" s="12">
        <v>4101354</v>
      </c>
      <c r="BA78" s="12">
        <v>693667.73</v>
      </c>
      <c r="BB78" s="12">
        <v>2709049.81</v>
      </c>
      <c r="BC78" s="12">
        <v>301178.40000000002</v>
      </c>
      <c r="BD78" s="12">
        <v>17855510.039999999</v>
      </c>
      <c r="BE78" s="12">
        <v>1216929.3899999999</v>
      </c>
      <c r="BF78" s="12">
        <f t="shared" ref="BF78:BF81" si="48">SUM(E78:BE78)</f>
        <v>170661863.04000002</v>
      </c>
      <c r="BG78" s="12">
        <f t="shared" ref="BG78:BG81" si="49">SUM(E78:W78)</f>
        <v>87170050.229999989</v>
      </c>
      <c r="BH78" s="12">
        <f t="shared" ref="BH78:BH81" si="50">SUM(X78:AJ78)</f>
        <v>25528945.510000002</v>
      </c>
      <c r="BI78" s="12">
        <f t="shared" ref="BI78:BI81" si="51">SUM(AK78:BE78)</f>
        <v>57962867.300000004</v>
      </c>
    </row>
    <row r="79" spans="1:61" x14ac:dyDescent="0.25">
      <c r="C79" s="7">
        <v>401</v>
      </c>
      <c r="D79" s="7" t="s">
        <v>138</v>
      </c>
      <c r="E79" s="12">
        <v>104082.17</v>
      </c>
      <c r="F79" s="12">
        <v>4199.7</v>
      </c>
      <c r="G79" s="12">
        <v>-8741.4500000000007</v>
      </c>
      <c r="H79" s="12">
        <v>-15810.9</v>
      </c>
      <c r="I79" s="12">
        <v>410566.15</v>
      </c>
      <c r="J79" s="12">
        <v>435109.2</v>
      </c>
      <c r="K79" s="12">
        <v>1158851.46</v>
      </c>
      <c r="L79" s="12">
        <v>4132816.72</v>
      </c>
      <c r="M79" s="12">
        <v>169303.3</v>
      </c>
      <c r="N79" s="12">
        <v>10437.31</v>
      </c>
      <c r="O79" s="12">
        <v>1422894.55</v>
      </c>
      <c r="P79" s="12">
        <v>1536.15</v>
      </c>
      <c r="Q79" s="12">
        <v>400.65</v>
      </c>
      <c r="R79" s="12">
        <v>634.11</v>
      </c>
      <c r="S79" s="12">
        <v>2644.55</v>
      </c>
      <c r="T79" s="12">
        <v>-10344.4</v>
      </c>
      <c r="U79" s="12">
        <v>4057.45</v>
      </c>
      <c r="V79" s="12">
        <v>242179.35</v>
      </c>
      <c r="W79" s="12">
        <v>414822.18</v>
      </c>
      <c r="X79" s="12">
        <v>4574.2</v>
      </c>
      <c r="Y79" s="12">
        <v>112507.6</v>
      </c>
      <c r="Z79" s="12">
        <v>6938409.75</v>
      </c>
      <c r="AA79" s="12">
        <v>102.2</v>
      </c>
      <c r="AB79" s="12">
        <v>-5685.3</v>
      </c>
      <c r="AC79" s="12">
        <v>72681.350000000006</v>
      </c>
      <c r="AD79" s="12">
        <v>74341.350000000006</v>
      </c>
      <c r="AE79" s="12">
        <v>23967.7</v>
      </c>
      <c r="AF79" s="12">
        <v>48888.36</v>
      </c>
      <c r="AG79" s="12">
        <v>1308463.1000000001</v>
      </c>
      <c r="AH79" s="12">
        <v>480060.95</v>
      </c>
      <c r="AI79" s="12">
        <v>20202.71</v>
      </c>
      <c r="AJ79" s="12">
        <v>-559.15</v>
      </c>
      <c r="AK79" s="12">
        <v>381200.4</v>
      </c>
      <c r="AL79" s="12">
        <v>15337.65</v>
      </c>
      <c r="AM79" s="12">
        <v>70712.149999999994</v>
      </c>
      <c r="AN79" s="12">
        <v>41575</v>
      </c>
      <c r="AO79" s="12">
        <v>4126565.45</v>
      </c>
      <c r="AP79" s="12">
        <v>-20679.21</v>
      </c>
      <c r="AQ79" s="12">
        <v>126129.7</v>
      </c>
      <c r="AR79" s="12">
        <v>12170.65</v>
      </c>
      <c r="AS79" s="12">
        <v>24447.4</v>
      </c>
      <c r="AT79" s="12">
        <v>18304.88</v>
      </c>
      <c r="AU79" s="12">
        <v>124189.1</v>
      </c>
      <c r="AV79" s="12">
        <v>395818.19</v>
      </c>
      <c r="AW79" s="12">
        <v>374940.27</v>
      </c>
      <c r="AX79" s="12">
        <v>7008.05</v>
      </c>
      <c r="AY79" s="12">
        <v>11008.4</v>
      </c>
      <c r="AZ79" s="12">
        <v>49702.400000000001</v>
      </c>
      <c r="BA79" s="12">
        <v>16074.4</v>
      </c>
      <c r="BB79" s="12">
        <v>302844.09999999998</v>
      </c>
      <c r="BC79" s="12">
        <v>10835.15</v>
      </c>
      <c r="BD79" s="12">
        <v>2575460.19</v>
      </c>
      <c r="BE79" s="12">
        <v>115443.55</v>
      </c>
      <c r="BF79" s="12">
        <f t="shared" si="48"/>
        <v>26336680.939999986</v>
      </c>
      <c r="BG79" s="12">
        <f t="shared" si="49"/>
        <v>8479638.25</v>
      </c>
      <c r="BH79" s="12">
        <f t="shared" si="50"/>
        <v>9077954.8200000003</v>
      </c>
      <c r="BI79" s="12">
        <f t="shared" si="51"/>
        <v>8779087.8700000029</v>
      </c>
    </row>
    <row r="80" spans="1:61" x14ac:dyDescent="0.25">
      <c r="C80" s="7">
        <v>402</v>
      </c>
      <c r="D80" s="7" t="s">
        <v>139</v>
      </c>
      <c r="E80" s="12">
        <v>232616.5</v>
      </c>
      <c r="F80" s="12">
        <v>134798.39999999999</v>
      </c>
      <c r="G80" s="12">
        <v>185978.35</v>
      </c>
      <c r="H80" s="12">
        <v>123590.03</v>
      </c>
      <c r="I80" s="12">
        <v>1290471.23</v>
      </c>
      <c r="J80" s="12">
        <v>1014914.21</v>
      </c>
      <c r="K80" s="12">
        <v>583017.75</v>
      </c>
      <c r="L80" s="12">
        <v>4520498.41</v>
      </c>
      <c r="M80" s="12">
        <v>380573.95</v>
      </c>
      <c r="N80" s="12">
        <v>27755.9</v>
      </c>
      <c r="O80" s="12">
        <v>2239996.15</v>
      </c>
      <c r="P80" s="12">
        <v>199185.77</v>
      </c>
      <c r="Q80" s="12">
        <v>63778.1</v>
      </c>
      <c r="R80" s="12">
        <v>105021.25</v>
      </c>
      <c r="S80" s="12">
        <v>136211.6</v>
      </c>
      <c r="T80" s="12">
        <v>234255.15</v>
      </c>
      <c r="U80" s="12">
        <v>56002</v>
      </c>
      <c r="V80" s="12">
        <v>132074.25</v>
      </c>
      <c r="W80" s="12">
        <v>1053641.1000000001</v>
      </c>
      <c r="X80" s="12">
        <v>137531.1</v>
      </c>
      <c r="Y80" s="12">
        <v>363171.6</v>
      </c>
      <c r="Z80" s="12">
        <v>441259.63</v>
      </c>
      <c r="AA80" s="12">
        <v>67345.600000000006</v>
      </c>
      <c r="AB80" s="12">
        <v>50604.15</v>
      </c>
      <c r="AC80" s="12">
        <v>179387.8</v>
      </c>
      <c r="AD80" s="12">
        <v>244804.55</v>
      </c>
      <c r="AE80" s="12">
        <v>216397.45</v>
      </c>
      <c r="AF80" s="12">
        <v>205025.8</v>
      </c>
      <c r="AG80" s="12">
        <v>680175</v>
      </c>
      <c r="AH80" s="12">
        <v>860106.65</v>
      </c>
      <c r="AI80" s="12">
        <v>99649.35</v>
      </c>
      <c r="AJ80" s="12">
        <v>69457.649999999994</v>
      </c>
      <c r="AK80" s="12">
        <v>692041.56</v>
      </c>
      <c r="AL80" s="12">
        <v>451447.16</v>
      </c>
      <c r="AM80" s="12">
        <v>465405.75</v>
      </c>
      <c r="AN80" s="12">
        <v>35823.949999999997</v>
      </c>
      <c r="AO80" s="12">
        <v>486190.75</v>
      </c>
      <c r="AP80" s="12">
        <v>188734.8</v>
      </c>
      <c r="AQ80" s="12">
        <v>166180.04999999999</v>
      </c>
      <c r="AR80" s="12">
        <v>609945.18000000005</v>
      </c>
      <c r="AS80" s="12">
        <v>261776.1</v>
      </c>
      <c r="AT80" s="12">
        <v>248060.15</v>
      </c>
      <c r="AU80" s="12">
        <v>88152</v>
      </c>
      <c r="AV80" s="12">
        <v>1001432.95</v>
      </c>
      <c r="AW80" s="12">
        <v>303470.05</v>
      </c>
      <c r="AX80" s="12">
        <v>78838.94</v>
      </c>
      <c r="AY80" s="12">
        <v>146578.96</v>
      </c>
      <c r="AZ80" s="12">
        <v>652921.75</v>
      </c>
      <c r="BA80" s="12">
        <v>134055</v>
      </c>
      <c r="BB80" s="12">
        <v>488431.12</v>
      </c>
      <c r="BC80" s="12">
        <v>69493.05</v>
      </c>
      <c r="BD80" s="12">
        <v>2935619.56</v>
      </c>
      <c r="BE80" s="12">
        <v>202287.74</v>
      </c>
      <c r="BF80" s="12">
        <f t="shared" si="48"/>
        <v>26036183.000000004</v>
      </c>
      <c r="BG80" s="12">
        <f t="shared" si="49"/>
        <v>12714380.1</v>
      </c>
      <c r="BH80" s="12">
        <f t="shared" si="50"/>
        <v>3614916.3299999996</v>
      </c>
      <c r="BI80" s="12">
        <f t="shared" si="51"/>
        <v>9706886.5700000003</v>
      </c>
    </row>
    <row r="81" spans="2:61" x14ac:dyDescent="0.25">
      <c r="C81" s="7">
        <v>403</v>
      </c>
      <c r="D81" s="7" t="s">
        <v>140</v>
      </c>
      <c r="E81" s="12">
        <v>13290.2</v>
      </c>
      <c r="F81" s="12">
        <v>5212</v>
      </c>
      <c r="G81" s="12">
        <v>5825.6</v>
      </c>
      <c r="H81" s="12">
        <v>2870</v>
      </c>
      <c r="I81" s="12">
        <v>62451.4</v>
      </c>
      <c r="J81" s="12">
        <v>21475</v>
      </c>
      <c r="K81" s="12">
        <v>21938.9</v>
      </c>
      <c r="L81" s="12">
        <v>94120</v>
      </c>
      <c r="M81" s="12">
        <v>5198.3999999999996</v>
      </c>
      <c r="N81" s="12">
        <v>14599.65</v>
      </c>
      <c r="O81" s="12">
        <v>55716.6</v>
      </c>
      <c r="P81" s="12">
        <v>3591.2</v>
      </c>
      <c r="Q81" s="12">
        <v>5157.2</v>
      </c>
      <c r="R81" s="12">
        <v>16630.3</v>
      </c>
      <c r="S81" s="12">
        <v>12203</v>
      </c>
      <c r="T81" s="12">
        <v>3730</v>
      </c>
      <c r="U81" s="12">
        <v>12070.65</v>
      </c>
      <c r="V81" s="12">
        <v>5997</v>
      </c>
      <c r="W81" s="12">
        <v>42133.25</v>
      </c>
      <c r="X81" s="12">
        <v>32436.2</v>
      </c>
      <c r="Y81" s="12">
        <v>26579.7</v>
      </c>
      <c r="Z81" s="12">
        <v>12311.2</v>
      </c>
      <c r="AA81" s="12">
        <v>2100</v>
      </c>
      <c r="AB81" s="12">
        <v>3406.2</v>
      </c>
      <c r="AC81" s="12">
        <v>11647.7</v>
      </c>
      <c r="AD81" s="12">
        <v>17370.599999999999</v>
      </c>
      <c r="AE81" s="12">
        <v>36867.800000000003</v>
      </c>
      <c r="AF81" s="12">
        <v>10715.8</v>
      </c>
      <c r="AG81" s="12">
        <v>26322</v>
      </c>
      <c r="AH81" s="12">
        <v>85890.1</v>
      </c>
      <c r="AI81" s="12">
        <v>8714.15</v>
      </c>
      <c r="AJ81" s="12">
        <v>42475.3</v>
      </c>
      <c r="AK81" s="12">
        <v>9400</v>
      </c>
      <c r="AL81" s="12">
        <v>52850</v>
      </c>
      <c r="AM81" s="12">
        <v>22291.4</v>
      </c>
      <c r="AN81" s="12">
        <v>5080</v>
      </c>
      <c r="AO81" s="12">
        <v>2084.8000000000002</v>
      </c>
      <c r="AP81" s="12">
        <v>12269.6</v>
      </c>
      <c r="AQ81" s="12">
        <v>7680.4</v>
      </c>
      <c r="AR81" s="12">
        <v>132156.1</v>
      </c>
      <c r="AS81" s="12">
        <v>3620.4</v>
      </c>
      <c r="AT81" s="12">
        <v>15195</v>
      </c>
      <c r="AU81" s="12">
        <v>5190</v>
      </c>
      <c r="AV81" s="12">
        <v>13606.6</v>
      </c>
      <c r="AW81" s="12">
        <v>4626.8</v>
      </c>
      <c r="AX81" s="12">
        <v>1133.1500000000001</v>
      </c>
      <c r="AY81" s="12">
        <v>5875</v>
      </c>
      <c r="AZ81" s="12">
        <v>22703.599999999999</v>
      </c>
      <c r="BA81" s="12">
        <v>15101.6</v>
      </c>
      <c r="BB81" s="12">
        <v>75964.850000000006</v>
      </c>
      <c r="BC81" s="12">
        <v>3178.4</v>
      </c>
      <c r="BD81" s="12">
        <v>65155.75</v>
      </c>
      <c r="BE81" s="12">
        <v>8418.7999999999993</v>
      </c>
      <c r="BF81" s="12">
        <f t="shared" si="48"/>
        <v>1204629.3500000003</v>
      </c>
      <c r="BG81" s="12">
        <f t="shared" si="49"/>
        <v>404210.35000000003</v>
      </c>
      <c r="BH81" s="12">
        <f t="shared" si="50"/>
        <v>316836.75000000006</v>
      </c>
      <c r="BI81" s="12">
        <f t="shared" si="51"/>
        <v>483582.24999999994</v>
      </c>
    </row>
    <row r="82" spans="2:61" x14ac:dyDescent="0.25">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row>
    <row r="83" spans="2:61" x14ac:dyDescent="0.25">
      <c r="B83" s="68">
        <v>41</v>
      </c>
      <c r="C83" s="68"/>
      <c r="D83" s="68" t="s">
        <v>141</v>
      </c>
      <c r="E83" s="69">
        <f>E84+E85+E86+E87</f>
        <v>0</v>
      </c>
      <c r="F83" s="69">
        <f t="shared" ref="F83:BI83" si="52">F84+F85+F86+F87</f>
        <v>12860.46</v>
      </c>
      <c r="G83" s="69">
        <f t="shared" si="52"/>
        <v>0</v>
      </c>
      <c r="H83" s="69">
        <f t="shared" si="52"/>
        <v>0</v>
      </c>
      <c r="I83" s="69">
        <f t="shared" si="52"/>
        <v>0</v>
      </c>
      <c r="J83" s="69">
        <f t="shared" si="52"/>
        <v>0</v>
      </c>
      <c r="K83" s="69">
        <f t="shared" si="52"/>
        <v>0</v>
      </c>
      <c r="L83" s="69">
        <f t="shared" si="52"/>
        <v>0</v>
      </c>
      <c r="M83" s="69">
        <f t="shared" si="52"/>
        <v>51651</v>
      </c>
      <c r="N83" s="69">
        <f t="shared" si="52"/>
        <v>0</v>
      </c>
      <c r="O83" s="69">
        <f t="shared" si="52"/>
        <v>64892</v>
      </c>
      <c r="P83" s="69">
        <f t="shared" si="52"/>
        <v>10735</v>
      </c>
      <c r="Q83" s="69">
        <f t="shared" si="52"/>
        <v>0</v>
      </c>
      <c r="R83" s="69">
        <f t="shared" si="52"/>
        <v>0</v>
      </c>
      <c r="S83" s="69">
        <f t="shared" si="52"/>
        <v>7376.4</v>
      </c>
      <c r="T83" s="69">
        <f t="shared" si="52"/>
        <v>0</v>
      </c>
      <c r="U83" s="69">
        <f t="shared" si="52"/>
        <v>0</v>
      </c>
      <c r="V83" s="69">
        <f t="shared" si="52"/>
        <v>0</v>
      </c>
      <c r="W83" s="69">
        <f t="shared" si="52"/>
        <v>7233</v>
      </c>
      <c r="X83" s="69">
        <f t="shared" si="52"/>
        <v>0</v>
      </c>
      <c r="Y83" s="69">
        <f t="shared" si="52"/>
        <v>0</v>
      </c>
      <c r="Z83" s="69">
        <f t="shared" si="52"/>
        <v>511101.5</v>
      </c>
      <c r="AA83" s="69">
        <f t="shared" si="52"/>
        <v>568</v>
      </c>
      <c r="AB83" s="69">
        <f t="shared" si="52"/>
        <v>292</v>
      </c>
      <c r="AC83" s="69">
        <f t="shared" si="52"/>
        <v>2904.7</v>
      </c>
      <c r="AD83" s="69">
        <f t="shared" si="52"/>
        <v>0</v>
      </c>
      <c r="AE83" s="69">
        <f t="shared" si="52"/>
        <v>0</v>
      </c>
      <c r="AF83" s="69">
        <f t="shared" si="52"/>
        <v>16873</v>
      </c>
      <c r="AG83" s="69">
        <f t="shared" si="52"/>
        <v>10483.9</v>
      </c>
      <c r="AH83" s="69">
        <f t="shared" si="52"/>
        <v>71604.649999999994</v>
      </c>
      <c r="AI83" s="69">
        <f t="shared" si="52"/>
        <v>20772.95</v>
      </c>
      <c r="AJ83" s="69">
        <f t="shared" si="52"/>
        <v>8000</v>
      </c>
      <c r="AK83" s="69">
        <f t="shared" si="52"/>
        <v>0</v>
      </c>
      <c r="AL83" s="69">
        <f t="shared" si="52"/>
        <v>0</v>
      </c>
      <c r="AM83" s="69">
        <f t="shared" si="52"/>
        <v>0</v>
      </c>
      <c r="AN83" s="69">
        <f t="shared" si="52"/>
        <v>0</v>
      </c>
      <c r="AO83" s="69">
        <f t="shared" si="52"/>
        <v>0</v>
      </c>
      <c r="AP83" s="69">
        <f t="shared" si="52"/>
        <v>0</v>
      </c>
      <c r="AQ83" s="69">
        <f t="shared" si="52"/>
        <v>0</v>
      </c>
      <c r="AR83" s="69">
        <f t="shared" si="52"/>
        <v>320.2</v>
      </c>
      <c r="AS83" s="69">
        <f t="shared" si="52"/>
        <v>1365.05</v>
      </c>
      <c r="AT83" s="69">
        <f t="shared" si="52"/>
        <v>59174.5</v>
      </c>
      <c r="AU83" s="69">
        <f t="shared" si="52"/>
        <v>0</v>
      </c>
      <c r="AV83" s="69">
        <f t="shared" si="52"/>
        <v>8854.85</v>
      </c>
      <c r="AW83" s="69">
        <f t="shared" si="52"/>
        <v>0</v>
      </c>
      <c r="AX83" s="69">
        <f t="shared" si="52"/>
        <v>9070</v>
      </c>
      <c r="AY83" s="69">
        <f t="shared" si="52"/>
        <v>0</v>
      </c>
      <c r="AZ83" s="69">
        <f t="shared" si="52"/>
        <v>7406.7</v>
      </c>
      <c r="BA83" s="69">
        <f t="shared" si="52"/>
        <v>0</v>
      </c>
      <c r="BB83" s="69">
        <f t="shared" si="52"/>
        <v>36459.300000000003</v>
      </c>
      <c r="BC83" s="69">
        <f t="shared" si="52"/>
        <v>11030.85</v>
      </c>
      <c r="BD83" s="69">
        <f t="shared" si="52"/>
        <v>286894.8</v>
      </c>
      <c r="BE83" s="69">
        <f t="shared" si="52"/>
        <v>830.75</v>
      </c>
      <c r="BF83" s="69">
        <f t="shared" si="52"/>
        <v>1218755.5599999998</v>
      </c>
      <c r="BG83" s="69">
        <f t="shared" si="52"/>
        <v>154747.85999999999</v>
      </c>
      <c r="BH83" s="69">
        <f t="shared" si="52"/>
        <v>642600.69999999995</v>
      </c>
      <c r="BI83" s="69">
        <f t="shared" si="52"/>
        <v>421407</v>
      </c>
    </row>
    <row r="84" spans="2:61" x14ac:dyDescent="0.25">
      <c r="C84" s="7">
        <v>410</v>
      </c>
      <c r="D84" s="7" t="s">
        <v>142</v>
      </c>
      <c r="E84" s="12">
        <v>0</v>
      </c>
      <c r="F84" s="12">
        <v>0</v>
      </c>
      <c r="G84" s="12">
        <v>0</v>
      </c>
      <c r="H84" s="12">
        <v>0</v>
      </c>
      <c r="I84" s="12">
        <v>0</v>
      </c>
      <c r="J84" s="12">
        <v>0</v>
      </c>
      <c r="K84" s="12">
        <v>0</v>
      </c>
      <c r="L84" s="12">
        <v>0</v>
      </c>
      <c r="M84" s="12">
        <v>0</v>
      </c>
      <c r="N84" s="12">
        <v>0</v>
      </c>
      <c r="O84" s="12">
        <v>0</v>
      </c>
      <c r="P84" s="12">
        <v>0</v>
      </c>
      <c r="Q84" s="12">
        <v>0</v>
      </c>
      <c r="R84" s="12">
        <v>0</v>
      </c>
      <c r="S84" s="12">
        <v>0</v>
      </c>
      <c r="T84" s="12">
        <v>0</v>
      </c>
      <c r="U84" s="12">
        <v>0</v>
      </c>
      <c r="V84" s="12">
        <v>0</v>
      </c>
      <c r="W84" s="12">
        <v>0</v>
      </c>
      <c r="X84" s="12">
        <v>0</v>
      </c>
      <c r="Y84" s="12">
        <v>0</v>
      </c>
      <c r="Z84" s="12">
        <v>0</v>
      </c>
      <c r="AA84" s="12">
        <v>0</v>
      </c>
      <c r="AB84" s="12">
        <v>0</v>
      </c>
      <c r="AC84" s="12">
        <v>0</v>
      </c>
      <c r="AD84" s="12">
        <v>0</v>
      </c>
      <c r="AE84" s="12">
        <v>0</v>
      </c>
      <c r="AF84" s="12">
        <v>0</v>
      </c>
      <c r="AG84" s="12">
        <v>0</v>
      </c>
      <c r="AH84" s="12">
        <v>0</v>
      </c>
      <c r="AI84" s="12">
        <v>0</v>
      </c>
      <c r="AJ84" s="12">
        <v>0</v>
      </c>
      <c r="AK84" s="12">
        <v>0</v>
      </c>
      <c r="AL84" s="12">
        <v>0</v>
      </c>
      <c r="AM84" s="12">
        <v>0</v>
      </c>
      <c r="AN84" s="12">
        <v>0</v>
      </c>
      <c r="AO84" s="12">
        <v>0</v>
      </c>
      <c r="AP84" s="12">
        <v>0</v>
      </c>
      <c r="AQ84" s="12">
        <v>0</v>
      </c>
      <c r="AR84" s="12">
        <v>0</v>
      </c>
      <c r="AS84" s="12">
        <v>1200</v>
      </c>
      <c r="AT84" s="12">
        <v>0</v>
      </c>
      <c r="AU84" s="12">
        <v>0</v>
      </c>
      <c r="AV84" s="12">
        <v>0</v>
      </c>
      <c r="AW84" s="12">
        <v>0</v>
      </c>
      <c r="AX84" s="12">
        <v>0</v>
      </c>
      <c r="AY84" s="12">
        <v>0</v>
      </c>
      <c r="AZ84" s="12">
        <v>0</v>
      </c>
      <c r="BA84" s="12">
        <v>0</v>
      </c>
      <c r="BB84" s="12">
        <v>0</v>
      </c>
      <c r="BC84" s="12">
        <v>0</v>
      </c>
      <c r="BD84" s="12">
        <v>0</v>
      </c>
      <c r="BE84" s="12">
        <v>250</v>
      </c>
      <c r="BF84" s="12">
        <f t="shared" ref="BF84:BF87" si="53">SUM(E84:BE84)</f>
        <v>1450</v>
      </c>
      <c r="BG84" s="12">
        <f t="shared" ref="BG84:BG87" si="54">SUM(E84:W84)</f>
        <v>0</v>
      </c>
      <c r="BH84" s="12">
        <f t="shared" ref="BH84:BH87" si="55">SUM(X84:AJ84)</f>
        <v>0</v>
      </c>
      <c r="BI84" s="12">
        <f t="shared" ref="BI84:BI87" si="56">SUM(AK84:BE84)</f>
        <v>1450</v>
      </c>
    </row>
    <row r="85" spans="2:61" x14ac:dyDescent="0.25">
      <c r="C85" s="7">
        <v>411</v>
      </c>
      <c r="D85" s="7" t="s">
        <v>143</v>
      </c>
      <c r="E85" s="12">
        <v>0</v>
      </c>
      <c r="F85" s="12">
        <v>0</v>
      </c>
      <c r="G85" s="12">
        <v>0</v>
      </c>
      <c r="H85" s="12">
        <v>0</v>
      </c>
      <c r="I85" s="12">
        <v>0</v>
      </c>
      <c r="J85" s="12">
        <v>0</v>
      </c>
      <c r="K85" s="12">
        <v>0</v>
      </c>
      <c r="L85" s="12">
        <v>0</v>
      </c>
      <c r="M85" s="12">
        <v>0</v>
      </c>
      <c r="N85" s="12">
        <v>0</v>
      </c>
      <c r="O85" s="12">
        <v>0</v>
      </c>
      <c r="P85" s="12">
        <v>0</v>
      </c>
      <c r="Q85" s="12">
        <v>0</v>
      </c>
      <c r="R85" s="12">
        <v>0</v>
      </c>
      <c r="S85" s="12">
        <v>0</v>
      </c>
      <c r="T85" s="12">
        <v>0</v>
      </c>
      <c r="U85" s="12">
        <v>0</v>
      </c>
      <c r="V85" s="12">
        <v>0</v>
      </c>
      <c r="W85" s="12">
        <v>0</v>
      </c>
      <c r="X85" s="12">
        <v>0</v>
      </c>
      <c r="Y85" s="12">
        <v>0</v>
      </c>
      <c r="Z85" s="12">
        <v>0</v>
      </c>
      <c r="AA85" s="12">
        <v>0</v>
      </c>
      <c r="AB85" s="12">
        <v>0</v>
      </c>
      <c r="AC85" s="12">
        <v>0</v>
      </c>
      <c r="AD85" s="12">
        <v>0</v>
      </c>
      <c r="AE85" s="12">
        <v>0</v>
      </c>
      <c r="AF85" s="12">
        <v>0</v>
      </c>
      <c r="AG85" s="12">
        <v>0</v>
      </c>
      <c r="AH85" s="12">
        <v>0</v>
      </c>
      <c r="AI85" s="12">
        <v>0</v>
      </c>
      <c r="AJ85" s="12">
        <v>0</v>
      </c>
      <c r="AK85" s="12">
        <v>0</v>
      </c>
      <c r="AL85" s="12">
        <v>0</v>
      </c>
      <c r="AM85" s="12">
        <v>0</v>
      </c>
      <c r="AN85" s="12">
        <v>0</v>
      </c>
      <c r="AO85" s="12">
        <v>0</v>
      </c>
      <c r="AP85" s="12">
        <v>0</v>
      </c>
      <c r="AQ85" s="12">
        <v>0</v>
      </c>
      <c r="AR85" s="12">
        <v>0</v>
      </c>
      <c r="AS85" s="12">
        <v>0</v>
      </c>
      <c r="AT85" s="12">
        <v>0</v>
      </c>
      <c r="AU85" s="12">
        <v>0</v>
      </c>
      <c r="AV85" s="12">
        <v>0</v>
      </c>
      <c r="AW85" s="12">
        <v>0</v>
      </c>
      <c r="AX85" s="12">
        <v>0</v>
      </c>
      <c r="AY85" s="12">
        <v>0</v>
      </c>
      <c r="AZ85" s="12">
        <v>0</v>
      </c>
      <c r="BA85" s="12">
        <v>0</v>
      </c>
      <c r="BB85" s="12">
        <v>0</v>
      </c>
      <c r="BC85" s="12">
        <v>0</v>
      </c>
      <c r="BD85" s="12">
        <v>0</v>
      </c>
      <c r="BE85" s="12">
        <v>0</v>
      </c>
      <c r="BF85" s="12">
        <f t="shared" si="53"/>
        <v>0</v>
      </c>
      <c r="BG85" s="12">
        <f t="shared" si="54"/>
        <v>0</v>
      </c>
      <c r="BH85" s="12">
        <f t="shared" si="55"/>
        <v>0</v>
      </c>
      <c r="BI85" s="12">
        <f t="shared" si="56"/>
        <v>0</v>
      </c>
    </row>
    <row r="86" spans="2:61" x14ac:dyDescent="0.25">
      <c r="C86" s="7">
        <v>412</v>
      </c>
      <c r="D86" s="7" t="s">
        <v>144</v>
      </c>
      <c r="E86" s="12">
        <v>0</v>
      </c>
      <c r="F86" s="12">
        <v>12860.46</v>
      </c>
      <c r="G86" s="12">
        <v>0</v>
      </c>
      <c r="H86" s="12">
        <v>0</v>
      </c>
      <c r="I86" s="12">
        <v>0</v>
      </c>
      <c r="J86" s="12">
        <v>0</v>
      </c>
      <c r="K86" s="12">
        <v>0</v>
      </c>
      <c r="L86" s="12">
        <v>0</v>
      </c>
      <c r="M86" s="12">
        <v>51651</v>
      </c>
      <c r="N86" s="12">
        <v>0</v>
      </c>
      <c r="O86" s="12">
        <v>64892</v>
      </c>
      <c r="P86" s="12">
        <v>10735</v>
      </c>
      <c r="Q86" s="12">
        <v>0</v>
      </c>
      <c r="R86" s="12">
        <v>0</v>
      </c>
      <c r="S86" s="12">
        <v>7376.4</v>
      </c>
      <c r="T86" s="12">
        <v>0</v>
      </c>
      <c r="U86" s="12">
        <v>0</v>
      </c>
      <c r="V86" s="12">
        <v>0</v>
      </c>
      <c r="W86" s="12">
        <v>7233</v>
      </c>
      <c r="X86" s="12">
        <v>0</v>
      </c>
      <c r="Y86" s="12">
        <v>0</v>
      </c>
      <c r="Z86" s="12">
        <v>511101.5</v>
      </c>
      <c r="AA86" s="12">
        <v>568</v>
      </c>
      <c r="AB86" s="12">
        <v>292</v>
      </c>
      <c r="AC86" s="12">
        <v>2904.7</v>
      </c>
      <c r="AD86" s="12">
        <v>0</v>
      </c>
      <c r="AE86" s="12">
        <v>0</v>
      </c>
      <c r="AF86" s="12">
        <v>16873</v>
      </c>
      <c r="AG86" s="12">
        <v>10483.9</v>
      </c>
      <c r="AH86" s="12">
        <v>71604.649999999994</v>
      </c>
      <c r="AI86" s="12">
        <v>20772.95</v>
      </c>
      <c r="AJ86" s="12">
        <v>8000</v>
      </c>
      <c r="AK86" s="12">
        <v>0</v>
      </c>
      <c r="AL86" s="12">
        <v>0</v>
      </c>
      <c r="AM86" s="12">
        <v>0</v>
      </c>
      <c r="AN86" s="12">
        <v>0</v>
      </c>
      <c r="AO86" s="12">
        <v>0</v>
      </c>
      <c r="AP86" s="12">
        <v>0</v>
      </c>
      <c r="AQ86" s="12">
        <v>0</v>
      </c>
      <c r="AR86" s="12">
        <v>320.2</v>
      </c>
      <c r="AS86" s="12">
        <v>165.05</v>
      </c>
      <c r="AT86" s="12">
        <v>59174.5</v>
      </c>
      <c r="AU86" s="12">
        <v>0</v>
      </c>
      <c r="AV86" s="12">
        <v>8854.85</v>
      </c>
      <c r="AW86" s="12">
        <v>0</v>
      </c>
      <c r="AX86" s="12">
        <v>9070</v>
      </c>
      <c r="AY86" s="12">
        <v>0</v>
      </c>
      <c r="AZ86" s="12">
        <v>7406.7</v>
      </c>
      <c r="BA86" s="12">
        <v>0</v>
      </c>
      <c r="BB86" s="12">
        <v>36459.300000000003</v>
      </c>
      <c r="BC86" s="12">
        <v>11030.85</v>
      </c>
      <c r="BD86" s="12">
        <v>286894.8</v>
      </c>
      <c r="BE86" s="12">
        <v>580.75</v>
      </c>
      <c r="BF86" s="12">
        <f t="shared" si="53"/>
        <v>1217305.5599999998</v>
      </c>
      <c r="BG86" s="12">
        <f t="shared" si="54"/>
        <v>154747.85999999999</v>
      </c>
      <c r="BH86" s="12">
        <f t="shared" si="55"/>
        <v>642600.69999999995</v>
      </c>
      <c r="BI86" s="12">
        <f t="shared" si="56"/>
        <v>419957</v>
      </c>
    </row>
    <row r="87" spans="2:61" x14ac:dyDescent="0.25">
      <c r="C87" s="7">
        <v>413</v>
      </c>
      <c r="D87" s="7" t="s">
        <v>145</v>
      </c>
      <c r="E87" s="12">
        <v>0</v>
      </c>
      <c r="F87" s="12">
        <v>0</v>
      </c>
      <c r="G87" s="12">
        <v>0</v>
      </c>
      <c r="H87" s="12">
        <v>0</v>
      </c>
      <c r="I87" s="12">
        <v>0</v>
      </c>
      <c r="J87" s="12">
        <v>0</v>
      </c>
      <c r="K87" s="12">
        <v>0</v>
      </c>
      <c r="L87" s="12">
        <v>0</v>
      </c>
      <c r="M87" s="12">
        <v>0</v>
      </c>
      <c r="N87" s="12">
        <v>0</v>
      </c>
      <c r="O87" s="12">
        <v>0</v>
      </c>
      <c r="P87" s="12">
        <v>0</v>
      </c>
      <c r="Q87" s="12">
        <v>0</v>
      </c>
      <c r="R87" s="12">
        <v>0</v>
      </c>
      <c r="S87" s="12">
        <v>0</v>
      </c>
      <c r="T87" s="12">
        <v>0</v>
      </c>
      <c r="U87" s="12">
        <v>0</v>
      </c>
      <c r="V87" s="12">
        <v>0</v>
      </c>
      <c r="W87" s="12">
        <v>0</v>
      </c>
      <c r="X87" s="12">
        <v>0</v>
      </c>
      <c r="Y87" s="12">
        <v>0</v>
      </c>
      <c r="Z87" s="12">
        <v>0</v>
      </c>
      <c r="AA87" s="12">
        <v>0</v>
      </c>
      <c r="AB87" s="12">
        <v>0</v>
      </c>
      <c r="AC87" s="12">
        <v>0</v>
      </c>
      <c r="AD87" s="12">
        <v>0</v>
      </c>
      <c r="AE87" s="12">
        <v>0</v>
      </c>
      <c r="AF87" s="12">
        <v>0</v>
      </c>
      <c r="AG87" s="12">
        <v>0</v>
      </c>
      <c r="AH87" s="12">
        <v>0</v>
      </c>
      <c r="AI87" s="12">
        <v>0</v>
      </c>
      <c r="AJ87" s="12">
        <v>0</v>
      </c>
      <c r="AK87" s="12">
        <v>0</v>
      </c>
      <c r="AL87" s="12">
        <v>0</v>
      </c>
      <c r="AM87" s="12">
        <v>0</v>
      </c>
      <c r="AN87" s="12">
        <v>0</v>
      </c>
      <c r="AO87" s="12">
        <v>0</v>
      </c>
      <c r="AP87" s="12">
        <v>0</v>
      </c>
      <c r="AQ87" s="12">
        <v>0</v>
      </c>
      <c r="AR87" s="12">
        <v>0</v>
      </c>
      <c r="AS87" s="12">
        <v>0</v>
      </c>
      <c r="AT87" s="12">
        <v>0</v>
      </c>
      <c r="AU87" s="12">
        <v>0</v>
      </c>
      <c r="AV87" s="12">
        <v>0</v>
      </c>
      <c r="AW87" s="12">
        <v>0</v>
      </c>
      <c r="AX87" s="12">
        <v>0</v>
      </c>
      <c r="AY87" s="12">
        <v>0</v>
      </c>
      <c r="AZ87" s="12">
        <v>0</v>
      </c>
      <c r="BA87" s="12">
        <v>0</v>
      </c>
      <c r="BB87" s="12">
        <v>0</v>
      </c>
      <c r="BC87" s="12">
        <v>0</v>
      </c>
      <c r="BD87" s="12">
        <v>0</v>
      </c>
      <c r="BE87" s="12">
        <v>0</v>
      </c>
      <c r="BF87" s="12">
        <f t="shared" si="53"/>
        <v>0</v>
      </c>
      <c r="BG87" s="12">
        <f t="shared" si="54"/>
        <v>0</v>
      </c>
      <c r="BH87" s="12">
        <f t="shared" si="55"/>
        <v>0</v>
      </c>
      <c r="BI87" s="12">
        <f t="shared" si="56"/>
        <v>0</v>
      </c>
    </row>
    <row r="88" spans="2:61" x14ac:dyDescent="0.25">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row>
    <row r="89" spans="2:61" x14ac:dyDescent="0.25">
      <c r="B89" s="68">
        <v>42</v>
      </c>
      <c r="C89" s="68"/>
      <c r="D89" s="68" t="s">
        <v>146</v>
      </c>
      <c r="E89" s="69">
        <f>E90+E91+E92+E93+E94+E95+E96+E97+E98</f>
        <v>758551.29999999993</v>
      </c>
      <c r="F89" s="69">
        <f t="shared" ref="F89:BI89" si="57">F90+F91+F92+F93+F94+F95+F96+F97+F98</f>
        <v>199397.87</v>
      </c>
      <c r="G89" s="69">
        <f t="shared" si="57"/>
        <v>200691</v>
      </c>
      <c r="H89" s="69">
        <f t="shared" si="57"/>
        <v>541558.78</v>
      </c>
      <c r="I89" s="69">
        <f t="shared" si="57"/>
        <v>4295788.49</v>
      </c>
      <c r="J89" s="69">
        <f t="shared" si="57"/>
        <v>3563628.52</v>
      </c>
      <c r="K89" s="69">
        <f t="shared" si="57"/>
        <v>2036976.99</v>
      </c>
      <c r="L89" s="69">
        <f t="shared" si="57"/>
        <v>35515440.369999997</v>
      </c>
      <c r="M89" s="69">
        <f t="shared" si="57"/>
        <v>2371669.4299999997</v>
      </c>
      <c r="N89" s="69">
        <f t="shared" si="57"/>
        <v>44480.81</v>
      </c>
      <c r="O89" s="69">
        <f t="shared" si="57"/>
        <v>4625120.38</v>
      </c>
      <c r="P89" s="69">
        <f t="shared" si="57"/>
        <v>233532.97999999998</v>
      </c>
      <c r="Q89" s="69">
        <f t="shared" si="57"/>
        <v>50780.249999999993</v>
      </c>
      <c r="R89" s="69">
        <f t="shared" si="57"/>
        <v>200893.93000000002</v>
      </c>
      <c r="S89" s="69">
        <f t="shared" si="57"/>
        <v>267694.95</v>
      </c>
      <c r="T89" s="69">
        <f t="shared" si="57"/>
        <v>913798.91</v>
      </c>
      <c r="U89" s="69">
        <f t="shared" si="57"/>
        <v>209732.45</v>
      </c>
      <c r="V89" s="69">
        <f t="shared" si="57"/>
        <v>267994.57000000007</v>
      </c>
      <c r="W89" s="69">
        <f t="shared" si="57"/>
        <v>1769517.3299999998</v>
      </c>
      <c r="X89" s="69">
        <f t="shared" si="57"/>
        <v>411378.05000000005</v>
      </c>
      <c r="Y89" s="69">
        <f t="shared" si="57"/>
        <v>1173892.02</v>
      </c>
      <c r="Z89" s="69">
        <f t="shared" si="57"/>
        <v>1844748.3499999999</v>
      </c>
      <c r="AA89" s="69">
        <f t="shared" si="57"/>
        <v>75585.350000000006</v>
      </c>
      <c r="AB89" s="69">
        <f t="shared" si="57"/>
        <v>244820.75</v>
      </c>
      <c r="AC89" s="69">
        <f t="shared" si="57"/>
        <v>703355.7</v>
      </c>
      <c r="AD89" s="69">
        <f t="shared" si="57"/>
        <v>717610.71</v>
      </c>
      <c r="AE89" s="69">
        <f t="shared" si="57"/>
        <v>598563.14</v>
      </c>
      <c r="AF89" s="69">
        <f t="shared" si="57"/>
        <v>831664.64000000001</v>
      </c>
      <c r="AG89" s="69">
        <f t="shared" si="57"/>
        <v>2028445.8599999999</v>
      </c>
      <c r="AH89" s="69">
        <f t="shared" si="57"/>
        <v>2948156.49</v>
      </c>
      <c r="AI89" s="69">
        <f t="shared" si="57"/>
        <v>290150.75000000006</v>
      </c>
      <c r="AJ89" s="69">
        <f t="shared" si="57"/>
        <v>138037.55000000002</v>
      </c>
      <c r="AK89" s="69">
        <f t="shared" si="57"/>
        <v>1300236.44</v>
      </c>
      <c r="AL89" s="69">
        <f t="shared" si="57"/>
        <v>1122204.6500000001</v>
      </c>
      <c r="AM89" s="69">
        <f t="shared" si="57"/>
        <v>708849.75000000012</v>
      </c>
      <c r="AN89" s="69">
        <f t="shared" si="57"/>
        <v>170678.5</v>
      </c>
      <c r="AO89" s="69">
        <f t="shared" si="57"/>
        <v>1307787.0100000002</v>
      </c>
      <c r="AP89" s="69">
        <f t="shared" si="57"/>
        <v>885952.92</v>
      </c>
      <c r="AQ89" s="69">
        <f t="shared" si="57"/>
        <v>379512.25</v>
      </c>
      <c r="AR89" s="69">
        <f t="shared" si="57"/>
        <v>980969.26</v>
      </c>
      <c r="AS89" s="69">
        <f t="shared" si="57"/>
        <v>593398.12</v>
      </c>
      <c r="AT89" s="69">
        <f t="shared" si="57"/>
        <v>774051.77999999991</v>
      </c>
      <c r="AU89" s="69">
        <f t="shared" si="57"/>
        <v>369759.18</v>
      </c>
      <c r="AV89" s="69">
        <f t="shared" si="57"/>
        <v>1286106.5999999999</v>
      </c>
      <c r="AW89" s="69">
        <f t="shared" si="57"/>
        <v>468036.12</v>
      </c>
      <c r="AX89" s="69">
        <f t="shared" si="57"/>
        <v>174007.14999999997</v>
      </c>
      <c r="AY89" s="69">
        <f t="shared" si="57"/>
        <v>235328.18</v>
      </c>
      <c r="AZ89" s="69">
        <f t="shared" si="57"/>
        <v>995142.24999999988</v>
      </c>
      <c r="BA89" s="69">
        <f t="shared" si="57"/>
        <v>335050.15000000002</v>
      </c>
      <c r="BB89" s="69">
        <f t="shared" si="57"/>
        <v>1050367.04</v>
      </c>
      <c r="BC89" s="69">
        <f t="shared" si="57"/>
        <v>176149.21</v>
      </c>
      <c r="BD89" s="69">
        <f t="shared" si="57"/>
        <v>6740605.1000000006</v>
      </c>
      <c r="BE89" s="69">
        <f t="shared" si="57"/>
        <v>423975.72999999992</v>
      </c>
      <c r="BF89" s="69">
        <f t="shared" si="57"/>
        <v>90551826.059999987</v>
      </c>
      <c r="BG89" s="69">
        <f t="shared" si="57"/>
        <v>58067249.310000017</v>
      </c>
      <c r="BH89" s="69">
        <f t="shared" si="57"/>
        <v>12006409.359999999</v>
      </c>
      <c r="BI89" s="69">
        <f t="shared" si="57"/>
        <v>20478167.390000001</v>
      </c>
    </row>
    <row r="90" spans="2:61" x14ac:dyDescent="0.25">
      <c r="C90" s="7">
        <v>420</v>
      </c>
      <c r="D90" s="7" t="s">
        <v>147</v>
      </c>
      <c r="E90" s="12">
        <v>36366.400000000001</v>
      </c>
      <c r="F90" s="12">
        <v>8550.9500000000007</v>
      </c>
      <c r="G90" s="12">
        <v>21066.1</v>
      </c>
      <c r="H90" s="12">
        <v>15200.55</v>
      </c>
      <c r="I90" s="12">
        <v>170019.5</v>
      </c>
      <c r="J90" s="12">
        <v>151736.9</v>
      </c>
      <c r="K90" s="12">
        <v>134226.6</v>
      </c>
      <c r="L90" s="12">
        <v>521247.45</v>
      </c>
      <c r="M90" s="12">
        <v>57943.35</v>
      </c>
      <c r="N90" s="12">
        <v>1014.1</v>
      </c>
      <c r="O90" s="12">
        <v>293270.84999999998</v>
      </c>
      <c r="P90" s="12">
        <v>16859.849999999999</v>
      </c>
      <c r="Q90" s="12">
        <v>2691.85</v>
      </c>
      <c r="R90" s="12">
        <v>15873.5</v>
      </c>
      <c r="S90" s="12">
        <v>10717.95</v>
      </c>
      <c r="T90" s="12">
        <v>42662</v>
      </c>
      <c r="U90" s="12">
        <v>11299.85</v>
      </c>
      <c r="V90" s="12">
        <v>19396.55</v>
      </c>
      <c r="W90" s="12">
        <v>114470.55</v>
      </c>
      <c r="X90" s="12">
        <v>7183.2</v>
      </c>
      <c r="Y90" s="12">
        <v>47260.85</v>
      </c>
      <c r="Z90" s="12">
        <v>63844.9</v>
      </c>
      <c r="AA90" s="12">
        <v>4017.3</v>
      </c>
      <c r="AB90" s="12">
        <v>5308.25</v>
      </c>
      <c r="AC90" s="12">
        <v>17178.150000000001</v>
      </c>
      <c r="AD90" s="12">
        <v>43864.6</v>
      </c>
      <c r="AE90" s="12">
        <v>20707.3</v>
      </c>
      <c r="AF90" s="12">
        <v>9727.25</v>
      </c>
      <c r="AG90" s="12">
        <v>93026.3</v>
      </c>
      <c r="AH90" s="12">
        <v>113282.1</v>
      </c>
      <c r="AI90" s="12">
        <v>5757.5</v>
      </c>
      <c r="AJ90" s="12">
        <v>1855.5</v>
      </c>
      <c r="AK90" s="12">
        <v>74919</v>
      </c>
      <c r="AL90" s="12">
        <v>24448.95</v>
      </c>
      <c r="AM90" s="12">
        <v>28679.85</v>
      </c>
      <c r="AN90" s="12">
        <v>706.35</v>
      </c>
      <c r="AO90" s="12">
        <v>27795.55</v>
      </c>
      <c r="AP90" s="12">
        <v>13042.4</v>
      </c>
      <c r="AQ90" s="12">
        <v>16922.05</v>
      </c>
      <c r="AR90" s="12">
        <v>36967.699999999997</v>
      </c>
      <c r="AS90" s="12">
        <v>30651.45</v>
      </c>
      <c r="AT90" s="12">
        <v>38865.68</v>
      </c>
      <c r="AU90" s="12">
        <v>8884.4500000000007</v>
      </c>
      <c r="AV90" s="12">
        <v>0</v>
      </c>
      <c r="AW90" s="12">
        <v>20092.45</v>
      </c>
      <c r="AX90" s="12">
        <v>5085.1499999999996</v>
      </c>
      <c r="AY90" s="12">
        <v>6456.7</v>
      </c>
      <c r="AZ90" s="12">
        <v>54512.95</v>
      </c>
      <c r="BA90" s="12">
        <v>6870.4</v>
      </c>
      <c r="BB90" s="12">
        <v>26840.35</v>
      </c>
      <c r="BC90" s="12">
        <v>4486.8500000000004</v>
      </c>
      <c r="BD90" s="12">
        <v>183387.2</v>
      </c>
      <c r="BE90" s="12">
        <v>12196.4</v>
      </c>
      <c r="BF90" s="12">
        <f t="shared" ref="BF90:BF98" si="58">SUM(E90:BE90)</f>
        <v>2699439.930000002</v>
      </c>
      <c r="BG90" s="12">
        <f t="shared" ref="BG90:BG98" si="59">SUM(E90:W90)</f>
        <v>1644614.8500000003</v>
      </c>
      <c r="BH90" s="12">
        <f t="shared" ref="BH90:BH98" si="60">SUM(X90:AJ90)</f>
        <v>433013.19999999995</v>
      </c>
      <c r="BI90" s="12">
        <f t="shared" ref="BI90:BI98" si="61">SUM(AK90:BE90)</f>
        <v>621811.88</v>
      </c>
    </row>
    <row r="91" spans="2:61" x14ac:dyDescent="0.25">
      <c r="C91" s="7">
        <v>421</v>
      </c>
      <c r="D91" s="7" t="s">
        <v>148</v>
      </c>
      <c r="E91" s="12">
        <v>14767.55</v>
      </c>
      <c r="F91" s="12">
        <v>2174.9499999999998</v>
      </c>
      <c r="G91" s="12">
        <v>2066</v>
      </c>
      <c r="H91" s="12">
        <v>11219.75</v>
      </c>
      <c r="I91" s="12">
        <v>96152.27</v>
      </c>
      <c r="J91" s="12">
        <v>47809.65</v>
      </c>
      <c r="K91" s="12">
        <v>27559.8</v>
      </c>
      <c r="L91" s="12">
        <v>1095193.5900000001</v>
      </c>
      <c r="M91" s="12">
        <v>18812.900000000001</v>
      </c>
      <c r="N91" s="12">
        <v>1776.81</v>
      </c>
      <c r="O91" s="12">
        <v>248443.85</v>
      </c>
      <c r="P91" s="12">
        <v>13597.44</v>
      </c>
      <c r="Q91" s="12">
        <v>3577.2</v>
      </c>
      <c r="R91" s="12">
        <v>5488.25</v>
      </c>
      <c r="S91" s="12">
        <v>38314.050000000003</v>
      </c>
      <c r="T91" s="12">
        <v>19736.349999999999</v>
      </c>
      <c r="U91" s="12">
        <v>5804.25</v>
      </c>
      <c r="V91" s="12">
        <v>13540</v>
      </c>
      <c r="W91" s="12">
        <v>61786.12</v>
      </c>
      <c r="X91" s="12">
        <v>3594.85</v>
      </c>
      <c r="Y91" s="12">
        <v>12331.09</v>
      </c>
      <c r="Z91" s="12">
        <v>17139.3</v>
      </c>
      <c r="AA91" s="12">
        <v>0</v>
      </c>
      <c r="AB91" s="12">
        <v>1460.5</v>
      </c>
      <c r="AC91" s="12">
        <v>0</v>
      </c>
      <c r="AD91" s="12">
        <v>22931.99</v>
      </c>
      <c r="AE91" s="12">
        <v>7949</v>
      </c>
      <c r="AF91" s="12">
        <v>6054.75</v>
      </c>
      <c r="AG91" s="12">
        <v>25243</v>
      </c>
      <c r="AH91" s="12">
        <v>35298.089999999997</v>
      </c>
      <c r="AI91" s="12">
        <v>3506.35</v>
      </c>
      <c r="AJ91" s="12">
        <v>1888.75</v>
      </c>
      <c r="AK91" s="12">
        <v>46792.17</v>
      </c>
      <c r="AL91" s="12">
        <v>9895</v>
      </c>
      <c r="AM91" s="12">
        <v>20439.599999999999</v>
      </c>
      <c r="AN91" s="12">
        <v>1271.95</v>
      </c>
      <c r="AO91" s="12">
        <v>46113.52</v>
      </c>
      <c r="AP91" s="12">
        <v>11235.27</v>
      </c>
      <c r="AQ91" s="12">
        <v>7086</v>
      </c>
      <c r="AR91" s="12">
        <v>27195.51</v>
      </c>
      <c r="AS91" s="12">
        <v>12140.35</v>
      </c>
      <c r="AT91" s="12">
        <v>29890.05</v>
      </c>
      <c r="AU91" s="12">
        <v>6154.65</v>
      </c>
      <c r="AV91" s="12">
        <v>36453.15</v>
      </c>
      <c r="AW91" s="12">
        <v>9807.57</v>
      </c>
      <c r="AX91" s="12">
        <v>6405</v>
      </c>
      <c r="AY91" s="12">
        <v>971.2</v>
      </c>
      <c r="AZ91" s="12">
        <v>23336.1</v>
      </c>
      <c r="BA91" s="12">
        <v>4395.25</v>
      </c>
      <c r="BB91" s="12">
        <v>20956.009999999998</v>
      </c>
      <c r="BC91" s="12">
        <v>268.05</v>
      </c>
      <c r="BD91" s="12">
        <v>561194.56000000006</v>
      </c>
      <c r="BE91" s="12">
        <v>13845.63</v>
      </c>
      <c r="BF91" s="12">
        <f t="shared" si="58"/>
        <v>2761065.0400000005</v>
      </c>
      <c r="BG91" s="12">
        <f t="shared" si="59"/>
        <v>1727820.7800000003</v>
      </c>
      <c r="BH91" s="12">
        <f t="shared" si="60"/>
        <v>137397.67000000001</v>
      </c>
      <c r="BI91" s="12">
        <f t="shared" si="61"/>
        <v>895846.59</v>
      </c>
    </row>
    <row r="92" spans="2:61" x14ac:dyDescent="0.25">
      <c r="C92" s="7">
        <v>422</v>
      </c>
      <c r="D92" s="7" t="s">
        <v>149</v>
      </c>
      <c r="E92" s="12">
        <v>0</v>
      </c>
      <c r="F92" s="12">
        <v>0</v>
      </c>
      <c r="G92" s="12">
        <v>0</v>
      </c>
      <c r="H92" s="12">
        <v>0</v>
      </c>
      <c r="I92" s="12">
        <v>0</v>
      </c>
      <c r="J92" s="12">
        <v>0</v>
      </c>
      <c r="K92" s="12">
        <v>0</v>
      </c>
      <c r="L92" s="12">
        <v>0</v>
      </c>
      <c r="M92" s="12">
        <v>0</v>
      </c>
      <c r="N92" s="12">
        <v>0</v>
      </c>
      <c r="O92" s="12">
        <v>0</v>
      </c>
      <c r="P92" s="12">
        <v>0</v>
      </c>
      <c r="Q92" s="12">
        <v>0</v>
      </c>
      <c r="R92" s="12">
        <v>0</v>
      </c>
      <c r="S92" s="12">
        <v>0</v>
      </c>
      <c r="T92" s="12">
        <v>0</v>
      </c>
      <c r="U92" s="12">
        <v>0</v>
      </c>
      <c r="V92" s="12">
        <v>0</v>
      </c>
      <c r="W92" s="12">
        <v>0</v>
      </c>
      <c r="X92" s="12">
        <v>0</v>
      </c>
      <c r="Y92" s="12">
        <v>0</v>
      </c>
      <c r="Z92" s="12">
        <v>0</v>
      </c>
      <c r="AA92" s="12">
        <v>0</v>
      </c>
      <c r="AB92" s="12">
        <v>0</v>
      </c>
      <c r="AC92" s="12">
        <v>0</v>
      </c>
      <c r="AD92" s="12">
        <v>0</v>
      </c>
      <c r="AE92" s="12">
        <v>0</v>
      </c>
      <c r="AF92" s="12">
        <v>0</v>
      </c>
      <c r="AG92" s="12">
        <v>0</v>
      </c>
      <c r="AH92" s="12">
        <v>0</v>
      </c>
      <c r="AI92" s="12">
        <v>0</v>
      </c>
      <c r="AJ92" s="12">
        <v>0</v>
      </c>
      <c r="AK92" s="12">
        <v>0</v>
      </c>
      <c r="AL92" s="12">
        <v>0</v>
      </c>
      <c r="AM92" s="12">
        <v>0</v>
      </c>
      <c r="AN92" s="12">
        <v>0</v>
      </c>
      <c r="AO92" s="12">
        <v>0</v>
      </c>
      <c r="AP92" s="12">
        <v>0</v>
      </c>
      <c r="AQ92" s="12">
        <v>0</v>
      </c>
      <c r="AR92" s="12">
        <v>0</v>
      </c>
      <c r="AS92" s="12">
        <v>0</v>
      </c>
      <c r="AT92" s="12">
        <v>0</v>
      </c>
      <c r="AU92" s="12">
        <v>0</v>
      </c>
      <c r="AV92" s="12">
        <v>0</v>
      </c>
      <c r="AW92" s="12">
        <v>0</v>
      </c>
      <c r="AX92" s="12">
        <v>0</v>
      </c>
      <c r="AY92" s="12">
        <v>0</v>
      </c>
      <c r="AZ92" s="12">
        <v>0</v>
      </c>
      <c r="BA92" s="12">
        <v>0</v>
      </c>
      <c r="BB92" s="12">
        <v>0</v>
      </c>
      <c r="BC92" s="12">
        <v>0</v>
      </c>
      <c r="BD92" s="12">
        <v>0</v>
      </c>
      <c r="BE92" s="12">
        <v>0</v>
      </c>
      <c r="BF92" s="12">
        <f t="shared" si="58"/>
        <v>0</v>
      </c>
      <c r="BG92" s="12">
        <f t="shared" si="59"/>
        <v>0</v>
      </c>
      <c r="BH92" s="12">
        <f t="shared" si="60"/>
        <v>0</v>
      </c>
      <c r="BI92" s="12">
        <f t="shared" si="61"/>
        <v>0</v>
      </c>
    </row>
    <row r="93" spans="2:61" x14ac:dyDescent="0.25">
      <c r="C93" s="7">
        <v>423</v>
      </c>
      <c r="D93" s="7" t="s">
        <v>150</v>
      </c>
      <c r="E93" s="12">
        <v>2720</v>
      </c>
      <c r="F93" s="12">
        <v>0</v>
      </c>
      <c r="G93" s="12">
        <v>0</v>
      </c>
      <c r="H93" s="12">
        <v>0</v>
      </c>
      <c r="I93" s="12">
        <v>3940</v>
      </c>
      <c r="J93" s="12">
        <v>0</v>
      </c>
      <c r="K93" s="12">
        <v>0</v>
      </c>
      <c r="L93" s="12">
        <v>41657</v>
      </c>
      <c r="M93" s="12">
        <v>0</v>
      </c>
      <c r="N93" s="12">
        <v>157</v>
      </c>
      <c r="O93" s="12">
        <v>0</v>
      </c>
      <c r="P93" s="12">
        <v>0</v>
      </c>
      <c r="Q93" s="12">
        <v>0</v>
      </c>
      <c r="R93" s="12">
        <v>3600</v>
      </c>
      <c r="S93" s="12">
        <v>0</v>
      </c>
      <c r="T93" s="12">
        <v>0</v>
      </c>
      <c r="U93" s="12">
        <v>0</v>
      </c>
      <c r="V93" s="12">
        <v>9100</v>
      </c>
      <c r="W93" s="12">
        <v>6650</v>
      </c>
      <c r="X93" s="12">
        <v>30210.9</v>
      </c>
      <c r="Y93" s="12">
        <v>0</v>
      </c>
      <c r="Z93" s="12">
        <v>317918.40000000002</v>
      </c>
      <c r="AA93" s="12">
        <v>0</v>
      </c>
      <c r="AB93" s="12">
        <v>0</v>
      </c>
      <c r="AC93" s="12">
        <v>0</v>
      </c>
      <c r="AD93" s="12">
        <v>0</v>
      </c>
      <c r="AE93" s="12">
        <v>0</v>
      </c>
      <c r="AF93" s="12">
        <v>0</v>
      </c>
      <c r="AG93" s="12">
        <v>0</v>
      </c>
      <c r="AH93" s="12">
        <v>111643.1</v>
      </c>
      <c r="AI93" s="12">
        <v>0</v>
      </c>
      <c r="AJ93" s="12">
        <v>0</v>
      </c>
      <c r="AK93" s="12">
        <v>0</v>
      </c>
      <c r="AL93" s="12">
        <v>0</v>
      </c>
      <c r="AM93" s="12">
        <v>21682.55</v>
      </c>
      <c r="AN93" s="12">
        <v>0</v>
      </c>
      <c r="AO93" s="12">
        <v>0</v>
      </c>
      <c r="AP93" s="12">
        <v>0</v>
      </c>
      <c r="AQ93" s="12">
        <v>0</v>
      </c>
      <c r="AR93" s="12">
        <v>7881</v>
      </c>
      <c r="AS93" s="12">
        <v>39015</v>
      </c>
      <c r="AT93" s="12">
        <v>0</v>
      </c>
      <c r="AU93" s="12">
        <v>10790</v>
      </c>
      <c r="AV93" s="12">
        <v>0</v>
      </c>
      <c r="AW93" s="12">
        <v>0</v>
      </c>
      <c r="AX93" s="12">
        <v>0</v>
      </c>
      <c r="AY93" s="12">
        <v>0</v>
      </c>
      <c r="AZ93" s="12">
        <v>0</v>
      </c>
      <c r="BA93" s="12">
        <v>8610.7999999999993</v>
      </c>
      <c r="BB93" s="12">
        <v>13845.55</v>
      </c>
      <c r="BC93" s="12">
        <v>0</v>
      </c>
      <c r="BD93" s="12">
        <v>77900</v>
      </c>
      <c r="BE93" s="12">
        <v>0</v>
      </c>
      <c r="BF93" s="12">
        <f t="shared" si="58"/>
        <v>707321.30000000016</v>
      </c>
      <c r="BG93" s="12">
        <f t="shared" si="59"/>
        <v>67824</v>
      </c>
      <c r="BH93" s="12">
        <f t="shared" si="60"/>
        <v>459772.4</v>
      </c>
      <c r="BI93" s="12">
        <f t="shared" si="61"/>
        <v>179724.90000000002</v>
      </c>
    </row>
    <row r="94" spans="2:61" x14ac:dyDescent="0.25">
      <c r="C94" s="7">
        <v>424</v>
      </c>
      <c r="D94" s="7" t="s">
        <v>151</v>
      </c>
      <c r="E94" s="12">
        <v>615870.44999999995</v>
      </c>
      <c r="F94" s="12">
        <v>177175.42</v>
      </c>
      <c r="G94" s="12">
        <v>166467.45000000001</v>
      </c>
      <c r="H94" s="12">
        <v>471261.14</v>
      </c>
      <c r="I94" s="12">
        <v>3846499.32</v>
      </c>
      <c r="J94" s="12">
        <v>3250305.6</v>
      </c>
      <c r="K94" s="12">
        <v>1571025.55</v>
      </c>
      <c r="L94" s="12">
        <v>32902421.420000002</v>
      </c>
      <c r="M94" s="12">
        <v>2136370.25</v>
      </c>
      <c r="N94" s="12">
        <v>41532.9</v>
      </c>
      <c r="O94" s="12">
        <v>3661932</v>
      </c>
      <c r="P94" s="12">
        <v>121412.9</v>
      </c>
      <c r="Q94" s="12">
        <v>43236.6</v>
      </c>
      <c r="R94" s="12">
        <v>141489.20000000001</v>
      </c>
      <c r="S94" s="12">
        <v>195740.35</v>
      </c>
      <c r="T94" s="12">
        <v>715408.06</v>
      </c>
      <c r="U94" s="12">
        <v>153609.75</v>
      </c>
      <c r="V94" s="12">
        <v>191559.85</v>
      </c>
      <c r="W94" s="12">
        <v>1490366.7</v>
      </c>
      <c r="X94" s="12">
        <v>233290.25</v>
      </c>
      <c r="Y94" s="12">
        <v>1011745.55</v>
      </c>
      <c r="Z94" s="12">
        <v>1329400.2</v>
      </c>
      <c r="AA94" s="12">
        <v>62066</v>
      </c>
      <c r="AB94" s="12">
        <v>130234</v>
      </c>
      <c r="AC94" s="12">
        <v>418580.95</v>
      </c>
      <c r="AD94" s="12">
        <v>489548.85</v>
      </c>
      <c r="AE94" s="12">
        <v>381884.3</v>
      </c>
      <c r="AF94" s="12">
        <v>379694.75</v>
      </c>
      <c r="AG94" s="12">
        <v>1651534.95</v>
      </c>
      <c r="AH94" s="12">
        <v>2338513.7000000002</v>
      </c>
      <c r="AI94" s="12">
        <v>197508.7</v>
      </c>
      <c r="AJ94" s="12">
        <v>102780.6</v>
      </c>
      <c r="AK94" s="12">
        <v>996978.98</v>
      </c>
      <c r="AL94" s="12">
        <v>587868.29</v>
      </c>
      <c r="AM94" s="12">
        <v>598056.75</v>
      </c>
      <c r="AN94" s="12">
        <v>86804.800000000003</v>
      </c>
      <c r="AO94" s="12">
        <v>1179866.0900000001</v>
      </c>
      <c r="AP94" s="12">
        <v>570453.75</v>
      </c>
      <c r="AQ94" s="12">
        <v>310074.3</v>
      </c>
      <c r="AR94" s="12">
        <v>829041.15</v>
      </c>
      <c r="AS94" s="12">
        <v>315649.5</v>
      </c>
      <c r="AT94" s="12">
        <v>680284.15</v>
      </c>
      <c r="AU94" s="12">
        <v>274045.90000000002</v>
      </c>
      <c r="AV94" s="12">
        <v>1194814.1000000001</v>
      </c>
      <c r="AW94" s="12">
        <v>363443.75</v>
      </c>
      <c r="AX94" s="12">
        <v>90246.3</v>
      </c>
      <c r="AY94" s="12">
        <v>212119.48</v>
      </c>
      <c r="AZ94" s="12">
        <v>819963.13</v>
      </c>
      <c r="BA94" s="12">
        <v>283596.15000000002</v>
      </c>
      <c r="BB94" s="12">
        <v>845371.83</v>
      </c>
      <c r="BC94" s="12">
        <v>94918.85</v>
      </c>
      <c r="BD94" s="12">
        <v>5452564.5700000003</v>
      </c>
      <c r="BE94" s="12">
        <v>241731.8</v>
      </c>
      <c r="BF94" s="12">
        <f t="shared" si="58"/>
        <v>76648361.329999998</v>
      </c>
      <c r="BG94" s="12">
        <f t="shared" si="59"/>
        <v>51893684.910000011</v>
      </c>
      <c r="BH94" s="12">
        <f t="shared" si="60"/>
        <v>8726782.7999999989</v>
      </c>
      <c r="BI94" s="12">
        <f t="shared" si="61"/>
        <v>16027893.620000003</v>
      </c>
    </row>
    <row r="95" spans="2:61" x14ac:dyDescent="0.25">
      <c r="C95" s="7">
        <v>425</v>
      </c>
      <c r="D95" s="7" t="s">
        <v>152</v>
      </c>
      <c r="E95" s="12">
        <v>12011.4</v>
      </c>
      <c r="F95" s="12">
        <v>6920.4</v>
      </c>
      <c r="G95" s="12">
        <v>54.4</v>
      </c>
      <c r="H95" s="12">
        <v>540</v>
      </c>
      <c r="I95" s="12">
        <v>52526.5</v>
      </c>
      <c r="J95" s="12">
        <v>35569.74</v>
      </c>
      <c r="K95" s="12">
        <v>21609.95</v>
      </c>
      <c r="L95" s="12">
        <v>293842.90000000002</v>
      </c>
      <c r="M95" s="12">
        <v>37551.800000000003</v>
      </c>
      <c r="N95" s="12">
        <v>0</v>
      </c>
      <c r="O95" s="12">
        <v>93687.28</v>
      </c>
      <c r="P95" s="12">
        <v>18467.59</v>
      </c>
      <c r="Q95" s="12">
        <v>840.6</v>
      </c>
      <c r="R95" s="12">
        <v>9905.5300000000007</v>
      </c>
      <c r="S95" s="12">
        <v>779.7</v>
      </c>
      <c r="T95" s="12">
        <v>0</v>
      </c>
      <c r="U95" s="12">
        <v>4753.6499999999996</v>
      </c>
      <c r="V95" s="12">
        <v>10806.17</v>
      </c>
      <c r="W95" s="12">
        <v>50365.22</v>
      </c>
      <c r="X95" s="12">
        <v>131807.07</v>
      </c>
      <c r="Y95" s="12">
        <v>30148.18</v>
      </c>
      <c r="Z95" s="12">
        <v>14766.4</v>
      </c>
      <c r="AA95" s="12">
        <v>0</v>
      </c>
      <c r="AB95" s="12">
        <v>102824.2</v>
      </c>
      <c r="AC95" s="12">
        <v>216506.15</v>
      </c>
      <c r="AD95" s="12">
        <v>125672</v>
      </c>
      <c r="AE95" s="12">
        <v>160517.14000000001</v>
      </c>
      <c r="AF95" s="12">
        <v>429287.64</v>
      </c>
      <c r="AG95" s="12">
        <v>236076.46</v>
      </c>
      <c r="AH95" s="12">
        <v>224618.1</v>
      </c>
      <c r="AI95" s="12">
        <v>46188.55</v>
      </c>
      <c r="AJ95" s="12">
        <v>10342.35</v>
      </c>
      <c r="AK95" s="12">
        <v>150705.04</v>
      </c>
      <c r="AL95" s="12">
        <v>449719.3</v>
      </c>
      <c r="AM95" s="12">
        <v>556.9</v>
      </c>
      <c r="AN95" s="12">
        <v>74474.100000000006</v>
      </c>
      <c r="AO95" s="12">
        <v>0</v>
      </c>
      <c r="AP95" s="12">
        <v>257486</v>
      </c>
      <c r="AQ95" s="12">
        <v>8534.65</v>
      </c>
      <c r="AR95" s="12">
        <v>8968.15</v>
      </c>
      <c r="AS95" s="12">
        <v>146956.25</v>
      </c>
      <c r="AT95" s="12">
        <v>11215.45</v>
      </c>
      <c r="AU95" s="12">
        <v>67818.880000000005</v>
      </c>
      <c r="AV95" s="12">
        <v>13477.7</v>
      </c>
      <c r="AW95" s="12">
        <v>71431.600000000006</v>
      </c>
      <c r="AX95" s="12">
        <v>68627.649999999994</v>
      </c>
      <c r="AY95" s="12">
        <v>1160.3</v>
      </c>
      <c r="AZ95" s="12">
        <v>23470.32</v>
      </c>
      <c r="BA95" s="12">
        <v>5084.5</v>
      </c>
      <c r="BB95" s="12">
        <v>7646.2</v>
      </c>
      <c r="BC95" s="12">
        <v>73077.649999999994</v>
      </c>
      <c r="BD95" s="12">
        <v>91183.17</v>
      </c>
      <c r="BE95" s="12">
        <v>108945.3</v>
      </c>
      <c r="BF95" s="12">
        <f t="shared" si="58"/>
        <v>4019526.1799999992</v>
      </c>
      <c r="BG95" s="12">
        <f t="shared" si="59"/>
        <v>650232.82999999996</v>
      </c>
      <c r="BH95" s="12">
        <f t="shared" si="60"/>
        <v>1728754.2400000002</v>
      </c>
      <c r="BI95" s="12">
        <f t="shared" si="61"/>
        <v>1640539.11</v>
      </c>
    </row>
    <row r="96" spans="2:61" x14ac:dyDescent="0.25">
      <c r="C96" s="7">
        <v>426</v>
      </c>
      <c r="D96" s="7" t="s">
        <v>153</v>
      </c>
      <c r="E96" s="12">
        <v>76515.5</v>
      </c>
      <c r="F96" s="12">
        <v>4576.1499999999996</v>
      </c>
      <c r="G96" s="12">
        <v>11037.05</v>
      </c>
      <c r="H96" s="12">
        <v>43337.34</v>
      </c>
      <c r="I96" s="12">
        <v>122710.9</v>
      </c>
      <c r="J96" s="12">
        <v>77706.63</v>
      </c>
      <c r="K96" s="12">
        <v>282255.09000000003</v>
      </c>
      <c r="L96" s="12">
        <v>482469.86</v>
      </c>
      <c r="M96" s="12">
        <v>120991.13</v>
      </c>
      <c r="N96" s="12">
        <v>0</v>
      </c>
      <c r="O96" s="12">
        <v>310609.8</v>
      </c>
      <c r="P96" s="12">
        <v>63095.199999999997</v>
      </c>
      <c r="Q96" s="12">
        <v>434</v>
      </c>
      <c r="R96" s="12">
        <v>24537.45</v>
      </c>
      <c r="S96" s="12">
        <v>22142.9</v>
      </c>
      <c r="T96" s="12">
        <v>136152.5</v>
      </c>
      <c r="U96" s="12">
        <v>34029.75</v>
      </c>
      <c r="V96" s="12">
        <v>22792</v>
      </c>
      <c r="W96" s="12">
        <v>45878.74</v>
      </c>
      <c r="X96" s="12">
        <v>3935.53</v>
      </c>
      <c r="Y96" s="12">
        <v>71106.350000000006</v>
      </c>
      <c r="Z96" s="12">
        <v>15552.5</v>
      </c>
      <c r="AA96" s="12">
        <v>9502.0499999999993</v>
      </c>
      <c r="AB96" s="12">
        <v>3602.8</v>
      </c>
      <c r="AC96" s="12">
        <v>51090.45</v>
      </c>
      <c r="AD96" s="12">
        <v>34953.269999999997</v>
      </c>
      <c r="AE96" s="12">
        <v>27505.4</v>
      </c>
      <c r="AF96" s="12">
        <v>6900.25</v>
      </c>
      <c r="AG96" s="12">
        <v>22565.15</v>
      </c>
      <c r="AH96" s="12">
        <v>95279.4</v>
      </c>
      <c r="AI96" s="12">
        <v>37189.65</v>
      </c>
      <c r="AJ96" s="12">
        <v>16096.6</v>
      </c>
      <c r="AK96" s="12">
        <v>30841.25</v>
      </c>
      <c r="AL96" s="12">
        <v>50273.11</v>
      </c>
      <c r="AM96" s="12">
        <v>39294.800000000003</v>
      </c>
      <c r="AN96" s="12">
        <v>7421.3</v>
      </c>
      <c r="AO96" s="12">
        <v>46410.75</v>
      </c>
      <c r="AP96" s="12">
        <v>33735.5</v>
      </c>
      <c r="AQ96" s="12">
        <v>36895.25</v>
      </c>
      <c r="AR96" s="12">
        <v>70775.75</v>
      </c>
      <c r="AS96" s="12">
        <v>48985.57</v>
      </c>
      <c r="AT96" s="12">
        <v>13796.45</v>
      </c>
      <c r="AU96" s="12">
        <v>2065.3000000000002</v>
      </c>
      <c r="AV96" s="12">
        <v>38245.15</v>
      </c>
      <c r="AW96" s="12">
        <v>3126.9</v>
      </c>
      <c r="AX96" s="12">
        <v>3643.05</v>
      </c>
      <c r="AY96" s="12">
        <v>11620.5</v>
      </c>
      <c r="AZ96" s="12">
        <v>73459.75</v>
      </c>
      <c r="BA96" s="12">
        <v>26493.05</v>
      </c>
      <c r="BB96" s="12">
        <v>135407.1</v>
      </c>
      <c r="BC96" s="12">
        <v>3397.81</v>
      </c>
      <c r="BD96" s="12">
        <v>265743.40000000002</v>
      </c>
      <c r="BE96" s="12">
        <v>47256.6</v>
      </c>
      <c r="BF96" s="12">
        <f t="shared" si="58"/>
        <v>3265439.7299999986</v>
      </c>
      <c r="BG96" s="12">
        <f t="shared" si="59"/>
        <v>1881271.9899999998</v>
      </c>
      <c r="BH96" s="12">
        <f t="shared" si="60"/>
        <v>395279.39999999997</v>
      </c>
      <c r="BI96" s="12">
        <f t="shared" si="61"/>
        <v>988888.34000000008</v>
      </c>
    </row>
    <row r="97" spans="2:61" x14ac:dyDescent="0.25">
      <c r="C97" s="7">
        <v>427</v>
      </c>
      <c r="D97" s="7" t="s">
        <v>154</v>
      </c>
      <c r="E97" s="12">
        <v>300</v>
      </c>
      <c r="F97" s="12">
        <v>0</v>
      </c>
      <c r="G97" s="12">
        <v>0</v>
      </c>
      <c r="H97" s="12">
        <v>0</v>
      </c>
      <c r="I97" s="12">
        <v>3940</v>
      </c>
      <c r="J97" s="12">
        <v>500</v>
      </c>
      <c r="K97" s="12">
        <v>300</v>
      </c>
      <c r="L97" s="12">
        <v>178608.15</v>
      </c>
      <c r="M97" s="12">
        <v>0</v>
      </c>
      <c r="N97" s="12">
        <v>0</v>
      </c>
      <c r="O97" s="12">
        <v>14197.8</v>
      </c>
      <c r="P97" s="12">
        <v>100</v>
      </c>
      <c r="Q97" s="12">
        <v>0</v>
      </c>
      <c r="R97" s="12">
        <v>0</v>
      </c>
      <c r="S97" s="12">
        <v>0</v>
      </c>
      <c r="T97" s="12">
        <v>0</v>
      </c>
      <c r="U97" s="12">
        <v>0</v>
      </c>
      <c r="V97" s="12">
        <v>800</v>
      </c>
      <c r="W97" s="12">
        <v>0</v>
      </c>
      <c r="X97" s="12">
        <v>700</v>
      </c>
      <c r="Y97" s="12">
        <v>1300</v>
      </c>
      <c r="Z97" s="12">
        <v>0</v>
      </c>
      <c r="AA97" s="12">
        <v>0</v>
      </c>
      <c r="AB97" s="12">
        <v>0</v>
      </c>
      <c r="AC97" s="12">
        <v>0</v>
      </c>
      <c r="AD97" s="12">
        <v>0</v>
      </c>
      <c r="AE97" s="12">
        <v>0</v>
      </c>
      <c r="AF97" s="12">
        <v>0</v>
      </c>
      <c r="AG97" s="12">
        <v>0</v>
      </c>
      <c r="AH97" s="12">
        <v>29522</v>
      </c>
      <c r="AI97" s="12">
        <v>0</v>
      </c>
      <c r="AJ97" s="12">
        <v>0</v>
      </c>
      <c r="AK97" s="12">
        <v>0</v>
      </c>
      <c r="AL97" s="12">
        <v>0</v>
      </c>
      <c r="AM97" s="12">
        <v>139.30000000000001</v>
      </c>
      <c r="AN97" s="12">
        <v>0</v>
      </c>
      <c r="AO97" s="12">
        <v>0</v>
      </c>
      <c r="AP97" s="12">
        <v>0</v>
      </c>
      <c r="AQ97" s="12">
        <v>0</v>
      </c>
      <c r="AR97" s="12">
        <v>140</v>
      </c>
      <c r="AS97" s="12">
        <v>0</v>
      </c>
      <c r="AT97" s="12">
        <v>0</v>
      </c>
      <c r="AU97" s="12">
        <v>0</v>
      </c>
      <c r="AV97" s="12">
        <v>2800</v>
      </c>
      <c r="AW97" s="12">
        <v>0</v>
      </c>
      <c r="AX97" s="12">
        <v>0</v>
      </c>
      <c r="AY97" s="12">
        <v>0</v>
      </c>
      <c r="AZ97" s="12">
        <v>400</v>
      </c>
      <c r="BA97" s="12">
        <v>0</v>
      </c>
      <c r="BB97" s="12">
        <v>300</v>
      </c>
      <c r="BC97" s="12">
        <v>0</v>
      </c>
      <c r="BD97" s="12">
        <v>108632.2</v>
      </c>
      <c r="BE97" s="12">
        <v>0</v>
      </c>
      <c r="BF97" s="12">
        <f t="shared" si="58"/>
        <v>342679.44999999995</v>
      </c>
      <c r="BG97" s="12">
        <f t="shared" si="59"/>
        <v>198745.94999999998</v>
      </c>
      <c r="BH97" s="12">
        <f t="shared" si="60"/>
        <v>31522</v>
      </c>
      <c r="BI97" s="12">
        <f t="shared" si="61"/>
        <v>112411.5</v>
      </c>
    </row>
    <row r="98" spans="2:61" x14ac:dyDescent="0.25">
      <c r="C98" s="7">
        <v>429</v>
      </c>
      <c r="D98" s="7" t="s">
        <v>155</v>
      </c>
      <c r="E98" s="12">
        <v>0</v>
      </c>
      <c r="F98" s="12">
        <v>0</v>
      </c>
      <c r="G98" s="12">
        <v>0</v>
      </c>
      <c r="H98" s="12">
        <v>0</v>
      </c>
      <c r="I98" s="12">
        <v>0</v>
      </c>
      <c r="J98" s="12">
        <v>0</v>
      </c>
      <c r="K98" s="12">
        <v>0</v>
      </c>
      <c r="L98" s="12">
        <v>0</v>
      </c>
      <c r="M98" s="12">
        <v>0</v>
      </c>
      <c r="N98" s="12">
        <v>0</v>
      </c>
      <c r="O98" s="12">
        <v>2978.8</v>
      </c>
      <c r="P98" s="12">
        <v>0</v>
      </c>
      <c r="Q98" s="12">
        <v>0</v>
      </c>
      <c r="R98" s="12">
        <v>0</v>
      </c>
      <c r="S98" s="12">
        <v>0</v>
      </c>
      <c r="T98" s="12">
        <v>-160</v>
      </c>
      <c r="U98" s="12">
        <v>235.2</v>
      </c>
      <c r="V98" s="12">
        <v>0</v>
      </c>
      <c r="W98" s="12">
        <v>0</v>
      </c>
      <c r="X98" s="12">
        <v>656.25</v>
      </c>
      <c r="Y98" s="12">
        <v>0</v>
      </c>
      <c r="Z98" s="12">
        <v>86126.65</v>
      </c>
      <c r="AA98" s="12">
        <v>0</v>
      </c>
      <c r="AB98" s="12">
        <v>1391</v>
      </c>
      <c r="AC98" s="12">
        <v>0</v>
      </c>
      <c r="AD98" s="12">
        <v>640</v>
      </c>
      <c r="AE98" s="12">
        <v>0</v>
      </c>
      <c r="AF98" s="12">
        <v>0</v>
      </c>
      <c r="AG98" s="12">
        <v>0</v>
      </c>
      <c r="AH98" s="12">
        <v>0</v>
      </c>
      <c r="AI98" s="12">
        <v>0</v>
      </c>
      <c r="AJ98" s="12">
        <v>5073.75</v>
      </c>
      <c r="AK98" s="12">
        <v>0</v>
      </c>
      <c r="AL98" s="12">
        <v>0</v>
      </c>
      <c r="AM98" s="12">
        <v>0</v>
      </c>
      <c r="AN98" s="12">
        <v>0</v>
      </c>
      <c r="AO98" s="12">
        <v>7601.1</v>
      </c>
      <c r="AP98" s="12">
        <v>0</v>
      </c>
      <c r="AQ98" s="12">
        <v>0</v>
      </c>
      <c r="AR98" s="12">
        <v>0</v>
      </c>
      <c r="AS98" s="12">
        <v>0</v>
      </c>
      <c r="AT98" s="12">
        <v>0</v>
      </c>
      <c r="AU98" s="12">
        <v>0</v>
      </c>
      <c r="AV98" s="12">
        <v>316.5</v>
      </c>
      <c r="AW98" s="12">
        <v>133.85</v>
      </c>
      <c r="AX98" s="12">
        <v>0</v>
      </c>
      <c r="AY98" s="12">
        <v>3000</v>
      </c>
      <c r="AZ98" s="12">
        <v>0</v>
      </c>
      <c r="BA98" s="12">
        <v>0</v>
      </c>
      <c r="BB98" s="12">
        <v>0</v>
      </c>
      <c r="BC98" s="12">
        <v>0</v>
      </c>
      <c r="BD98" s="12">
        <v>0</v>
      </c>
      <c r="BE98" s="12">
        <v>0</v>
      </c>
      <c r="BF98" s="12">
        <f t="shared" si="58"/>
        <v>107993.1</v>
      </c>
      <c r="BG98" s="12">
        <f t="shared" si="59"/>
        <v>3054</v>
      </c>
      <c r="BH98" s="12">
        <f t="shared" si="60"/>
        <v>93887.65</v>
      </c>
      <c r="BI98" s="12">
        <f t="shared" si="61"/>
        <v>11051.45</v>
      </c>
    </row>
    <row r="99" spans="2:61" x14ac:dyDescent="0.25">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row>
    <row r="100" spans="2:61" x14ac:dyDescent="0.25">
      <c r="B100" s="68">
        <v>43</v>
      </c>
      <c r="C100" s="68"/>
      <c r="D100" s="68" t="s">
        <v>156</v>
      </c>
      <c r="E100" s="69">
        <f>E101+E102+E103+E104</f>
        <v>0</v>
      </c>
      <c r="F100" s="69">
        <f t="shared" ref="F100:BI100" si="62">F101+F102+F103+F104</f>
        <v>1267.8399999999999</v>
      </c>
      <c r="G100" s="69">
        <f t="shared" si="62"/>
        <v>0</v>
      </c>
      <c r="H100" s="69">
        <f t="shared" si="62"/>
        <v>0</v>
      </c>
      <c r="I100" s="69">
        <f t="shared" si="62"/>
        <v>0</v>
      </c>
      <c r="J100" s="69">
        <f t="shared" si="62"/>
        <v>0</v>
      </c>
      <c r="K100" s="69">
        <f t="shared" si="62"/>
        <v>204</v>
      </c>
      <c r="L100" s="69">
        <f t="shared" si="62"/>
        <v>2114560.7400000002</v>
      </c>
      <c r="M100" s="69">
        <f t="shared" si="62"/>
        <v>4936</v>
      </c>
      <c r="N100" s="69">
        <f t="shared" si="62"/>
        <v>16864.05</v>
      </c>
      <c r="O100" s="69">
        <f t="shared" si="62"/>
        <v>9225</v>
      </c>
      <c r="P100" s="69">
        <f t="shared" si="62"/>
        <v>0</v>
      </c>
      <c r="Q100" s="69">
        <f t="shared" si="62"/>
        <v>0</v>
      </c>
      <c r="R100" s="69">
        <f t="shared" si="62"/>
        <v>0</v>
      </c>
      <c r="S100" s="69">
        <f t="shared" si="62"/>
        <v>0</v>
      </c>
      <c r="T100" s="69">
        <f t="shared" si="62"/>
        <v>0</v>
      </c>
      <c r="U100" s="69">
        <f t="shared" si="62"/>
        <v>79</v>
      </c>
      <c r="V100" s="69">
        <f t="shared" si="62"/>
        <v>1084.1500000000001</v>
      </c>
      <c r="W100" s="69">
        <f t="shared" si="62"/>
        <v>8623.4</v>
      </c>
      <c r="X100" s="69">
        <f t="shared" si="62"/>
        <v>0</v>
      </c>
      <c r="Y100" s="69">
        <f t="shared" si="62"/>
        <v>33523.65</v>
      </c>
      <c r="Z100" s="69">
        <f t="shared" si="62"/>
        <v>0</v>
      </c>
      <c r="AA100" s="69">
        <f t="shared" si="62"/>
        <v>0</v>
      </c>
      <c r="AB100" s="69">
        <f t="shared" si="62"/>
        <v>4713.5</v>
      </c>
      <c r="AC100" s="69">
        <f t="shared" si="62"/>
        <v>0</v>
      </c>
      <c r="AD100" s="69">
        <f t="shared" si="62"/>
        <v>6556.84</v>
      </c>
      <c r="AE100" s="69">
        <f t="shared" si="62"/>
        <v>470.55</v>
      </c>
      <c r="AF100" s="69">
        <f t="shared" si="62"/>
        <v>0</v>
      </c>
      <c r="AG100" s="69">
        <f t="shared" si="62"/>
        <v>11300</v>
      </c>
      <c r="AH100" s="69">
        <f t="shared" si="62"/>
        <v>54162.95</v>
      </c>
      <c r="AI100" s="69">
        <f t="shared" si="62"/>
        <v>336</v>
      </c>
      <c r="AJ100" s="69">
        <f t="shared" si="62"/>
        <v>1950.8</v>
      </c>
      <c r="AK100" s="69">
        <f t="shared" si="62"/>
        <v>0</v>
      </c>
      <c r="AL100" s="69">
        <f t="shared" si="62"/>
        <v>43189.35</v>
      </c>
      <c r="AM100" s="69">
        <f t="shared" si="62"/>
        <v>0</v>
      </c>
      <c r="AN100" s="69">
        <f t="shared" si="62"/>
        <v>0</v>
      </c>
      <c r="AO100" s="69">
        <f t="shared" si="62"/>
        <v>0</v>
      </c>
      <c r="AP100" s="69">
        <f t="shared" si="62"/>
        <v>0</v>
      </c>
      <c r="AQ100" s="69">
        <f t="shared" si="62"/>
        <v>0</v>
      </c>
      <c r="AR100" s="69">
        <f t="shared" si="62"/>
        <v>261</v>
      </c>
      <c r="AS100" s="69">
        <f t="shared" si="62"/>
        <v>365</v>
      </c>
      <c r="AT100" s="69">
        <f t="shared" si="62"/>
        <v>0</v>
      </c>
      <c r="AU100" s="69">
        <f t="shared" si="62"/>
        <v>0</v>
      </c>
      <c r="AV100" s="69">
        <f t="shared" si="62"/>
        <v>0</v>
      </c>
      <c r="AW100" s="69">
        <f t="shared" si="62"/>
        <v>1600</v>
      </c>
      <c r="AX100" s="69">
        <f t="shared" si="62"/>
        <v>0</v>
      </c>
      <c r="AY100" s="69">
        <f t="shared" si="62"/>
        <v>0</v>
      </c>
      <c r="AZ100" s="69">
        <f t="shared" si="62"/>
        <v>0</v>
      </c>
      <c r="BA100" s="69">
        <f t="shared" si="62"/>
        <v>0</v>
      </c>
      <c r="BB100" s="69">
        <f t="shared" si="62"/>
        <v>0</v>
      </c>
      <c r="BC100" s="69">
        <f t="shared" si="62"/>
        <v>0</v>
      </c>
      <c r="BD100" s="69">
        <f t="shared" si="62"/>
        <v>1281.3499999999999</v>
      </c>
      <c r="BE100" s="69">
        <f t="shared" si="62"/>
        <v>0</v>
      </c>
      <c r="BF100" s="69">
        <f t="shared" si="62"/>
        <v>2316555.17</v>
      </c>
      <c r="BG100" s="69">
        <f t="shared" si="62"/>
        <v>2156844.1799999997</v>
      </c>
      <c r="BH100" s="69">
        <f t="shared" si="62"/>
        <v>113014.29</v>
      </c>
      <c r="BI100" s="69">
        <f t="shared" si="62"/>
        <v>46696.7</v>
      </c>
    </row>
    <row r="101" spans="2:61" x14ac:dyDescent="0.25">
      <c r="C101" s="7">
        <v>430</v>
      </c>
      <c r="D101" s="7" t="s">
        <v>157</v>
      </c>
      <c r="E101" s="12">
        <v>0</v>
      </c>
      <c r="F101" s="12">
        <v>1267.8399999999999</v>
      </c>
      <c r="G101" s="12">
        <v>0</v>
      </c>
      <c r="H101" s="12">
        <v>0</v>
      </c>
      <c r="I101" s="12">
        <v>0</v>
      </c>
      <c r="J101" s="12">
        <v>0</v>
      </c>
      <c r="K101" s="12">
        <v>204</v>
      </c>
      <c r="L101" s="12">
        <v>2114560.7400000002</v>
      </c>
      <c r="M101" s="12">
        <v>4936</v>
      </c>
      <c r="N101" s="12">
        <v>0</v>
      </c>
      <c r="O101" s="12">
        <v>0</v>
      </c>
      <c r="P101" s="12">
        <v>0</v>
      </c>
      <c r="Q101" s="12">
        <v>0</v>
      </c>
      <c r="R101" s="12">
        <v>0</v>
      </c>
      <c r="S101" s="12">
        <v>0</v>
      </c>
      <c r="T101" s="12">
        <v>0</v>
      </c>
      <c r="U101" s="12">
        <v>0</v>
      </c>
      <c r="V101" s="12">
        <v>0</v>
      </c>
      <c r="W101" s="12">
        <v>8623.4</v>
      </c>
      <c r="X101" s="12">
        <v>0</v>
      </c>
      <c r="Y101" s="12">
        <v>220</v>
      </c>
      <c r="Z101" s="12">
        <v>0</v>
      </c>
      <c r="AA101" s="12">
        <v>0</v>
      </c>
      <c r="AB101" s="12">
        <v>0</v>
      </c>
      <c r="AC101" s="12">
        <v>0</v>
      </c>
      <c r="AD101" s="12">
        <v>6556.84</v>
      </c>
      <c r="AE101" s="12">
        <v>0</v>
      </c>
      <c r="AF101" s="12">
        <v>0</v>
      </c>
      <c r="AG101" s="12">
        <v>0</v>
      </c>
      <c r="AH101" s="12">
        <v>54162.95</v>
      </c>
      <c r="AI101" s="12">
        <v>336</v>
      </c>
      <c r="AJ101" s="12">
        <v>0</v>
      </c>
      <c r="AK101" s="12">
        <v>0</v>
      </c>
      <c r="AL101" s="12">
        <v>43189.35</v>
      </c>
      <c r="AM101" s="12">
        <v>0</v>
      </c>
      <c r="AN101" s="12">
        <v>0</v>
      </c>
      <c r="AO101" s="12">
        <v>0</v>
      </c>
      <c r="AP101" s="12">
        <v>0</v>
      </c>
      <c r="AQ101" s="12">
        <v>0</v>
      </c>
      <c r="AR101" s="12">
        <v>261</v>
      </c>
      <c r="AS101" s="12">
        <v>365</v>
      </c>
      <c r="AT101" s="12">
        <v>0</v>
      </c>
      <c r="AU101" s="12">
        <v>0</v>
      </c>
      <c r="AV101" s="12">
        <v>0</v>
      </c>
      <c r="AW101" s="12">
        <v>0</v>
      </c>
      <c r="AX101" s="12">
        <v>0</v>
      </c>
      <c r="AY101" s="12">
        <v>0</v>
      </c>
      <c r="AZ101" s="12">
        <v>0</v>
      </c>
      <c r="BA101" s="12">
        <v>0</v>
      </c>
      <c r="BB101" s="12">
        <v>0</v>
      </c>
      <c r="BC101" s="12">
        <v>0</v>
      </c>
      <c r="BD101" s="12">
        <v>1281.3499999999999</v>
      </c>
      <c r="BE101" s="12">
        <v>0</v>
      </c>
      <c r="BF101" s="12">
        <f t="shared" ref="BF101:BF104" si="63">SUM(E101:BE101)</f>
        <v>2235964.4700000002</v>
      </c>
      <c r="BG101" s="12">
        <f t="shared" ref="BG101:BG104" si="64">SUM(E101:W101)</f>
        <v>2129591.98</v>
      </c>
      <c r="BH101" s="12">
        <f t="shared" ref="BH101:BH104" si="65">SUM(X101:AJ101)</f>
        <v>61275.789999999994</v>
      </c>
      <c r="BI101" s="12">
        <f t="shared" ref="BI101:BI104" si="66">SUM(AK101:BE101)</f>
        <v>45096.7</v>
      </c>
    </row>
    <row r="102" spans="2:61" x14ac:dyDescent="0.25">
      <c r="C102" s="7">
        <v>431</v>
      </c>
      <c r="D102" s="7" t="s">
        <v>158</v>
      </c>
      <c r="E102" s="12">
        <v>0</v>
      </c>
      <c r="F102" s="12">
        <v>0</v>
      </c>
      <c r="G102" s="12">
        <v>0</v>
      </c>
      <c r="H102" s="12">
        <v>0</v>
      </c>
      <c r="I102" s="12">
        <v>0</v>
      </c>
      <c r="J102" s="12">
        <v>0</v>
      </c>
      <c r="K102" s="12">
        <v>0</v>
      </c>
      <c r="L102" s="12">
        <v>0</v>
      </c>
      <c r="M102" s="12">
        <v>0</v>
      </c>
      <c r="N102" s="12">
        <v>0</v>
      </c>
      <c r="O102" s="12">
        <v>9225</v>
      </c>
      <c r="P102" s="12">
        <v>0</v>
      </c>
      <c r="Q102" s="12">
        <v>0</v>
      </c>
      <c r="R102" s="12">
        <v>0</v>
      </c>
      <c r="S102" s="12">
        <v>0</v>
      </c>
      <c r="T102" s="12">
        <v>0</v>
      </c>
      <c r="U102" s="12">
        <v>0</v>
      </c>
      <c r="V102" s="12">
        <v>0</v>
      </c>
      <c r="W102" s="12">
        <v>0</v>
      </c>
      <c r="X102" s="12">
        <v>0</v>
      </c>
      <c r="Y102" s="12">
        <v>0</v>
      </c>
      <c r="Z102" s="12">
        <v>0</v>
      </c>
      <c r="AA102" s="12">
        <v>0</v>
      </c>
      <c r="AB102" s="12">
        <v>2784.55</v>
      </c>
      <c r="AC102" s="12">
        <v>0</v>
      </c>
      <c r="AD102" s="12">
        <v>0</v>
      </c>
      <c r="AE102" s="12">
        <v>0</v>
      </c>
      <c r="AF102" s="12">
        <v>0</v>
      </c>
      <c r="AG102" s="12">
        <v>0</v>
      </c>
      <c r="AH102" s="12">
        <v>0</v>
      </c>
      <c r="AI102" s="12">
        <v>0</v>
      </c>
      <c r="AJ102" s="12">
        <v>0</v>
      </c>
      <c r="AK102" s="12">
        <v>0</v>
      </c>
      <c r="AL102" s="12">
        <v>0</v>
      </c>
      <c r="AM102" s="12">
        <v>0</v>
      </c>
      <c r="AN102" s="12">
        <v>0</v>
      </c>
      <c r="AO102" s="12">
        <v>0</v>
      </c>
      <c r="AP102" s="12">
        <v>0</v>
      </c>
      <c r="AQ102" s="12">
        <v>0</v>
      </c>
      <c r="AR102" s="12">
        <v>0</v>
      </c>
      <c r="AS102" s="12">
        <v>0</v>
      </c>
      <c r="AT102" s="12">
        <v>0</v>
      </c>
      <c r="AU102" s="12">
        <v>0</v>
      </c>
      <c r="AV102" s="12">
        <v>0</v>
      </c>
      <c r="AW102" s="12">
        <v>0</v>
      </c>
      <c r="AX102" s="12">
        <v>0</v>
      </c>
      <c r="AY102" s="12">
        <v>0</v>
      </c>
      <c r="AZ102" s="12">
        <v>0</v>
      </c>
      <c r="BA102" s="12">
        <v>0</v>
      </c>
      <c r="BB102" s="12">
        <v>0</v>
      </c>
      <c r="BC102" s="12">
        <v>0</v>
      </c>
      <c r="BD102" s="12">
        <v>0</v>
      </c>
      <c r="BE102" s="12">
        <v>0</v>
      </c>
      <c r="BF102" s="12">
        <f t="shared" si="63"/>
        <v>12009.55</v>
      </c>
      <c r="BG102" s="12">
        <f t="shared" si="64"/>
        <v>9225</v>
      </c>
      <c r="BH102" s="12">
        <f t="shared" si="65"/>
        <v>2784.55</v>
      </c>
      <c r="BI102" s="12">
        <f t="shared" si="66"/>
        <v>0</v>
      </c>
    </row>
    <row r="103" spans="2:61" x14ac:dyDescent="0.25">
      <c r="C103" s="7">
        <v>432</v>
      </c>
      <c r="D103" s="7" t="s">
        <v>159</v>
      </c>
      <c r="E103" s="12">
        <v>0</v>
      </c>
      <c r="F103" s="12">
        <v>0</v>
      </c>
      <c r="G103" s="12">
        <v>0</v>
      </c>
      <c r="H103" s="12">
        <v>0</v>
      </c>
      <c r="I103" s="12">
        <v>0</v>
      </c>
      <c r="J103" s="12">
        <v>0</v>
      </c>
      <c r="K103" s="12">
        <v>0</v>
      </c>
      <c r="L103" s="12">
        <v>0</v>
      </c>
      <c r="M103" s="12">
        <v>0</v>
      </c>
      <c r="N103" s="12">
        <v>0</v>
      </c>
      <c r="O103" s="12">
        <v>0</v>
      </c>
      <c r="P103" s="12">
        <v>0</v>
      </c>
      <c r="Q103" s="12">
        <v>0</v>
      </c>
      <c r="R103" s="12">
        <v>0</v>
      </c>
      <c r="S103" s="12">
        <v>0</v>
      </c>
      <c r="T103" s="12">
        <v>0</v>
      </c>
      <c r="U103" s="12">
        <v>0</v>
      </c>
      <c r="V103" s="12">
        <v>-1325.85</v>
      </c>
      <c r="W103" s="12">
        <v>0</v>
      </c>
      <c r="X103" s="12">
        <v>0</v>
      </c>
      <c r="Y103" s="12">
        <v>33303.65</v>
      </c>
      <c r="Z103" s="12">
        <v>0</v>
      </c>
      <c r="AA103" s="12">
        <v>0</v>
      </c>
      <c r="AB103" s="12">
        <v>1718.45</v>
      </c>
      <c r="AC103" s="12">
        <v>0</v>
      </c>
      <c r="AD103" s="12">
        <v>0</v>
      </c>
      <c r="AE103" s="12">
        <v>0</v>
      </c>
      <c r="AF103" s="12">
        <v>0</v>
      </c>
      <c r="AG103" s="12">
        <v>0</v>
      </c>
      <c r="AH103" s="12">
        <v>0</v>
      </c>
      <c r="AI103" s="12">
        <v>0</v>
      </c>
      <c r="AJ103" s="12">
        <v>1844.05</v>
      </c>
      <c r="AK103" s="12">
        <v>0</v>
      </c>
      <c r="AL103" s="12">
        <v>0</v>
      </c>
      <c r="AM103" s="12">
        <v>0</v>
      </c>
      <c r="AN103" s="12">
        <v>0</v>
      </c>
      <c r="AO103" s="12">
        <v>0</v>
      </c>
      <c r="AP103" s="12">
        <v>0</v>
      </c>
      <c r="AQ103" s="12">
        <v>0</v>
      </c>
      <c r="AR103" s="12">
        <v>0</v>
      </c>
      <c r="AS103" s="12">
        <v>0</v>
      </c>
      <c r="AT103" s="12">
        <v>0</v>
      </c>
      <c r="AU103" s="12">
        <v>0</v>
      </c>
      <c r="AV103" s="12">
        <v>0</v>
      </c>
      <c r="AW103" s="12">
        <v>0</v>
      </c>
      <c r="AX103" s="12">
        <v>0</v>
      </c>
      <c r="AY103" s="12">
        <v>0</v>
      </c>
      <c r="AZ103" s="12">
        <v>0</v>
      </c>
      <c r="BA103" s="12">
        <v>0</v>
      </c>
      <c r="BB103" s="12">
        <v>0</v>
      </c>
      <c r="BC103" s="12">
        <v>0</v>
      </c>
      <c r="BD103" s="12">
        <v>0</v>
      </c>
      <c r="BE103" s="12">
        <v>0</v>
      </c>
      <c r="BF103" s="12">
        <f t="shared" si="63"/>
        <v>35540.300000000003</v>
      </c>
      <c r="BG103" s="12">
        <f t="shared" si="64"/>
        <v>-1325.85</v>
      </c>
      <c r="BH103" s="12">
        <f t="shared" si="65"/>
        <v>36866.15</v>
      </c>
      <c r="BI103" s="12">
        <f t="shared" si="66"/>
        <v>0</v>
      </c>
    </row>
    <row r="104" spans="2:61" x14ac:dyDescent="0.25">
      <c r="C104" s="7">
        <v>439</v>
      </c>
      <c r="D104" s="7" t="s">
        <v>160</v>
      </c>
      <c r="E104" s="12">
        <v>0</v>
      </c>
      <c r="F104" s="12">
        <v>0</v>
      </c>
      <c r="G104" s="12">
        <v>0</v>
      </c>
      <c r="H104" s="12">
        <v>0</v>
      </c>
      <c r="I104" s="12">
        <v>0</v>
      </c>
      <c r="J104" s="12">
        <v>0</v>
      </c>
      <c r="K104" s="12">
        <v>0</v>
      </c>
      <c r="L104" s="12">
        <v>0</v>
      </c>
      <c r="M104" s="12">
        <v>0</v>
      </c>
      <c r="N104" s="12">
        <v>16864.05</v>
      </c>
      <c r="O104" s="12">
        <v>0</v>
      </c>
      <c r="P104" s="12">
        <v>0</v>
      </c>
      <c r="Q104" s="12">
        <v>0</v>
      </c>
      <c r="R104" s="12">
        <v>0</v>
      </c>
      <c r="S104" s="12">
        <v>0</v>
      </c>
      <c r="T104" s="12">
        <v>0</v>
      </c>
      <c r="U104" s="12">
        <v>79</v>
      </c>
      <c r="V104" s="12">
        <v>2410</v>
      </c>
      <c r="W104" s="12">
        <v>0</v>
      </c>
      <c r="X104" s="12">
        <v>0</v>
      </c>
      <c r="Y104" s="12">
        <v>0</v>
      </c>
      <c r="Z104" s="12">
        <v>0</v>
      </c>
      <c r="AA104" s="12">
        <v>0</v>
      </c>
      <c r="AB104" s="12">
        <v>210.5</v>
      </c>
      <c r="AC104" s="12">
        <v>0</v>
      </c>
      <c r="AD104" s="12">
        <v>0</v>
      </c>
      <c r="AE104" s="12">
        <v>470.55</v>
      </c>
      <c r="AF104" s="12">
        <v>0</v>
      </c>
      <c r="AG104" s="12">
        <v>11300</v>
      </c>
      <c r="AH104" s="12">
        <v>0</v>
      </c>
      <c r="AI104" s="12">
        <v>0</v>
      </c>
      <c r="AJ104" s="12">
        <v>106.75</v>
      </c>
      <c r="AK104" s="12">
        <v>0</v>
      </c>
      <c r="AL104" s="12">
        <v>0</v>
      </c>
      <c r="AM104" s="12">
        <v>0</v>
      </c>
      <c r="AN104" s="12">
        <v>0</v>
      </c>
      <c r="AO104" s="12">
        <v>0</v>
      </c>
      <c r="AP104" s="12">
        <v>0</v>
      </c>
      <c r="AQ104" s="12">
        <v>0</v>
      </c>
      <c r="AR104" s="12">
        <v>0</v>
      </c>
      <c r="AS104" s="12">
        <v>0</v>
      </c>
      <c r="AT104" s="12">
        <v>0</v>
      </c>
      <c r="AU104" s="12">
        <v>0</v>
      </c>
      <c r="AV104" s="12">
        <v>0</v>
      </c>
      <c r="AW104" s="12">
        <v>1600</v>
      </c>
      <c r="AX104" s="12">
        <v>0</v>
      </c>
      <c r="AY104" s="12">
        <v>0</v>
      </c>
      <c r="AZ104" s="12">
        <v>0</v>
      </c>
      <c r="BA104" s="12">
        <v>0</v>
      </c>
      <c r="BB104" s="12">
        <v>0</v>
      </c>
      <c r="BC104" s="12">
        <v>0</v>
      </c>
      <c r="BD104" s="12">
        <v>0</v>
      </c>
      <c r="BE104" s="12">
        <v>0</v>
      </c>
      <c r="BF104" s="12">
        <f t="shared" si="63"/>
        <v>33040.85</v>
      </c>
      <c r="BG104" s="12">
        <f t="shared" si="64"/>
        <v>19353.05</v>
      </c>
      <c r="BH104" s="12">
        <f t="shared" si="65"/>
        <v>12087.8</v>
      </c>
      <c r="BI104" s="12">
        <f t="shared" si="66"/>
        <v>1600</v>
      </c>
    </row>
    <row r="105" spans="2:61" x14ac:dyDescent="0.25">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row>
    <row r="106" spans="2:61" x14ac:dyDescent="0.25">
      <c r="B106" s="68">
        <v>44</v>
      </c>
      <c r="C106" s="68"/>
      <c r="D106" s="68" t="s">
        <v>161</v>
      </c>
      <c r="E106" s="69">
        <f>E107+E108+E109+E110+E111+E112+E113+E114+E115+E116</f>
        <v>58184.759999999995</v>
      </c>
      <c r="F106" s="69">
        <f t="shared" ref="F106:BI106" si="67">F107+F108+F109+F110+F111+F112+F113+F114+F115+F116</f>
        <v>29788.6</v>
      </c>
      <c r="G106" s="69">
        <f t="shared" si="67"/>
        <v>243370.84</v>
      </c>
      <c r="H106" s="69">
        <f t="shared" si="67"/>
        <v>134945</v>
      </c>
      <c r="I106" s="69">
        <f t="shared" si="67"/>
        <v>577891.41</v>
      </c>
      <c r="J106" s="69">
        <f t="shared" si="67"/>
        <v>294068.26</v>
      </c>
      <c r="K106" s="69">
        <f t="shared" si="67"/>
        <v>283312.95</v>
      </c>
      <c r="L106" s="69">
        <f t="shared" si="67"/>
        <v>3392682.58</v>
      </c>
      <c r="M106" s="69">
        <f t="shared" si="67"/>
        <v>82763.14</v>
      </c>
      <c r="N106" s="69">
        <f t="shared" si="67"/>
        <v>23700.92</v>
      </c>
      <c r="O106" s="69">
        <f t="shared" si="67"/>
        <v>653794.23</v>
      </c>
      <c r="P106" s="69">
        <f t="shared" si="67"/>
        <v>80389.69</v>
      </c>
      <c r="Q106" s="69">
        <f t="shared" si="67"/>
        <v>19556.21</v>
      </c>
      <c r="R106" s="69">
        <f t="shared" si="67"/>
        <v>31892.6</v>
      </c>
      <c r="S106" s="69">
        <f t="shared" si="67"/>
        <v>18553.25</v>
      </c>
      <c r="T106" s="69">
        <f t="shared" si="67"/>
        <v>77582.929999999993</v>
      </c>
      <c r="U106" s="69">
        <f t="shared" si="67"/>
        <v>33236.07</v>
      </c>
      <c r="V106" s="69">
        <f t="shared" si="67"/>
        <v>70976.950000000012</v>
      </c>
      <c r="W106" s="69">
        <f t="shared" si="67"/>
        <v>488771.12</v>
      </c>
      <c r="X106" s="69">
        <f t="shared" si="67"/>
        <v>11486.199999999997</v>
      </c>
      <c r="Y106" s="69">
        <f t="shared" si="67"/>
        <v>110293.32</v>
      </c>
      <c r="Z106" s="69">
        <f t="shared" si="67"/>
        <v>63255.549999999996</v>
      </c>
      <c r="AA106" s="69">
        <f t="shared" si="67"/>
        <v>31878.9</v>
      </c>
      <c r="AB106" s="69">
        <f t="shared" si="67"/>
        <v>30395.22</v>
      </c>
      <c r="AC106" s="69">
        <f t="shared" si="67"/>
        <v>94277.1</v>
      </c>
      <c r="AD106" s="69">
        <f t="shared" si="67"/>
        <v>182407.67999999999</v>
      </c>
      <c r="AE106" s="69">
        <f t="shared" si="67"/>
        <v>33682.94</v>
      </c>
      <c r="AF106" s="69">
        <f t="shared" si="67"/>
        <v>126998.37999999999</v>
      </c>
      <c r="AG106" s="69">
        <f t="shared" si="67"/>
        <v>257596.38</v>
      </c>
      <c r="AH106" s="69">
        <f t="shared" si="67"/>
        <v>298816.76</v>
      </c>
      <c r="AI106" s="69">
        <f t="shared" si="67"/>
        <v>33610.159999999996</v>
      </c>
      <c r="AJ106" s="69">
        <f t="shared" si="67"/>
        <v>213871.76</v>
      </c>
      <c r="AK106" s="69">
        <f t="shared" si="67"/>
        <v>163591.60999999999</v>
      </c>
      <c r="AL106" s="69">
        <f t="shared" si="67"/>
        <v>640468.40999999992</v>
      </c>
      <c r="AM106" s="69">
        <f t="shared" si="67"/>
        <v>173245.6</v>
      </c>
      <c r="AN106" s="69">
        <f t="shared" si="67"/>
        <v>25784.27</v>
      </c>
      <c r="AO106" s="69">
        <f t="shared" si="67"/>
        <v>248618.83</v>
      </c>
      <c r="AP106" s="69">
        <f t="shared" si="67"/>
        <v>135559.39000000001</v>
      </c>
      <c r="AQ106" s="69">
        <f t="shared" si="67"/>
        <v>86289.82</v>
      </c>
      <c r="AR106" s="69">
        <f t="shared" si="67"/>
        <v>618846.01</v>
      </c>
      <c r="AS106" s="69">
        <f t="shared" si="67"/>
        <v>118225.1</v>
      </c>
      <c r="AT106" s="69">
        <f t="shared" si="67"/>
        <v>174599.01</v>
      </c>
      <c r="AU106" s="69">
        <f t="shared" si="67"/>
        <v>53038.09</v>
      </c>
      <c r="AV106" s="69">
        <f t="shared" si="67"/>
        <v>163872.57</v>
      </c>
      <c r="AW106" s="69">
        <f t="shared" si="67"/>
        <v>63910.84</v>
      </c>
      <c r="AX106" s="69">
        <f t="shared" si="67"/>
        <v>18208.830000000002</v>
      </c>
      <c r="AY106" s="69">
        <f t="shared" si="67"/>
        <v>62195.07</v>
      </c>
      <c r="AZ106" s="69">
        <f t="shared" si="67"/>
        <v>166051.41</v>
      </c>
      <c r="BA106" s="69">
        <f t="shared" si="67"/>
        <v>46942.44</v>
      </c>
      <c r="BB106" s="69">
        <f t="shared" si="67"/>
        <v>306528.39</v>
      </c>
      <c r="BC106" s="69">
        <f t="shared" si="67"/>
        <v>55738.28</v>
      </c>
      <c r="BD106" s="69">
        <f t="shared" si="67"/>
        <v>2541679.25</v>
      </c>
      <c r="BE106" s="69">
        <f t="shared" si="67"/>
        <v>110377.38</v>
      </c>
      <c r="BF106" s="69">
        <f t="shared" si="67"/>
        <v>14057802.459999997</v>
      </c>
      <c r="BG106" s="69">
        <f t="shared" si="67"/>
        <v>6595461.5099999998</v>
      </c>
      <c r="BH106" s="69">
        <f t="shared" si="67"/>
        <v>1488570.35</v>
      </c>
      <c r="BI106" s="69">
        <f t="shared" si="67"/>
        <v>5973770.5999999996</v>
      </c>
    </row>
    <row r="107" spans="2:61" x14ac:dyDescent="0.25">
      <c r="C107" s="7">
        <v>440</v>
      </c>
      <c r="D107" s="7" t="s">
        <v>162</v>
      </c>
      <c r="E107" s="12">
        <v>20774.759999999998</v>
      </c>
      <c r="F107" s="12">
        <v>3458.6</v>
      </c>
      <c r="G107" s="12">
        <v>8650.19</v>
      </c>
      <c r="H107" s="12">
        <v>7673</v>
      </c>
      <c r="I107" s="12">
        <v>92820.74</v>
      </c>
      <c r="J107" s="12">
        <v>85392.02</v>
      </c>
      <c r="K107" s="12">
        <v>50590.25</v>
      </c>
      <c r="L107" s="12">
        <v>916525.13</v>
      </c>
      <c r="M107" s="12">
        <v>34510.089999999997</v>
      </c>
      <c r="N107" s="12">
        <v>2550.92</v>
      </c>
      <c r="O107" s="12">
        <v>204486.74</v>
      </c>
      <c r="P107" s="12">
        <v>13949.69</v>
      </c>
      <c r="Q107" s="12">
        <v>3126.21</v>
      </c>
      <c r="R107" s="12">
        <v>5.5</v>
      </c>
      <c r="S107" s="12">
        <v>0</v>
      </c>
      <c r="T107" s="12">
        <v>20475.93</v>
      </c>
      <c r="U107" s="12">
        <v>10249.469999999999</v>
      </c>
      <c r="V107" s="12">
        <v>14363.15</v>
      </c>
      <c r="W107" s="12">
        <v>96966.55</v>
      </c>
      <c r="X107" s="12">
        <v>5057.2</v>
      </c>
      <c r="Y107" s="12">
        <v>42079.32</v>
      </c>
      <c r="Z107" s="12">
        <v>33323.19</v>
      </c>
      <c r="AA107" s="12">
        <v>2034.5</v>
      </c>
      <c r="AB107" s="12">
        <v>2689.22</v>
      </c>
      <c r="AC107" s="12">
        <v>5857.15</v>
      </c>
      <c r="AD107" s="12">
        <v>10282.23</v>
      </c>
      <c r="AE107" s="12">
        <v>14852.94</v>
      </c>
      <c r="AF107" s="12">
        <v>296.68</v>
      </c>
      <c r="AG107" s="12">
        <v>31517.47</v>
      </c>
      <c r="AH107" s="12">
        <v>51084.21</v>
      </c>
      <c r="AI107" s="12">
        <v>5780.36</v>
      </c>
      <c r="AJ107" s="12">
        <v>2287.2600000000002</v>
      </c>
      <c r="AK107" s="12">
        <v>51399.56</v>
      </c>
      <c r="AL107" s="12">
        <v>78509.759999999995</v>
      </c>
      <c r="AM107" s="12">
        <v>43546.25</v>
      </c>
      <c r="AN107" s="12">
        <v>6846.77</v>
      </c>
      <c r="AO107" s="12">
        <v>21251.68</v>
      </c>
      <c r="AP107" s="12">
        <v>43429.84</v>
      </c>
      <c r="AQ107" s="12">
        <v>20734.22</v>
      </c>
      <c r="AR107" s="12">
        <v>37646.339999999997</v>
      </c>
      <c r="AS107" s="12">
        <v>24618.9</v>
      </c>
      <c r="AT107" s="12">
        <v>34333.64</v>
      </c>
      <c r="AU107" s="12">
        <v>9603.7900000000009</v>
      </c>
      <c r="AV107" s="12">
        <v>75161.23</v>
      </c>
      <c r="AW107" s="12">
        <v>15309.24</v>
      </c>
      <c r="AX107" s="12">
        <v>3910.43</v>
      </c>
      <c r="AY107" s="12">
        <v>10077.92</v>
      </c>
      <c r="AZ107" s="12">
        <v>67652.11</v>
      </c>
      <c r="BA107" s="12">
        <v>11732.29</v>
      </c>
      <c r="BB107" s="12">
        <v>53387.88</v>
      </c>
      <c r="BC107" s="12">
        <v>5670.83</v>
      </c>
      <c r="BD107" s="12">
        <v>356399.74</v>
      </c>
      <c r="BE107" s="12">
        <v>48829.78</v>
      </c>
      <c r="BF107" s="12">
        <f t="shared" ref="BF107:BF116" si="68">SUM(E107:BE107)</f>
        <v>2813762.8699999996</v>
      </c>
      <c r="BG107" s="12">
        <f t="shared" ref="BG107:BG116" si="69">SUM(E107:W107)</f>
        <v>1586568.9399999997</v>
      </c>
      <c r="BH107" s="12">
        <f t="shared" ref="BH107:BH116" si="70">SUM(X107:AJ107)</f>
        <v>207141.72999999995</v>
      </c>
      <c r="BI107" s="12">
        <f t="shared" ref="BI107:BI116" si="71">SUM(AK107:BE107)</f>
        <v>1020052.2</v>
      </c>
    </row>
    <row r="108" spans="2:61" x14ac:dyDescent="0.25">
      <c r="C108" s="7">
        <v>441</v>
      </c>
      <c r="D108" s="7" t="s">
        <v>163</v>
      </c>
      <c r="E108" s="12">
        <v>10419.9</v>
      </c>
      <c r="F108" s="12">
        <v>0</v>
      </c>
      <c r="G108" s="12">
        <v>0</v>
      </c>
      <c r="H108" s="12">
        <v>0</v>
      </c>
      <c r="I108" s="12">
        <v>0</v>
      </c>
      <c r="J108" s="12">
        <v>0</v>
      </c>
      <c r="K108" s="12">
        <v>0</v>
      </c>
      <c r="L108" s="12">
        <v>0</v>
      </c>
      <c r="M108" s="12">
        <v>0</v>
      </c>
      <c r="N108" s="12">
        <v>0</v>
      </c>
      <c r="O108" s="12">
        <v>0</v>
      </c>
      <c r="P108" s="12">
        <v>0</v>
      </c>
      <c r="Q108" s="12">
        <v>0</v>
      </c>
      <c r="R108" s="12">
        <v>0</v>
      </c>
      <c r="S108" s="12">
        <v>0</v>
      </c>
      <c r="T108" s="12">
        <v>0</v>
      </c>
      <c r="U108" s="12">
        <v>0</v>
      </c>
      <c r="V108" s="12">
        <v>0</v>
      </c>
      <c r="W108" s="12">
        <v>12500</v>
      </c>
      <c r="X108" s="12">
        <v>-54035</v>
      </c>
      <c r="Y108" s="12">
        <v>0</v>
      </c>
      <c r="Z108" s="12">
        <v>0</v>
      </c>
      <c r="AA108" s="12">
        <v>0</v>
      </c>
      <c r="AB108" s="12">
        <v>0</v>
      </c>
      <c r="AC108" s="12">
        <v>0</v>
      </c>
      <c r="AD108" s="12">
        <v>29136</v>
      </c>
      <c r="AE108" s="12">
        <v>0</v>
      </c>
      <c r="AF108" s="12">
        <v>0</v>
      </c>
      <c r="AG108" s="12">
        <v>8220</v>
      </c>
      <c r="AH108" s="12">
        <v>43</v>
      </c>
      <c r="AI108" s="12">
        <v>0</v>
      </c>
      <c r="AJ108" s="12">
        <v>184334.5</v>
      </c>
      <c r="AK108" s="12">
        <v>0</v>
      </c>
      <c r="AL108" s="12">
        <v>0</v>
      </c>
      <c r="AM108" s="12">
        <v>0</v>
      </c>
      <c r="AN108" s="12">
        <v>0</v>
      </c>
      <c r="AO108" s="12">
        <v>0</v>
      </c>
      <c r="AP108" s="12">
        <v>0</v>
      </c>
      <c r="AQ108" s="12">
        <v>0</v>
      </c>
      <c r="AR108" s="12">
        <v>0</v>
      </c>
      <c r="AS108" s="12">
        <v>0</v>
      </c>
      <c r="AT108" s="12">
        <v>0</v>
      </c>
      <c r="AU108" s="12">
        <v>0</v>
      </c>
      <c r="AV108" s="12">
        <v>0</v>
      </c>
      <c r="AW108" s="12">
        <v>0</v>
      </c>
      <c r="AX108" s="12">
        <v>0</v>
      </c>
      <c r="AY108" s="12">
        <v>0</v>
      </c>
      <c r="AZ108" s="12">
        <v>0</v>
      </c>
      <c r="BA108" s="12">
        <v>0</v>
      </c>
      <c r="BB108" s="12">
        <v>16335</v>
      </c>
      <c r="BC108" s="12">
        <v>0</v>
      </c>
      <c r="BD108" s="12">
        <v>0</v>
      </c>
      <c r="BE108" s="12">
        <v>0</v>
      </c>
      <c r="BF108" s="12">
        <f t="shared" si="68"/>
        <v>206953.4</v>
      </c>
      <c r="BG108" s="12">
        <f t="shared" si="69"/>
        <v>22919.9</v>
      </c>
      <c r="BH108" s="12">
        <f t="shared" si="70"/>
        <v>167698.5</v>
      </c>
      <c r="BI108" s="12">
        <f t="shared" si="71"/>
        <v>16335</v>
      </c>
    </row>
    <row r="109" spans="2:61" x14ac:dyDescent="0.25">
      <c r="C109" s="7">
        <v>442</v>
      </c>
      <c r="D109" s="7" t="s">
        <v>164</v>
      </c>
      <c r="E109" s="12">
        <v>177</v>
      </c>
      <c r="F109" s="12">
        <v>0</v>
      </c>
      <c r="G109" s="12">
        <v>0</v>
      </c>
      <c r="H109" s="12">
        <v>0</v>
      </c>
      <c r="I109" s="12">
        <v>6509</v>
      </c>
      <c r="J109" s="12">
        <v>36</v>
      </c>
      <c r="K109" s="12">
        <v>0</v>
      </c>
      <c r="L109" s="12">
        <v>22013.599999999999</v>
      </c>
      <c r="M109" s="12">
        <v>0</v>
      </c>
      <c r="N109" s="12">
        <v>0</v>
      </c>
      <c r="O109" s="12">
        <v>3959</v>
      </c>
      <c r="P109" s="12">
        <v>0</v>
      </c>
      <c r="Q109" s="12">
        <v>21</v>
      </c>
      <c r="R109" s="12">
        <v>0</v>
      </c>
      <c r="S109" s="12">
        <v>3.25</v>
      </c>
      <c r="T109" s="12">
        <v>325</v>
      </c>
      <c r="U109" s="12">
        <v>0</v>
      </c>
      <c r="V109" s="12">
        <v>0</v>
      </c>
      <c r="W109" s="12">
        <v>208</v>
      </c>
      <c r="X109" s="12">
        <v>5</v>
      </c>
      <c r="Y109" s="12">
        <v>0</v>
      </c>
      <c r="Z109" s="12">
        <v>0</v>
      </c>
      <c r="AA109" s="12">
        <v>0</v>
      </c>
      <c r="AB109" s="12">
        <v>0</v>
      </c>
      <c r="AC109" s="12">
        <v>0</v>
      </c>
      <c r="AD109" s="12">
        <v>16</v>
      </c>
      <c r="AE109" s="12">
        <v>0</v>
      </c>
      <c r="AF109" s="12">
        <v>0</v>
      </c>
      <c r="AG109" s="12">
        <v>8715</v>
      </c>
      <c r="AH109" s="12">
        <v>0</v>
      </c>
      <c r="AI109" s="12">
        <v>0</v>
      </c>
      <c r="AJ109" s="12">
        <v>0</v>
      </c>
      <c r="AK109" s="12">
        <v>0</v>
      </c>
      <c r="AL109" s="12">
        <v>1014</v>
      </c>
      <c r="AM109" s="12">
        <v>0</v>
      </c>
      <c r="AN109" s="12">
        <v>0</v>
      </c>
      <c r="AO109" s="12">
        <v>0</v>
      </c>
      <c r="AP109" s="12">
        <v>40</v>
      </c>
      <c r="AQ109" s="12">
        <v>0</v>
      </c>
      <c r="AR109" s="12">
        <v>8074.75</v>
      </c>
      <c r="AS109" s="12">
        <v>0</v>
      </c>
      <c r="AT109" s="12">
        <v>380</v>
      </c>
      <c r="AU109" s="12">
        <v>0</v>
      </c>
      <c r="AV109" s="12">
        <v>1632.5</v>
      </c>
      <c r="AW109" s="12">
        <v>2203.0500000000002</v>
      </c>
      <c r="AX109" s="12">
        <v>0</v>
      </c>
      <c r="AY109" s="12">
        <v>0</v>
      </c>
      <c r="AZ109" s="12">
        <v>0</v>
      </c>
      <c r="BA109" s="12">
        <v>0</v>
      </c>
      <c r="BB109" s="12">
        <v>108.61</v>
      </c>
      <c r="BC109" s="12">
        <v>0</v>
      </c>
      <c r="BD109" s="12">
        <v>35327</v>
      </c>
      <c r="BE109" s="12">
        <v>20</v>
      </c>
      <c r="BF109" s="12">
        <f t="shared" si="68"/>
        <v>90787.760000000009</v>
      </c>
      <c r="BG109" s="12">
        <f t="shared" si="69"/>
        <v>33251.85</v>
      </c>
      <c r="BH109" s="12">
        <f t="shared" si="70"/>
        <v>8736</v>
      </c>
      <c r="BI109" s="12">
        <f t="shared" si="71"/>
        <v>48799.91</v>
      </c>
    </row>
    <row r="110" spans="2:61" x14ac:dyDescent="0.25">
      <c r="C110" s="7">
        <v>443</v>
      </c>
      <c r="D110" s="7" t="s">
        <v>165</v>
      </c>
      <c r="E110" s="12">
        <v>23831.5</v>
      </c>
      <c r="F110" s="12">
        <v>22320</v>
      </c>
      <c r="G110" s="12">
        <v>101852.4</v>
      </c>
      <c r="H110" s="12">
        <v>75465</v>
      </c>
      <c r="I110" s="12">
        <v>390253.15</v>
      </c>
      <c r="J110" s="12">
        <v>131630</v>
      </c>
      <c r="K110" s="12">
        <v>125140.2</v>
      </c>
      <c r="L110" s="12">
        <v>824370.55</v>
      </c>
      <c r="M110" s="12">
        <v>19882.099999999999</v>
      </c>
      <c r="N110" s="12">
        <v>21150</v>
      </c>
      <c r="O110" s="12">
        <v>108651.25</v>
      </c>
      <c r="P110" s="12">
        <v>22790</v>
      </c>
      <c r="Q110" s="12">
        <v>10140</v>
      </c>
      <c r="R110" s="12">
        <v>28680</v>
      </c>
      <c r="S110" s="12">
        <v>14640</v>
      </c>
      <c r="T110" s="12">
        <v>43480</v>
      </c>
      <c r="U110" s="12">
        <v>0</v>
      </c>
      <c r="V110" s="12">
        <v>20005</v>
      </c>
      <c r="W110" s="12">
        <v>155612.29999999999</v>
      </c>
      <c r="X110" s="12">
        <v>1490</v>
      </c>
      <c r="Y110" s="12">
        <v>43405</v>
      </c>
      <c r="Z110" s="12">
        <v>8731</v>
      </c>
      <c r="AA110" s="12">
        <v>15034</v>
      </c>
      <c r="AB110" s="12">
        <v>25290</v>
      </c>
      <c r="AC110" s="12">
        <v>41126.6</v>
      </c>
      <c r="AD110" s="12">
        <v>80564.5</v>
      </c>
      <c r="AE110" s="12">
        <v>1810</v>
      </c>
      <c r="AF110" s="12">
        <v>75924.7</v>
      </c>
      <c r="AG110" s="12">
        <v>87356.800000000003</v>
      </c>
      <c r="AH110" s="12">
        <v>39189</v>
      </c>
      <c r="AI110" s="12">
        <v>0</v>
      </c>
      <c r="AJ110" s="12">
        <v>26770</v>
      </c>
      <c r="AK110" s="12">
        <v>0</v>
      </c>
      <c r="AL110" s="12">
        <v>141519.4</v>
      </c>
      <c r="AM110" s="12">
        <v>71714.75</v>
      </c>
      <c r="AN110" s="12">
        <v>7440</v>
      </c>
      <c r="AO110" s="12">
        <v>212328.05</v>
      </c>
      <c r="AP110" s="12">
        <v>25423.5</v>
      </c>
      <c r="AQ110" s="12">
        <v>20325.099999999999</v>
      </c>
      <c r="AR110" s="12">
        <v>423015.3</v>
      </c>
      <c r="AS110" s="12">
        <v>15722.4</v>
      </c>
      <c r="AT110" s="12">
        <v>68498.5</v>
      </c>
      <c r="AU110" s="12">
        <v>31234.3</v>
      </c>
      <c r="AV110" s="12">
        <v>0</v>
      </c>
      <c r="AW110" s="12">
        <v>28453.55</v>
      </c>
      <c r="AX110" s="12">
        <v>2645</v>
      </c>
      <c r="AY110" s="12">
        <v>39981.800000000003</v>
      </c>
      <c r="AZ110" s="12">
        <v>63599.9</v>
      </c>
      <c r="BA110" s="12">
        <v>33410.15</v>
      </c>
      <c r="BB110" s="12">
        <v>98207.05</v>
      </c>
      <c r="BC110" s="12">
        <v>42360</v>
      </c>
      <c r="BD110" s="12">
        <v>295146.59999999998</v>
      </c>
      <c r="BE110" s="12">
        <v>44312.6</v>
      </c>
      <c r="BF110" s="12">
        <f t="shared" si="68"/>
        <v>4251922.9999999981</v>
      </c>
      <c r="BG110" s="12">
        <f t="shared" si="69"/>
        <v>2139893.4500000002</v>
      </c>
      <c r="BH110" s="12">
        <f t="shared" si="70"/>
        <v>446691.6</v>
      </c>
      <c r="BI110" s="12">
        <f t="shared" si="71"/>
        <v>1665337.9499999997</v>
      </c>
    </row>
    <row r="111" spans="2:61" x14ac:dyDescent="0.25">
      <c r="C111" s="7">
        <v>444</v>
      </c>
      <c r="D111" s="7" t="s">
        <v>105</v>
      </c>
      <c r="E111" s="12">
        <v>0</v>
      </c>
      <c r="F111" s="12">
        <v>0</v>
      </c>
      <c r="G111" s="12">
        <v>129798.25</v>
      </c>
      <c r="H111" s="12">
        <v>0</v>
      </c>
      <c r="I111" s="12">
        <v>18080</v>
      </c>
      <c r="J111" s="12">
        <v>40</v>
      </c>
      <c r="K111" s="12">
        <v>0</v>
      </c>
      <c r="L111" s="12">
        <v>0</v>
      </c>
      <c r="M111" s="12">
        <v>40</v>
      </c>
      <c r="N111" s="12">
        <v>0</v>
      </c>
      <c r="O111" s="12">
        <v>9351</v>
      </c>
      <c r="P111" s="12">
        <v>0</v>
      </c>
      <c r="Q111" s="12">
        <v>20</v>
      </c>
      <c r="R111" s="12">
        <v>0</v>
      </c>
      <c r="S111" s="12">
        <v>0</v>
      </c>
      <c r="T111" s="12">
        <v>0</v>
      </c>
      <c r="U111" s="12">
        <v>0</v>
      </c>
      <c r="V111" s="12">
        <v>0</v>
      </c>
      <c r="W111" s="12">
        <v>2399</v>
      </c>
      <c r="X111" s="12">
        <v>1</v>
      </c>
      <c r="Y111" s="12">
        <v>0</v>
      </c>
      <c r="Z111" s="12">
        <v>0</v>
      </c>
      <c r="AA111" s="12">
        <v>10.4</v>
      </c>
      <c r="AB111" s="12">
        <v>2416</v>
      </c>
      <c r="AC111" s="12">
        <v>3160</v>
      </c>
      <c r="AD111" s="12">
        <v>20</v>
      </c>
      <c r="AE111" s="12">
        <v>100</v>
      </c>
      <c r="AF111" s="12">
        <v>0</v>
      </c>
      <c r="AG111" s="12">
        <v>25280</v>
      </c>
      <c r="AH111" s="12">
        <v>8200</v>
      </c>
      <c r="AI111" s="12">
        <v>0</v>
      </c>
      <c r="AJ111" s="12">
        <v>60</v>
      </c>
      <c r="AK111" s="12">
        <v>0</v>
      </c>
      <c r="AL111" s="12">
        <v>4740</v>
      </c>
      <c r="AM111" s="12">
        <v>0</v>
      </c>
      <c r="AN111" s="12">
        <v>0</v>
      </c>
      <c r="AO111" s="12">
        <v>0</v>
      </c>
      <c r="AP111" s="12">
        <v>0</v>
      </c>
      <c r="AQ111" s="12">
        <v>6000</v>
      </c>
      <c r="AR111" s="12">
        <v>0</v>
      </c>
      <c r="AS111" s="12">
        <v>19750</v>
      </c>
      <c r="AT111" s="12">
        <v>20</v>
      </c>
      <c r="AU111" s="12">
        <v>0</v>
      </c>
      <c r="AV111" s="12">
        <v>0</v>
      </c>
      <c r="AW111" s="12">
        <v>6320</v>
      </c>
      <c r="AX111" s="12">
        <v>0</v>
      </c>
      <c r="AY111" s="12">
        <v>0</v>
      </c>
      <c r="AZ111" s="12">
        <v>8800</v>
      </c>
      <c r="BA111" s="12">
        <v>40</v>
      </c>
      <c r="BB111" s="12">
        <v>3700</v>
      </c>
      <c r="BC111" s="12">
        <v>0</v>
      </c>
      <c r="BD111" s="12">
        <v>909355.09</v>
      </c>
      <c r="BE111" s="12">
        <v>0</v>
      </c>
      <c r="BF111" s="12">
        <f t="shared" si="68"/>
        <v>1157700.74</v>
      </c>
      <c r="BG111" s="12">
        <f t="shared" si="69"/>
        <v>159728.25</v>
      </c>
      <c r="BH111" s="12">
        <f t="shared" si="70"/>
        <v>39247.4</v>
      </c>
      <c r="BI111" s="12">
        <f t="shared" si="71"/>
        <v>958725.09</v>
      </c>
    </row>
    <row r="112" spans="2:61" x14ac:dyDescent="0.25">
      <c r="C112" s="7">
        <v>445</v>
      </c>
      <c r="D112" s="7" t="s">
        <v>166</v>
      </c>
      <c r="E112" s="12">
        <v>0</v>
      </c>
      <c r="F112" s="12">
        <v>0</v>
      </c>
      <c r="G112" s="12">
        <v>0</v>
      </c>
      <c r="H112" s="12">
        <v>0</v>
      </c>
      <c r="I112" s="12">
        <v>0</v>
      </c>
      <c r="J112" s="12">
        <v>0</v>
      </c>
      <c r="K112" s="12">
        <v>0</v>
      </c>
      <c r="L112" s="12">
        <v>97804</v>
      </c>
      <c r="M112" s="12">
        <v>0</v>
      </c>
      <c r="N112" s="12">
        <v>0</v>
      </c>
      <c r="O112" s="12">
        <v>0</v>
      </c>
      <c r="P112" s="12">
        <v>0</v>
      </c>
      <c r="Q112" s="12">
        <v>0</v>
      </c>
      <c r="R112" s="12">
        <v>0</v>
      </c>
      <c r="S112" s="12">
        <v>0</v>
      </c>
      <c r="T112" s="12">
        <v>0</v>
      </c>
      <c r="U112" s="12">
        <v>0</v>
      </c>
      <c r="V112" s="12">
        <v>0</v>
      </c>
      <c r="W112" s="12">
        <v>0</v>
      </c>
      <c r="X112" s="12">
        <v>0</v>
      </c>
      <c r="Y112" s="12">
        <v>0</v>
      </c>
      <c r="Z112" s="12">
        <v>0</v>
      </c>
      <c r="AA112" s="12">
        <v>0</v>
      </c>
      <c r="AB112" s="12">
        <v>0</v>
      </c>
      <c r="AC112" s="12">
        <v>0</v>
      </c>
      <c r="AD112" s="12">
        <v>0</v>
      </c>
      <c r="AE112" s="12">
        <v>0</v>
      </c>
      <c r="AF112" s="12">
        <v>0</v>
      </c>
      <c r="AG112" s="12">
        <v>0</v>
      </c>
      <c r="AH112" s="12">
        <v>0</v>
      </c>
      <c r="AI112" s="12">
        <v>0</v>
      </c>
      <c r="AJ112" s="12">
        <v>0</v>
      </c>
      <c r="AK112" s="12">
        <v>0</v>
      </c>
      <c r="AL112" s="12">
        <v>0</v>
      </c>
      <c r="AM112" s="12">
        <v>0</v>
      </c>
      <c r="AN112" s="12">
        <v>0</v>
      </c>
      <c r="AO112" s="12">
        <v>0</v>
      </c>
      <c r="AP112" s="12">
        <v>0</v>
      </c>
      <c r="AQ112" s="12">
        <v>0</v>
      </c>
      <c r="AR112" s="12">
        <v>0</v>
      </c>
      <c r="AS112" s="12">
        <v>0</v>
      </c>
      <c r="AT112" s="12">
        <v>0</v>
      </c>
      <c r="AU112" s="12">
        <v>0</v>
      </c>
      <c r="AV112" s="12">
        <v>0</v>
      </c>
      <c r="AW112" s="12">
        <v>0</v>
      </c>
      <c r="AX112" s="12">
        <v>0</v>
      </c>
      <c r="AY112" s="12">
        <v>0</v>
      </c>
      <c r="AZ112" s="12">
        <v>0</v>
      </c>
      <c r="BA112" s="12">
        <v>0</v>
      </c>
      <c r="BB112" s="12">
        <v>0</v>
      </c>
      <c r="BC112" s="12">
        <v>0</v>
      </c>
      <c r="BD112" s="12">
        <v>0</v>
      </c>
      <c r="BE112" s="12">
        <v>0</v>
      </c>
      <c r="BF112" s="12">
        <f t="shared" si="68"/>
        <v>97804</v>
      </c>
      <c r="BG112" s="12">
        <f t="shared" si="69"/>
        <v>97804</v>
      </c>
      <c r="BH112" s="12">
        <f t="shared" si="70"/>
        <v>0</v>
      </c>
      <c r="BI112" s="12">
        <f t="shared" si="71"/>
        <v>0</v>
      </c>
    </row>
    <row r="113" spans="2:61" x14ac:dyDescent="0.25">
      <c r="C113" s="7">
        <v>446</v>
      </c>
      <c r="D113" s="7" t="s">
        <v>167</v>
      </c>
      <c r="E113" s="12">
        <v>0</v>
      </c>
      <c r="F113" s="12">
        <v>0</v>
      </c>
      <c r="G113" s="12">
        <v>0</v>
      </c>
      <c r="H113" s="12">
        <v>0</v>
      </c>
      <c r="I113" s="12">
        <v>0</v>
      </c>
      <c r="J113" s="12">
        <v>0</v>
      </c>
      <c r="K113" s="12">
        <v>0</v>
      </c>
      <c r="L113" s="12">
        <v>0</v>
      </c>
      <c r="M113" s="12">
        <v>0</v>
      </c>
      <c r="N113" s="12">
        <v>0</v>
      </c>
      <c r="O113" s="12">
        <v>0</v>
      </c>
      <c r="P113" s="12">
        <v>0</v>
      </c>
      <c r="Q113" s="12">
        <v>0</v>
      </c>
      <c r="R113" s="12">
        <v>0</v>
      </c>
      <c r="S113" s="12">
        <v>0</v>
      </c>
      <c r="T113" s="12">
        <v>0</v>
      </c>
      <c r="U113" s="12">
        <v>0</v>
      </c>
      <c r="V113" s="12">
        <v>0</v>
      </c>
      <c r="W113" s="12">
        <v>0</v>
      </c>
      <c r="X113" s="12">
        <v>0</v>
      </c>
      <c r="Y113" s="12">
        <v>0</v>
      </c>
      <c r="Z113" s="12">
        <v>0</v>
      </c>
      <c r="AA113" s="12">
        <v>0</v>
      </c>
      <c r="AB113" s="12">
        <v>0</v>
      </c>
      <c r="AC113" s="12">
        <v>0</v>
      </c>
      <c r="AD113" s="12">
        <v>0</v>
      </c>
      <c r="AE113" s="12">
        <v>0</v>
      </c>
      <c r="AF113" s="12">
        <v>0</v>
      </c>
      <c r="AG113" s="12">
        <v>0</v>
      </c>
      <c r="AH113" s="12">
        <v>0</v>
      </c>
      <c r="AI113" s="12">
        <v>0</v>
      </c>
      <c r="AJ113" s="12">
        <v>0</v>
      </c>
      <c r="AK113" s="12">
        <v>0</v>
      </c>
      <c r="AL113" s="12">
        <v>0</v>
      </c>
      <c r="AM113" s="12">
        <v>0</v>
      </c>
      <c r="AN113" s="12">
        <v>0</v>
      </c>
      <c r="AO113" s="12">
        <v>0</v>
      </c>
      <c r="AP113" s="12">
        <v>0</v>
      </c>
      <c r="AQ113" s="12">
        <v>0</v>
      </c>
      <c r="AR113" s="12">
        <v>0</v>
      </c>
      <c r="AS113" s="12">
        <v>0</v>
      </c>
      <c r="AT113" s="12">
        <v>0</v>
      </c>
      <c r="AU113" s="12">
        <v>0</v>
      </c>
      <c r="AV113" s="12">
        <v>0</v>
      </c>
      <c r="AW113" s="12">
        <v>0</v>
      </c>
      <c r="AX113" s="12">
        <v>0</v>
      </c>
      <c r="AY113" s="12">
        <v>0</v>
      </c>
      <c r="AZ113" s="12">
        <v>0</v>
      </c>
      <c r="BA113" s="12">
        <v>0</v>
      </c>
      <c r="BB113" s="12">
        <v>0</v>
      </c>
      <c r="BC113" s="12">
        <v>0</v>
      </c>
      <c r="BD113" s="12">
        <v>0</v>
      </c>
      <c r="BE113" s="12">
        <v>0</v>
      </c>
      <c r="BF113" s="12">
        <f t="shared" si="68"/>
        <v>0</v>
      </c>
      <c r="BG113" s="12">
        <f t="shared" si="69"/>
        <v>0</v>
      </c>
      <c r="BH113" s="12">
        <f t="shared" si="70"/>
        <v>0</v>
      </c>
      <c r="BI113" s="12">
        <f t="shared" si="71"/>
        <v>0</v>
      </c>
    </row>
    <row r="114" spans="2:61" x14ac:dyDescent="0.25">
      <c r="C114" s="7">
        <v>447</v>
      </c>
      <c r="D114" s="7" t="s">
        <v>168</v>
      </c>
      <c r="E114" s="12">
        <v>2981.6</v>
      </c>
      <c r="F114" s="12">
        <v>4010</v>
      </c>
      <c r="G114" s="12">
        <v>3070</v>
      </c>
      <c r="H114" s="12">
        <v>51807</v>
      </c>
      <c r="I114" s="12">
        <v>70600.789999999994</v>
      </c>
      <c r="J114" s="12">
        <v>76970.240000000005</v>
      </c>
      <c r="K114" s="12">
        <v>107582.5</v>
      </c>
      <c r="L114" s="12">
        <v>1531969.3</v>
      </c>
      <c r="M114" s="12">
        <v>28330.95</v>
      </c>
      <c r="N114" s="12">
        <v>0</v>
      </c>
      <c r="O114" s="12">
        <v>318884.95</v>
      </c>
      <c r="P114" s="12">
        <v>43650</v>
      </c>
      <c r="Q114" s="12">
        <v>6249</v>
      </c>
      <c r="R114" s="12">
        <v>3207.1</v>
      </c>
      <c r="S114" s="12">
        <v>3910</v>
      </c>
      <c r="T114" s="12">
        <v>13302</v>
      </c>
      <c r="U114" s="12">
        <v>22974</v>
      </c>
      <c r="V114" s="12">
        <v>36608.800000000003</v>
      </c>
      <c r="W114" s="12">
        <v>221085.27</v>
      </c>
      <c r="X114" s="12">
        <v>58818</v>
      </c>
      <c r="Y114" s="12">
        <v>24809</v>
      </c>
      <c r="Z114" s="12">
        <v>26214.400000000001</v>
      </c>
      <c r="AA114" s="12">
        <v>14800</v>
      </c>
      <c r="AB114" s="12">
        <v>0</v>
      </c>
      <c r="AC114" s="12">
        <v>44133.35</v>
      </c>
      <c r="AD114" s="12">
        <v>62388.95</v>
      </c>
      <c r="AE114" s="12">
        <v>16920</v>
      </c>
      <c r="AF114" s="12">
        <v>50777</v>
      </c>
      <c r="AG114" s="12">
        <v>96485</v>
      </c>
      <c r="AH114" s="12">
        <v>200300.55</v>
      </c>
      <c r="AI114" s="12">
        <v>0</v>
      </c>
      <c r="AJ114" s="12">
        <v>420</v>
      </c>
      <c r="AK114" s="12">
        <v>112192.05</v>
      </c>
      <c r="AL114" s="12">
        <v>414082</v>
      </c>
      <c r="AM114" s="12">
        <v>57984.6</v>
      </c>
      <c r="AN114" s="12">
        <v>11497.5</v>
      </c>
      <c r="AO114" s="12">
        <v>15039.1</v>
      </c>
      <c r="AP114" s="12">
        <v>66666.05</v>
      </c>
      <c r="AQ114" s="12">
        <v>39230.5</v>
      </c>
      <c r="AR114" s="12">
        <v>150109.62</v>
      </c>
      <c r="AS114" s="12">
        <v>58133.8</v>
      </c>
      <c r="AT114" s="12">
        <v>71378.05</v>
      </c>
      <c r="AU114" s="12">
        <v>12200</v>
      </c>
      <c r="AV114" s="12">
        <v>87019.3</v>
      </c>
      <c r="AW114" s="12">
        <v>11625</v>
      </c>
      <c r="AX114" s="12">
        <v>11653.4</v>
      </c>
      <c r="AY114" s="12">
        <v>12135.35</v>
      </c>
      <c r="AZ114" s="12">
        <v>25999.4</v>
      </c>
      <c r="BA114" s="12">
        <v>1650</v>
      </c>
      <c r="BB114" s="12">
        <v>134789.85</v>
      </c>
      <c r="BC114" s="12">
        <v>7707.45</v>
      </c>
      <c r="BD114" s="12">
        <v>942845.09</v>
      </c>
      <c r="BE114" s="12">
        <v>17215</v>
      </c>
      <c r="BF114" s="12">
        <f t="shared" si="68"/>
        <v>5404412.8599999994</v>
      </c>
      <c r="BG114" s="12">
        <f t="shared" si="69"/>
        <v>2547193.5</v>
      </c>
      <c r="BH114" s="12">
        <f t="shared" si="70"/>
        <v>596066.25</v>
      </c>
      <c r="BI114" s="12">
        <f t="shared" si="71"/>
        <v>2261153.11</v>
      </c>
    </row>
    <row r="115" spans="2:61" x14ac:dyDescent="0.25">
      <c r="C115" s="7">
        <v>448</v>
      </c>
      <c r="D115" s="7" t="s">
        <v>169</v>
      </c>
      <c r="E115" s="12">
        <v>0</v>
      </c>
      <c r="F115" s="12">
        <v>0</v>
      </c>
      <c r="G115" s="12">
        <v>0</v>
      </c>
      <c r="H115" s="12">
        <v>0</v>
      </c>
      <c r="I115" s="12">
        <v>0</v>
      </c>
      <c r="J115" s="12">
        <v>0</v>
      </c>
      <c r="K115" s="12">
        <v>0</v>
      </c>
      <c r="L115" s="12">
        <v>0</v>
      </c>
      <c r="M115" s="12">
        <v>0</v>
      </c>
      <c r="N115" s="12">
        <v>0</v>
      </c>
      <c r="O115" s="12">
        <v>0</v>
      </c>
      <c r="P115" s="12">
        <v>0</v>
      </c>
      <c r="Q115" s="12">
        <v>0</v>
      </c>
      <c r="R115" s="12">
        <v>0</v>
      </c>
      <c r="S115" s="12">
        <v>0</v>
      </c>
      <c r="T115" s="12">
        <v>0</v>
      </c>
      <c r="U115" s="12">
        <v>0</v>
      </c>
      <c r="V115" s="12">
        <v>0</v>
      </c>
      <c r="W115" s="12">
        <v>0</v>
      </c>
      <c r="X115" s="12">
        <v>150</v>
      </c>
      <c r="Y115" s="12">
        <v>0</v>
      </c>
      <c r="Z115" s="12">
        <v>0</v>
      </c>
      <c r="AA115" s="12">
        <v>0</v>
      </c>
      <c r="AB115" s="12">
        <v>0</v>
      </c>
      <c r="AC115" s="12">
        <v>0</v>
      </c>
      <c r="AD115" s="12">
        <v>0</v>
      </c>
      <c r="AE115" s="12">
        <v>0</v>
      </c>
      <c r="AF115" s="12">
        <v>0</v>
      </c>
      <c r="AG115" s="12">
        <v>0</v>
      </c>
      <c r="AH115" s="12">
        <v>0</v>
      </c>
      <c r="AI115" s="12">
        <v>27829.8</v>
      </c>
      <c r="AJ115" s="12">
        <v>0</v>
      </c>
      <c r="AK115" s="12">
        <v>0</v>
      </c>
      <c r="AL115" s="12">
        <v>0</v>
      </c>
      <c r="AM115" s="12">
        <v>0</v>
      </c>
      <c r="AN115" s="12">
        <v>0</v>
      </c>
      <c r="AO115" s="12">
        <v>0</v>
      </c>
      <c r="AP115" s="12">
        <v>0</v>
      </c>
      <c r="AQ115" s="12">
        <v>0</v>
      </c>
      <c r="AR115" s="12">
        <v>0</v>
      </c>
      <c r="AS115" s="12">
        <v>0</v>
      </c>
      <c r="AT115" s="12">
        <v>0</v>
      </c>
      <c r="AU115" s="12">
        <v>0</v>
      </c>
      <c r="AV115" s="12">
        <v>0</v>
      </c>
      <c r="AW115" s="12">
        <v>0</v>
      </c>
      <c r="AX115" s="12">
        <v>0</v>
      </c>
      <c r="AY115" s="12">
        <v>0</v>
      </c>
      <c r="AZ115" s="12">
        <v>0</v>
      </c>
      <c r="BA115" s="12">
        <v>0</v>
      </c>
      <c r="BB115" s="12">
        <v>0</v>
      </c>
      <c r="BC115" s="12">
        <v>0</v>
      </c>
      <c r="BD115" s="12">
        <v>0</v>
      </c>
      <c r="BE115" s="12">
        <v>0</v>
      </c>
      <c r="BF115" s="12">
        <f t="shared" si="68"/>
        <v>27979.8</v>
      </c>
      <c r="BG115" s="12">
        <f t="shared" si="69"/>
        <v>0</v>
      </c>
      <c r="BH115" s="12">
        <f t="shared" si="70"/>
        <v>27979.8</v>
      </c>
      <c r="BI115" s="12">
        <f t="shared" si="71"/>
        <v>0</v>
      </c>
    </row>
    <row r="116" spans="2:61" x14ac:dyDescent="0.25">
      <c r="C116" s="7">
        <v>449</v>
      </c>
      <c r="D116" s="7" t="s">
        <v>170</v>
      </c>
      <c r="E116" s="12">
        <v>0</v>
      </c>
      <c r="F116" s="12">
        <v>0</v>
      </c>
      <c r="G116" s="12">
        <v>0</v>
      </c>
      <c r="H116" s="12">
        <v>0</v>
      </c>
      <c r="I116" s="12">
        <v>-372.27</v>
      </c>
      <c r="J116" s="12">
        <v>0</v>
      </c>
      <c r="K116" s="12">
        <v>0</v>
      </c>
      <c r="L116" s="12">
        <v>0</v>
      </c>
      <c r="M116" s="12">
        <v>0</v>
      </c>
      <c r="N116" s="12">
        <v>0</v>
      </c>
      <c r="O116" s="12">
        <v>8461.2900000000009</v>
      </c>
      <c r="P116" s="12">
        <v>0</v>
      </c>
      <c r="Q116" s="12">
        <v>0</v>
      </c>
      <c r="R116" s="12">
        <v>0</v>
      </c>
      <c r="S116" s="12">
        <v>0</v>
      </c>
      <c r="T116" s="12">
        <v>0</v>
      </c>
      <c r="U116" s="12">
        <v>12.6</v>
      </c>
      <c r="V116" s="12">
        <v>0</v>
      </c>
      <c r="W116" s="12">
        <v>0</v>
      </c>
      <c r="X116" s="12">
        <v>0</v>
      </c>
      <c r="Y116" s="12">
        <v>0</v>
      </c>
      <c r="Z116" s="12">
        <v>-5013.04</v>
      </c>
      <c r="AA116" s="12">
        <v>0</v>
      </c>
      <c r="AB116" s="12">
        <v>0</v>
      </c>
      <c r="AC116" s="12">
        <v>0</v>
      </c>
      <c r="AD116" s="12">
        <v>0</v>
      </c>
      <c r="AE116" s="12">
        <v>0</v>
      </c>
      <c r="AF116" s="12">
        <v>0</v>
      </c>
      <c r="AG116" s="12">
        <v>22.11</v>
      </c>
      <c r="AH116" s="12">
        <v>0</v>
      </c>
      <c r="AI116" s="12">
        <v>0</v>
      </c>
      <c r="AJ116" s="12">
        <v>0</v>
      </c>
      <c r="AK116" s="12">
        <v>0</v>
      </c>
      <c r="AL116" s="12">
        <v>603.25</v>
      </c>
      <c r="AM116" s="12">
        <v>0</v>
      </c>
      <c r="AN116" s="12">
        <v>0</v>
      </c>
      <c r="AO116" s="12">
        <v>0</v>
      </c>
      <c r="AP116" s="12">
        <v>0</v>
      </c>
      <c r="AQ116" s="12">
        <v>0</v>
      </c>
      <c r="AR116" s="12">
        <v>0</v>
      </c>
      <c r="AS116" s="12">
        <v>0</v>
      </c>
      <c r="AT116" s="12">
        <v>-11.18</v>
      </c>
      <c r="AU116" s="12">
        <v>0</v>
      </c>
      <c r="AV116" s="12">
        <v>59.54</v>
      </c>
      <c r="AW116" s="12">
        <v>0</v>
      </c>
      <c r="AX116" s="12">
        <v>0</v>
      </c>
      <c r="AY116" s="12">
        <v>0</v>
      </c>
      <c r="AZ116" s="12">
        <v>0</v>
      </c>
      <c r="BA116" s="12">
        <v>110</v>
      </c>
      <c r="BB116" s="12">
        <v>0</v>
      </c>
      <c r="BC116" s="12">
        <v>0</v>
      </c>
      <c r="BD116" s="12">
        <v>2605.73</v>
      </c>
      <c r="BE116" s="12">
        <v>0</v>
      </c>
      <c r="BF116" s="12">
        <f t="shared" si="68"/>
        <v>6478.0300000000007</v>
      </c>
      <c r="BG116" s="12">
        <f t="shared" si="69"/>
        <v>8101.6200000000008</v>
      </c>
      <c r="BH116" s="12">
        <f t="shared" si="70"/>
        <v>-4990.93</v>
      </c>
      <c r="BI116" s="12">
        <f t="shared" si="71"/>
        <v>3367.34</v>
      </c>
    </row>
    <row r="117" spans="2:61" x14ac:dyDescent="0.25">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row>
    <row r="118" spans="2:61" x14ac:dyDescent="0.25">
      <c r="B118" s="68">
        <v>45</v>
      </c>
      <c r="C118" s="68"/>
      <c r="D118" s="68" t="s">
        <v>173</v>
      </c>
      <c r="E118" s="69">
        <f>E119+E120</f>
        <v>2234.6</v>
      </c>
      <c r="F118" s="69">
        <f t="shared" ref="F118:BI118" si="72">F119+F120</f>
        <v>0</v>
      </c>
      <c r="G118" s="69">
        <f t="shared" si="72"/>
        <v>1088.3499999999999</v>
      </c>
      <c r="H118" s="69">
        <f t="shared" si="72"/>
        <v>0</v>
      </c>
      <c r="I118" s="69">
        <f t="shared" si="72"/>
        <v>15115</v>
      </c>
      <c r="J118" s="69">
        <f t="shared" si="72"/>
        <v>98995.8</v>
      </c>
      <c r="K118" s="69">
        <f t="shared" si="72"/>
        <v>156127.19</v>
      </c>
      <c r="L118" s="69">
        <f t="shared" si="72"/>
        <v>33917.85</v>
      </c>
      <c r="M118" s="69">
        <f t="shared" si="72"/>
        <v>517063.14999999997</v>
      </c>
      <c r="N118" s="69">
        <f t="shared" si="72"/>
        <v>0</v>
      </c>
      <c r="O118" s="69">
        <f t="shared" si="72"/>
        <v>350380.10000000003</v>
      </c>
      <c r="P118" s="69">
        <f t="shared" si="72"/>
        <v>0</v>
      </c>
      <c r="Q118" s="69">
        <f t="shared" si="72"/>
        <v>0</v>
      </c>
      <c r="R118" s="69">
        <f t="shared" si="72"/>
        <v>990.35</v>
      </c>
      <c r="S118" s="69">
        <f t="shared" si="72"/>
        <v>808.7</v>
      </c>
      <c r="T118" s="69">
        <f t="shared" si="72"/>
        <v>1678.65</v>
      </c>
      <c r="U118" s="69">
        <f t="shared" si="72"/>
        <v>0</v>
      </c>
      <c r="V118" s="69">
        <f t="shared" si="72"/>
        <v>444.87</v>
      </c>
      <c r="W118" s="69">
        <f t="shared" si="72"/>
        <v>179280.84000000003</v>
      </c>
      <c r="X118" s="69">
        <f t="shared" si="72"/>
        <v>51302.15</v>
      </c>
      <c r="Y118" s="69">
        <f t="shared" si="72"/>
        <v>8671.75</v>
      </c>
      <c r="Z118" s="69">
        <f t="shared" si="72"/>
        <v>136701.20000000001</v>
      </c>
      <c r="AA118" s="69">
        <f t="shared" si="72"/>
        <v>0</v>
      </c>
      <c r="AB118" s="69">
        <f t="shared" si="72"/>
        <v>169413.48</v>
      </c>
      <c r="AC118" s="69">
        <f t="shared" si="72"/>
        <v>0</v>
      </c>
      <c r="AD118" s="69">
        <f t="shared" si="72"/>
        <v>88471.7</v>
      </c>
      <c r="AE118" s="69">
        <f t="shared" si="72"/>
        <v>3269.5</v>
      </c>
      <c r="AF118" s="69">
        <f t="shared" si="72"/>
        <v>1253.05</v>
      </c>
      <c r="AG118" s="69">
        <f t="shared" si="72"/>
        <v>58798.2</v>
      </c>
      <c r="AH118" s="69">
        <f t="shared" si="72"/>
        <v>9358</v>
      </c>
      <c r="AI118" s="69">
        <f t="shared" si="72"/>
        <v>1517.2</v>
      </c>
      <c r="AJ118" s="69">
        <f t="shared" si="72"/>
        <v>149801.35999999999</v>
      </c>
      <c r="AK118" s="69">
        <f t="shared" si="72"/>
        <v>0</v>
      </c>
      <c r="AL118" s="69">
        <f t="shared" si="72"/>
        <v>44220.1</v>
      </c>
      <c r="AM118" s="69">
        <f t="shared" si="72"/>
        <v>28000</v>
      </c>
      <c r="AN118" s="69">
        <f t="shared" si="72"/>
        <v>272.8</v>
      </c>
      <c r="AO118" s="69">
        <f t="shared" si="72"/>
        <v>10000</v>
      </c>
      <c r="AP118" s="69">
        <f t="shared" si="72"/>
        <v>1412.5</v>
      </c>
      <c r="AQ118" s="69">
        <f t="shared" si="72"/>
        <v>0</v>
      </c>
      <c r="AR118" s="69">
        <f t="shared" si="72"/>
        <v>856437.02999999991</v>
      </c>
      <c r="AS118" s="69">
        <f t="shared" si="72"/>
        <v>91012.75</v>
      </c>
      <c r="AT118" s="69">
        <f t="shared" si="72"/>
        <v>107462.21</v>
      </c>
      <c r="AU118" s="69">
        <f t="shared" si="72"/>
        <v>60060.6</v>
      </c>
      <c r="AV118" s="69">
        <f t="shared" si="72"/>
        <v>321941.75</v>
      </c>
      <c r="AW118" s="69">
        <f t="shared" si="72"/>
        <v>10958.95</v>
      </c>
      <c r="AX118" s="69">
        <f t="shared" si="72"/>
        <v>42018.35</v>
      </c>
      <c r="AY118" s="69">
        <f t="shared" si="72"/>
        <v>5542</v>
      </c>
      <c r="AZ118" s="69">
        <f t="shared" si="72"/>
        <v>70983.350000000006</v>
      </c>
      <c r="BA118" s="69">
        <f t="shared" si="72"/>
        <v>4500</v>
      </c>
      <c r="BB118" s="69">
        <f t="shared" si="72"/>
        <v>53022.149999999994</v>
      </c>
      <c r="BC118" s="69">
        <f t="shared" si="72"/>
        <v>0</v>
      </c>
      <c r="BD118" s="69">
        <f t="shared" si="72"/>
        <v>204344.33</v>
      </c>
      <c r="BE118" s="69">
        <f t="shared" si="72"/>
        <v>56491.9</v>
      </c>
      <c r="BF118" s="69">
        <f t="shared" si="72"/>
        <v>4005363.81</v>
      </c>
      <c r="BG118" s="69">
        <f t="shared" si="72"/>
        <v>1358125.45</v>
      </c>
      <c r="BH118" s="69">
        <f t="shared" si="72"/>
        <v>678557.59000000008</v>
      </c>
      <c r="BI118" s="69">
        <f t="shared" si="72"/>
        <v>1968680.77</v>
      </c>
    </row>
    <row r="119" spans="2:61" x14ac:dyDescent="0.25">
      <c r="C119" s="7">
        <v>450</v>
      </c>
      <c r="D119" s="7" t="s">
        <v>171</v>
      </c>
      <c r="E119" s="12">
        <v>2234.6</v>
      </c>
      <c r="F119" s="12">
        <v>0</v>
      </c>
      <c r="G119" s="12">
        <v>1088.3499999999999</v>
      </c>
      <c r="H119" s="12">
        <v>0</v>
      </c>
      <c r="I119" s="12">
        <v>15115</v>
      </c>
      <c r="J119" s="12">
        <v>7816.6</v>
      </c>
      <c r="K119" s="12">
        <v>13777.65</v>
      </c>
      <c r="L119" s="12">
        <v>33917.85</v>
      </c>
      <c r="M119" s="12">
        <v>3171.6</v>
      </c>
      <c r="N119" s="12">
        <v>0</v>
      </c>
      <c r="O119" s="12">
        <v>34771.4</v>
      </c>
      <c r="P119" s="12">
        <v>0</v>
      </c>
      <c r="Q119" s="12">
        <v>0</v>
      </c>
      <c r="R119" s="12">
        <v>990.35</v>
      </c>
      <c r="S119" s="12">
        <v>808.7</v>
      </c>
      <c r="T119" s="12">
        <v>1678.65</v>
      </c>
      <c r="U119" s="12">
        <v>0</v>
      </c>
      <c r="V119" s="12">
        <v>444.87</v>
      </c>
      <c r="W119" s="12">
        <v>7591.2</v>
      </c>
      <c r="X119" s="12">
        <v>0</v>
      </c>
      <c r="Y119" s="12">
        <v>8671.75</v>
      </c>
      <c r="Z119" s="12">
        <v>3514.1</v>
      </c>
      <c r="AA119" s="12">
        <v>0</v>
      </c>
      <c r="AB119" s="12">
        <v>346.1</v>
      </c>
      <c r="AC119" s="12">
        <v>0</v>
      </c>
      <c r="AD119" s="12">
        <v>0</v>
      </c>
      <c r="AE119" s="12">
        <v>3269.5</v>
      </c>
      <c r="AF119" s="12">
        <v>1253.05</v>
      </c>
      <c r="AG119" s="12">
        <v>4463.5</v>
      </c>
      <c r="AH119" s="12">
        <v>6002.2</v>
      </c>
      <c r="AI119" s="12">
        <v>516.85</v>
      </c>
      <c r="AJ119" s="12">
        <v>0</v>
      </c>
      <c r="AK119" s="12">
        <v>0</v>
      </c>
      <c r="AL119" s="12">
        <v>0</v>
      </c>
      <c r="AM119" s="12">
        <v>0</v>
      </c>
      <c r="AN119" s="12">
        <v>272.8</v>
      </c>
      <c r="AO119" s="12">
        <v>0</v>
      </c>
      <c r="AP119" s="12">
        <v>0</v>
      </c>
      <c r="AQ119" s="12">
        <v>0</v>
      </c>
      <c r="AR119" s="12">
        <v>3019.2</v>
      </c>
      <c r="AS119" s="12">
        <v>0</v>
      </c>
      <c r="AT119" s="12">
        <v>14872.6</v>
      </c>
      <c r="AU119" s="12">
        <v>3705.7</v>
      </c>
      <c r="AV119" s="12">
        <v>2811</v>
      </c>
      <c r="AW119" s="12">
        <v>1708.95</v>
      </c>
      <c r="AX119" s="12">
        <v>436.1</v>
      </c>
      <c r="AY119" s="12">
        <v>792</v>
      </c>
      <c r="AZ119" s="12">
        <v>3976</v>
      </c>
      <c r="BA119" s="12">
        <v>0</v>
      </c>
      <c r="BB119" s="12">
        <v>2498.9499999999998</v>
      </c>
      <c r="BC119" s="12">
        <v>0</v>
      </c>
      <c r="BD119" s="12">
        <v>58410.25</v>
      </c>
      <c r="BE119" s="12">
        <v>0</v>
      </c>
      <c r="BF119" s="12">
        <f t="shared" ref="BF119:BF120" si="73">SUM(E119:BE119)</f>
        <v>243947.42000000007</v>
      </c>
      <c r="BG119" s="12">
        <f t="shared" ref="BG119:BG120" si="74">SUM(E119:W119)</f>
        <v>123406.82</v>
      </c>
      <c r="BH119" s="12">
        <f t="shared" ref="BH119:BH120" si="75">SUM(X119:AJ119)</f>
        <v>28037.05</v>
      </c>
      <c r="BI119" s="12">
        <f t="shared" ref="BI119:BI120" si="76">SUM(AK119:BE119)</f>
        <v>92503.549999999988</v>
      </c>
    </row>
    <row r="120" spans="2:61" x14ac:dyDescent="0.25">
      <c r="C120" s="7">
        <v>451</v>
      </c>
      <c r="D120" s="7" t="s">
        <v>172</v>
      </c>
      <c r="E120" s="12">
        <v>0</v>
      </c>
      <c r="F120" s="12">
        <v>0</v>
      </c>
      <c r="G120" s="12">
        <v>0</v>
      </c>
      <c r="H120" s="12">
        <v>0</v>
      </c>
      <c r="I120" s="12">
        <v>0</v>
      </c>
      <c r="J120" s="12">
        <v>91179.199999999997</v>
      </c>
      <c r="K120" s="12">
        <v>142349.54</v>
      </c>
      <c r="L120" s="12">
        <v>0</v>
      </c>
      <c r="M120" s="12">
        <v>513891.55</v>
      </c>
      <c r="N120" s="12">
        <v>0</v>
      </c>
      <c r="O120" s="12">
        <v>315608.7</v>
      </c>
      <c r="P120" s="12">
        <v>0</v>
      </c>
      <c r="Q120" s="12">
        <v>0</v>
      </c>
      <c r="R120" s="12">
        <v>0</v>
      </c>
      <c r="S120" s="12">
        <v>0</v>
      </c>
      <c r="T120" s="12">
        <v>0</v>
      </c>
      <c r="U120" s="12">
        <v>0</v>
      </c>
      <c r="V120" s="12">
        <v>0</v>
      </c>
      <c r="W120" s="12">
        <v>171689.64</v>
      </c>
      <c r="X120" s="12">
        <v>51302.15</v>
      </c>
      <c r="Y120" s="12">
        <v>0</v>
      </c>
      <c r="Z120" s="12">
        <v>133187.1</v>
      </c>
      <c r="AA120" s="12">
        <v>0</v>
      </c>
      <c r="AB120" s="12">
        <v>169067.38</v>
      </c>
      <c r="AC120" s="12">
        <v>0</v>
      </c>
      <c r="AD120" s="12">
        <v>88471.7</v>
      </c>
      <c r="AE120" s="12">
        <v>0</v>
      </c>
      <c r="AF120" s="12">
        <v>0</v>
      </c>
      <c r="AG120" s="12">
        <v>54334.7</v>
      </c>
      <c r="AH120" s="12">
        <v>3355.8</v>
      </c>
      <c r="AI120" s="12">
        <v>1000.35</v>
      </c>
      <c r="AJ120" s="12">
        <v>149801.35999999999</v>
      </c>
      <c r="AK120" s="12">
        <v>0</v>
      </c>
      <c r="AL120" s="12">
        <v>44220.1</v>
      </c>
      <c r="AM120" s="12">
        <v>28000</v>
      </c>
      <c r="AN120" s="12">
        <v>0</v>
      </c>
      <c r="AO120" s="12">
        <v>10000</v>
      </c>
      <c r="AP120" s="12">
        <v>1412.5</v>
      </c>
      <c r="AQ120" s="12">
        <v>0</v>
      </c>
      <c r="AR120" s="12">
        <v>853417.83</v>
      </c>
      <c r="AS120" s="12">
        <v>91012.75</v>
      </c>
      <c r="AT120" s="12">
        <v>92589.61</v>
      </c>
      <c r="AU120" s="12">
        <v>56354.9</v>
      </c>
      <c r="AV120" s="12">
        <v>319130.75</v>
      </c>
      <c r="AW120" s="12">
        <v>9250</v>
      </c>
      <c r="AX120" s="12">
        <v>41582.25</v>
      </c>
      <c r="AY120" s="12">
        <v>4750</v>
      </c>
      <c r="AZ120" s="12">
        <v>67007.350000000006</v>
      </c>
      <c r="BA120" s="12">
        <v>4500</v>
      </c>
      <c r="BB120" s="12">
        <v>50523.199999999997</v>
      </c>
      <c r="BC120" s="12">
        <v>0</v>
      </c>
      <c r="BD120" s="12">
        <v>145934.07999999999</v>
      </c>
      <c r="BE120" s="12">
        <v>56491.9</v>
      </c>
      <c r="BF120" s="12">
        <f t="shared" si="73"/>
        <v>3761416.39</v>
      </c>
      <c r="BG120" s="12">
        <f t="shared" si="74"/>
        <v>1234718.6299999999</v>
      </c>
      <c r="BH120" s="12">
        <f t="shared" si="75"/>
        <v>650520.54</v>
      </c>
      <c r="BI120" s="12">
        <f t="shared" si="76"/>
        <v>1876177.22</v>
      </c>
    </row>
    <row r="121" spans="2:61" x14ac:dyDescent="0.25">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row>
    <row r="122" spans="2:61" x14ac:dyDescent="0.25">
      <c r="B122" s="68">
        <v>46</v>
      </c>
      <c r="C122" s="68"/>
      <c r="D122" s="68" t="s">
        <v>174</v>
      </c>
      <c r="E122" s="69">
        <f>E123+E124+E125+E126+E127</f>
        <v>412481.65</v>
      </c>
      <c r="F122" s="69">
        <f t="shared" ref="F122:BI122" si="77">F123+F124+F125+F126+F127</f>
        <v>247775.55</v>
      </c>
      <c r="G122" s="69">
        <f t="shared" si="77"/>
        <v>111602.85</v>
      </c>
      <c r="H122" s="69">
        <f t="shared" si="77"/>
        <v>146396.65</v>
      </c>
      <c r="I122" s="69">
        <f t="shared" si="77"/>
        <v>2042689.21</v>
      </c>
      <c r="J122" s="69">
        <f t="shared" si="77"/>
        <v>1083306.6099999999</v>
      </c>
      <c r="K122" s="69">
        <f t="shared" si="77"/>
        <v>910918.02</v>
      </c>
      <c r="L122" s="69">
        <f t="shared" si="77"/>
        <v>21908893.350000001</v>
      </c>
      <c r="M122" s="69">
        <f t="shared" si="77"/>
        <v>1194656.8500000001</v>
      </c>
      <c r="N122" s="69">
        <f t="shared" si="77"/>
        <v>128229.02</v>
      </c>
      <c r="O122" s="69">
        <f t="shared" si="77"/>
        <v>4214414.49</v>
      </c>
      <c r="P122" s="69">
        <f t="shared" si="77"/>
        <v>347262.9</v>
      </c>
      <c r="Q122" s="69">
        <f t="shared" si="77"/>
        <v>76506.470000000016</v>
      </c>
      <c r="R122" s="69">
        <f t="shared" si="77"/>
        <v>193120.05000000002</v>
      </c>
      <c r="S122" s="69">
        <f t="shared" si="77"/>
        <v>307172.95</v>
      </c>
      <c r="T122" s="69">
        <f t="shared" si="77"/>
        <v>97049.209999999992</v>
      </c>
      <c r="U122" s="69">
        <f t="shared" si="77"/>
        <v>164017</v>
      </c>
      <c r="V122" s="69">
        <f t="shared" si="77"/>
        <v>433266.68000000005</v>
      </c>
      <c r="W122" s="69">
        <f t="shared" si="77"/>
        <v>1893596</v>
      </c>
      <c r="X122" s="69">
        <f t="shared" si="77"/>
        <v>544759.65</v>
      </c>
      <c r="Y122" s="69">
        <f t="shared" si="77"/>
        <v>837615.37</v>
      </c>
      <c r="Z122" s="69">
        <f t="shared" si="77"/>
        <v>1962623.5299999998</v>
      </c>
      <c r="AA122" s="69">
        <f t="shared" si="77"/>
        <v>67404.55</v>
      </c>
      <c r="AB122" s="69">
        <f t="shared" si="77"/>
        <v>133589.25</v>
      </c>
      <c r="AC122" s="69">
        <f t="shared" si="77"/>
        <v>296054.2</v>
      </c>
      <c r="AD122" s="69">
        <f t="shared" si="77"/>
        <v>807699.24000000011</v>
      </c>
      <c r="AE122" s="69">
        <f t="shared" si="77"/>
        <v>516294.3</v>
      </c>
      <c r="AF122" s="69">
        <f t="shared" si="77"/>
        <v>243636.8</v>
      </c>
      <c r="AG122" s="69">
        <f t="shared" si="77"/>
        <v>855476.35000000009</v>
      </c>
      <c r="AH122" s="69">
        <f t="shared" si="77"/>
        <v>1340612.7999999998</v>
      </c>
      <c r="AI122" s="69">
        <f t="shared" si="77"/>
        <v>211506.84999999998</v>
      </c>
      <c r="AJ122" s="69">
        <f t="shared" si="77"/>
        <v>139419.09999999998</v>
      </c>
      <c r="AK122" s="69">
        <f t="shared" si="77"/>
        <v>1171566.4100000001</v>
      </c>
      <c r="AL122" s="69">
        <f t="shared" si="77"/>
        <v>1057004.52</v>
      </c>
      <c r="AM122" s="69">
        <f t="shared" si="77"/>
        <v>1315422.25</v>
      </c>
      <c r="AN122" s="69">
        <f t="shared" si="77"/>
        <v>50396.350000000006</v>
      </c>
      <c r="AO122" s="69">
        <f t="shared" si="77"/>
        <v>382064.64999999997</v>
      </c>
      <c r="AP122" s="69">
        <f t="shared" si="77"/>
        <v>860215.04</v>
      </c>
      <c r="AQ122" s="69">
        <f t="shared" si="77"/>
        <v>133967.25</v>
      </c>
      <c r="AR122" s="69">
        <f t="shared" si="77"/>
        <v>1841566.1500000001</v>
      </c>
      <c r="AS122" s="69">
        <f t="shared" si="77"/>
        <v>489289.89999999997</v>
      </c>
      <c r="AT122" s="69">
        <f t="shared" si="77"/>
        <v>820301.77999999991</v>
      </c>
      <c r="AU122" s="69">
        <f t="shared" si="77"/>
        <v>127102.74</v>
      </c>
      <c r="AV122" s="69">
        <f t="shared" si="77"/>
        <v>1980681.5</v>
      </c>
      <c r="AW122" s="69">
        <f t="shared" si="77"/>
        <v>214005</v>
      </c>
      <c r="AX122" s="69">
        <f t="shared" si="77"/>
        <v>112894.28</v>
      </c>
      <c r="AY122" s="69">
        <f t="shared" si="77"/>
        <v>165668.70000000001</v>
      </c>
      <c r="AZ122" s="69">
        <f t="shared" si="77"/>
        <v>654792.5</v>
      </c>
      <c r="BA122" s="69">
        <f t="shared" si="77"/>
        <v>370097.85</v>
      </c>
      <c r="BB122" s="69">
        <f t="shared" si="77"/>
        <v>926829.27</v>
      </c>
      <c r="BC122" s="69">
        <f t="shared" si="77"/>
        <v>166623.35</v>
      </c>
      <c r="BD122" s="69">
        <f t="shared" si="77"/>
        <v>8932106.7199999988</v>
      </c>
      <c r="BE122" s="69">
        <f t="shared" si="77"/>
        <v>450998.85000000003</v>
      </c>
      <c r="BF122" s="69">
        <f t="shared" si="77"/>
        <v>66093642.559999995</v>
      </c>
      <c r="BG122" s="69">
        <f t="shared" si="77"/>
        <v>35913355.509999998</v>
      </c>
      <c r="BH122" s="69">
        <f t="shared" si="77"/>
        <v>7956691.9899999993</v>
      </c>
      <c r="BI122" s="69">
        <f t="shared" si="77"/>
        <v>22223595.059999999</v>
      </c>
    </row>
    <row r="123" spans="2:61" x14ac:dyDescent="0.25">
      <c r="C123" s="7">
        <v>460</v>
      </c>
      <c r="D123" s="7" t="s">
        <v>175</v>
      </c>
      <c r="E123" s="12">
        <v>8663</v>
      </c>
      <c r="F123" s="12">
        <v>4459</v>
      </c>
      <c r="G123" s="12">
        <v>2100</v>
      </c>
      <c r="H123" s="12">
        <v>0</v>
      </c>
      <c r="I123" s="12">
        <v>27693</v>
      </c>
      <c r="J123" s="12">
        <v>73758</v>
      </c>
      <c r="K123" s="12">
        <v>53102</v>
      </c>
      <c r="L123" s="12">
        <v>475379</v>
      </c>
      <c r="M123" s="12">
        <v>40125</v>
      </c>
      <c r="N123" s="12">
        <v>306</v>
      </c>
      <c r="O123" s="12">
        <v>0</v>
      </c>
      <c r="P123" s="12">
        <v>0</v>
      </c>
      <c r="Q123" s="12">
        <v>1777.05</v>
      </c>
      <c r="R123" s="12">
        <v>0</v>
      </c>
      <c r="S123" s="12">
        <v>0</v>
      </c>
      <c r="T123" s="12">
        <v>2521</v>
      </c>
      <c r="U123" s="12">
        <v>326</v>
      </c>
      <c r="V123" s="12">
        <v>23433.65</v>
      </c>
      <c r="W123" s="12">
        <v>93766.7</v>
      </c>
      <c r="X123" s="12">
        <v>131</v>
      </c>
      <c r="Y123" s="12">
        <v>9159</v>
      </c>
      <c r="Z123" s="12">
        <v>469339</v>
      </c>
      <c r="AA123" s="12">
        <v>0</v>
      </c>
      <c r="AB123" s="12">
        <v>390</v>
      </c>
      <c r="AC123" s="12">
        <v>5152.6499999999996</v>
      </c>
      <c r="AD123" s="12">
        <v>3043</v>
      </c>
      <c r="AE123" s="12">
        <v>0</v>
      </c>
      <c r="AF123" s="12">
        <v>0</v>
      </c>
      <c r="AG123" s="12">
        <v>105605</v>
      </c>
      <c r="AH123" s="12">
        <v>33312</v>
      </c>
      <c r="AI123" s="12">
        <v>0</v>
      </c>
      <c r="AJ123" s="12">
        <v>0</v>
      </c>
      <c r="AK123" s="12">
        <v>47192.57</v>
      </c>
      <c r="AL123" s="12">
        <v>0</v>
      </c>
      <c r="AM123" s="12">
        <v>2241</v>
      </c>
      <c r="AN123" s="12">
        <v>0</v>
      </c>
      <c r="AO123" s="12">
        <v>214713</v>
      </c>
      <c r="AP123" s="12">
        <v>18023</v>
      </c>
      <c r="AQ123" s="12">
        <v>2391</v>
      </c>
      <c r="AR123" s="12">
        <v>3521</v>
      </c>
      <c r="AS123" s="12">
        <v>1110</v>
      </c>
      <c r="AT123" s="12">
        <v>4154</v>
      </c>
      <c r="AU123" s="12">
        <v>0</v>
      </c>
      <c r="AV123" s="12">
        <v>55117</v>
      </c>
      <c r="AW123" s="12">
        <v>20887</v>
      </c>
      <c r="AX123" s="12">
        <v>0</v>
      </c>
      <c r="AY123" s="12">
        <v>0</v>
      </c>
      <c r="AZ123" s="12">
        <v>4499</v>
      </c>
      <c r="BA123" s="12">
        <v>582</v>
      </c>
      <c r="BB123" s="12">
        <v>38610</v>
      </c>
      <c r="BC123" s="12">
        <v>56</v>
      </c>
      <c r="BD123" s="12">
        <v>204190</v>
      </c>
      <c r="BE123" s="12">
        <v>3947</v>
      </c>
      <c r="BF123" s="12">
        <f t="shared" ref="BF123:BF127" si="78">SUM(E123:BE123)</f>
        <v>2054774.6199999999</v>
      </c>
      <c r="BG123" s="12">
        <f t="shared" ref="BG123:BG127" si="79">SUM(E123:W123)</f>
        <v>807409.4</v>
      </c>
      <c r="BH123" s="12">
        <f t="shared" ref="BH123:BH127" si="80">SUM(X123:AJ123)</f>
        <v>626131.65</v>
      </c>
      <c r="BI123" s="12">
        <f t="shared" ref="BI123:BI127" si="81">SUM(AK123:BE123)</f>
        <v>621233.57000000007</v>
      </c>
    </row>
    <row r="124" spans="2:61" x14ac:dyDescent="0.25">
      <c r="C124" s="7">
        <v>461</v>
      </c>
      <c r="D124" s="7" t="s">
        <v>176</v>
      </c>
      <c r="E124" s="12">
        <v>340584.05</v>
      </c>
      <c r="F124" s="12">
        <v>9906.5499999999993</v>
      </c>
      <c r="G124" s="12">
        <v>22206.3</v>
      </c>
      <c r="H124" s="12">
        <v>1673</v>
      </c>
      <c r="I124" s="12">
        <v>467868.81</v>
      </c>
      <c r="J124" s="12">
        <v>279579.48</v>
      </c>
      <c r="K124" s="12">
        <v>657463.6</v>
      </c>
      <c r="L124" s="12">
        <v>10882008.67</v>
      </c>
      <c r="M124" s="12">
        <v>673634.05</v>
      </c>
      <c r="N124" s="12">
        <v>-47885.03</v>
      </c>
      <c r="O124" s="12">
        <v>1038417.79</v>
      </c>
      <c r="P124" s="12">
        <v>6051.75</v>
      </c>
      <c r="Q124" s="12">
        <v>370.52</v>
      </c>
      <c r="R124" s="12">
        <v>20217.45</v>
      </c>
      <c r="S124" s="12">
        <v>63738.1</v>
      </c>
      <c r="T124" s="12">
        <v>43911.86</v>
      </c>
      <c r="U124" s="12">
        <v>426.1</v>
      </c>
      <c r="V124" s="12">
        <v>346328.53</v>
      </c>
      <c r="W124" s="12">
        <v>391453.9</v>
      </c>
      <c r="X124" s="12">
        <v>11041.65</v>
      </c>
      <c r="Y124" s="12">
        <v>697000.52</v>
      </c>
      <c r="Z124" s="12">
        <v>997286.13</v>
      </c>
      <c r="AA124" s="12">
        <v>5784.55</v>
      </c>
      <c r="AB124" s="12">
        <v>35769.300000000003</v>
      </c>
      <c r="AC124" s="12">
        <v>83213.649999999994</v>
      </c>
      <c r="AD124" s="12">
        <v>400520.79</v>
      </c>
      <c r="AE124" s="12">
        <v>136246.04999999999</v>
      </c>
      <c r="AF124" s="12">
        <v>1803</v>
      </c>
      <c r="AG124" s="12">
        <v>506108.55</v>
      </c>
      <c r="AH124" s="12">
        <v>282565.45</v>
      </c>
      <c r="AI124" s="12">
        <v>39504.9</v>
      </c>
      <c r="AJ124" s="12">
        <v>34537.9</v>
      </c>
      <c r="AK124" s="12">
        <v>700766.14</v>
      </c>
      <c r="AL124" s="12">
        <v>87523.97</v>
      </c>
      <c r="AM124" s="12">
        <v>570078.65</v>
      </c>
      <c r="AN124" s="12">
        <v>3509.1</v>
      </c>
      <c r="AO124" s="12">
        <v>12403</v>
      </c>
      <c r="AP124" s="12">
        <v>739244.29</v>
      </c>
      <c r="AQ124" s="12">
        <v>23995.45</v>
      </c>
      <c r="AR124" s="12">
        <v>1048043.25</v>
      </c>
      <c r="AS124" s="12">
        <v>92201.35</v>
      </c>
      <c r="AT124" s="12">
        <v>80585.8</v>
      </c>
      <c r="AU124" s="12">
        <v>97958.14</v>
      </c>
      <c r="AV124" s="12">
        <v>1460433.3</v>
      </c>
      <c r="AW124" s="12">
        <v>46421.25</v>
      </c>
      <c r="AX124" s="12">
        <v>629.08000000000004</v>
      </c>
      <c r="AY124" s="12">
        <v>6523.2</v>
      </c>
      <c r="AZ124" s="12">
        <v>311083.15000000002</v>
      </c>
      <c r="BA124" s="12">
        <v>182495.75</v>
      </c>
      <c r="BB124" s="12">
        <v>690421.47</v>
      </c>
      <c r="BC124" s="12">
        <v>517.85</v>
      </c>
      <c r="BD124" s="12">
        <v>7163658.3499999996</v>
      </c>
      <c r="BE124" s="12">
        <v>186012.4</v>
      </c>
      <c r="BF124" s="12">
        <f t="shared" si="78"/>
        <v>31933842.859999992</v>
      </c>
      <c r="BG124" s="12">
        <f t="shared" si="79"/>
        <v>15197955.48</v>
      </c>
      <c r="BH124" s="12">
        <f t="shared" si="80"/>
        <v>3231382.4399999995</v>
      </c>
      <c r="BI124" s="12">
        <f t="shared" si="81"/>
        <v>13504504.939999999</v>
      </c>
    </row>
    <row r="125" spans="2:61" x14ac:dyDescent="0.25">
      <c r="C125" s="7">
        <v>462</v>
      </c>
      <c r="D125" s="7" t="s">
        <v>112</v>
      </c>
      <c r="E125" s="12">
        <v>0</v>
      </c>
      <c r="F125" s="12">
        <v>127563</v>
      </c>
      <c r="G125" s="12">
        <v>65232</v>
      </c>
      <c r="H125" s="12">
        <v>137174</v>
      </c>
      <c r="I125" s="12">
        <v>1350784</v>
      </c>
      <c r="J125" s="12">
        <v>15099</v>
      </c>
      <c r="K125" s="12">
        <v>0</v>
      </c>
      <c r="L125" s="12">
        <v>882357.8</v>
      </c>
      <c r="M125" s="12">
        <v>56476</v>
      </c>
      <c r="N125" s="12">
        <v>127244</v>
      </c>
      <c r="O125" s="12">
        <v>2422025</v>
      </c>
      <c r="P125" s="12">
        <v>301970</v>
      </c>
      <c r="Q125" s="12">
        <v>68749</v>
      </c>
      <c r="R125" s="12">
        <v>142304</v>
      </c>
      <c r="S125" s="12">
        <v>223270</v>
      </c>
      <c r="T125" s="12">
        <v>0</v>
      </c>
      <c r="U125" s="12">
        <v>110822</v>
      </c>
      <c r="V125" s="12">
        <v>0</v>
      </c>
      <c r="W125" s="12">
        <v>1141852</v>
      </c>
      <c r="X125" s="12">
        <v>34964</v>
      </c>
      <c r="Y125" s="12">
        <v>22802</v>
      </c>
      <c r="Z125" s="12">
        <v>27962</v>
      </c>
      <c r="AA125" s="12">
        <v>44502</v>
      </c>
      <c r="AB125" s="12">
        <v>83800</v>
      </c>
      <c r="AC125" s="12">
        <v>92618</v>
      </c>
      <c r="AD125" s="12">
        <v>289439</v>
      </c>
      <c r="AE125" s="12">
        <v>261508</v>
      </c>
      <c r="AF125" s="12">
        <v>0</v>
      </c>
      <c r="AG125" s="12">
        <v>0</v>
      </c>
      <c r="AH125" s="12">
        <v>303952</v>
      </c>
      <c r="AI125" s="12">
        <v>129026</v>
      </c>
      <c r="AJ125" s="12">
        <v>84728</v>
      </c>
      <c r="AK125" s="12">
        <v>255372</v>
      </c>
      <c r="AL125" s="12">
        <v>651960</v>
      </c>
      <c r="AM125" s="12">
        <v>554244</v>
      </c>
      <c r="AN125" s="12">
        <v>20060</v>
      </c>
      <c r="AO125" s="12">
        <v>0</v>
      </c>
      <c r="AP125" s="12">
        <v>0</v>
      </c>
      <c r="AQ125" s="12">
        <v>62218</v>
      </c>
      <c r="AR125" s="12">
        <v>355906</v>
      </c>
      <c r="AS125" s="12">
        <v>337284</v>
      </c>
      <c r="AT125" s="12">
        <v>307002</v>
      </c>
      <c r="AU125" s="12">
        <v>0</v>
      </c>
      <c r="AV125" s="12">
        <v>352294</v>
      </c>
      <c r="AW125" s="12">
        <v>29564</v>
      </c>
      <c r="AX125" s="12">
        <v>75954</v>
      </c>
      <c r="AY125" s="12">
        <v>137830</v>
      </c>
      <c r="AZ125" s="12">
        <v>227354</v>
      </c>
      <c r="BA125" s="12">
        <v>147394</v>
      </c>
      <c r="BB125" s="12">
        <v>0</v>
      </c>
      <c r="BC125" s="12">
        <v>138528</v>
      </c>
      <c r="BD125" s="12">
        <v>417386.85</v>
      </c>
      <c r="BE125" s="12">
        <v>204894</v>
      </c>
      <c r="BF125" s="12">
        <f t="shared" si="78"/>
        <v>12823467.65</v>
      </c>
      <c r="BG125" s="12">
        <f t="shared" si="79"/>
        <v>7172921.7999999998</v>
      </c>
      <c r="BH125" s="12">
        <f t="shared" si="80"/>
        <v>1375301</v>
      </c>
      <c r="BI125" s="12">
        <f t="shared" si="81"/>
        <v>4275244.8499999996</v>
      </c>
    </row>
    <row r="126" spans="2:61" x14ac:dyDescent="0.25">
      <c r="C126" s="7">
        <v>463</v>
      </c>
      <c r="D126" s="7" t="s">
        <v>177</v>
      </c>
      <c r="E126" s="12">
        <v>62908.7</v>
      </c>
      <c r="F126" s="12">
        <v>105821</v>
      </c>
      <c r="G126" s="12">
        <v>22064.55</v>
      </c>
      <c r="H126" s="12">
        <v>7384.85</v>
      </c>
      <c r="I126" s="12">
        <v>194472.65</v>
      </c>
      <c r="J126" s="12">
        <v>712863.63</v>
      </c>
      <c r="K126" s="12">
        <v>199741.92</v>
      </c>
      <c r="L126" s="12">
        <v>2399831.21</v>
      </c>
      <c r="M126" s="12">
        <v>61894.75</v>
      </c>
      <c r="N126" s="12">
        <v>48564.05</v>
      </c>
      <c r="O126" s="12">
        <v>725659.1</v>
      </c>
      <c r="P126" s="12">
        <v>39241.15</v>
      </c>
      <c r="Q126" s="12">
        <v>5582.1</v>
      </c>
      <c r="R126" s="12">
        <v>30427.65</v>
      </c>
      <c r="S126" s="12">
        <v>20086.7</v>
      </c>
      <c r="T126" s="12">
        <v>50616.35</v>
      </c>
      <c r="U126" s="12">
        <v>52370.9</v>
      </c>
      <c r="V126" s="12">
        <v>63289.9</v>
      </c>
      <c r="W126" s="12">
        <v>265058.2</v>
      </c>
      <c r="X126" s="12">
        <v>497694.9</v>
      </c>
      <c r="Y126" s="12">
        <v>105079.85</v>
      </c>
      <c r="Z126" s="12">
        <v>466908.7</v>
      </c>
      <c r="AA126" s="12">
        <v>17118</v>
      </c>
      <c r="AB126" s="12">
        <v>13069.9</v>
      </c>
      <c r="AC126" s="12">
        <v>113579.5</v>
      </c>
      <c r="AD126" s="12">
        <v>113191.3</v>
      </c>
      <c r="AE126" s="12">
        <v>118338.05</v>
      </c>
      <c r="AF126" s="12">
        <v>241833.8</v>
      </c>
      <c r="AG126" s="12">
        <v>240730</v>
      </c>
      <c r="AH126" s="12">
        <v>719560.1</v>
      </c>
      <c r="AI126" s="12">
        <v>42497.45</v>
      </c>
      <c r="AJ126" s="12">
        <v>19111.3</v>
      </c>
      <c r="AK126" s="12">
        <v>157991.6</v>
      </c>
      <c r="AL126" s="12">
        <v>274699.90000000002</v>
      </c>
      <c r="AM126" s="12">
        <v>178068</v>
      </c>
      <c r="AN126" s="12">
        <v>26072.2</v>
      </c>
      <c r="AO126" s="12">
        <v>154080.79999999999</v>
      </c>
      <c r="AP126" s="12">
        <v>100536.95</v>
      </c>
      <c r="AQ126" s="12">
        <v>39593.9</v>
      </c>
      <c r="AR126" s="12">
        <v>422305.3</v>
      </c>
      <c r="AS126" s="12">
        <v>56688.3</v>
      </c>
      <c r="AT126" s="12">
        <v>428274.38</v>
      </c>
      <c r="AU126" s="12">
        <v>28446.400000000001</v>
      </c>
      <c r="AV126" s="12">
        <v>112146.8</v>
      </c>
      <c r="AW126" s="12">
        <v>115911.15</v>
      </c>
      <c r="AX126" s="12">
        <v>34226.25</v>
      </c>
      <c r="AY126" s="12">
        <v>18378.650000000001</v>
      </c>
      <c r="AZ126" s="12">
        <v>111265.45</v>
      </c>
      <c r="BA126" s="12">
        <v>39541.050000000003</v>
      </c>
      <c r="BB126" s="12">
        <v>196915.65</v>
      </c>
      <c r="BC126" s="12">
        <v>25544.2</v>
      </c>
      <c r="BD126" s="12">
        <v>1070631.32</v>
      </c>
      <c r="BE126" s="12">
        <v>49184.3</v>
      </c>
      <c r="BF126" s="12">
        <f t="shared" si="78"/>
        <v>11417094.760000005</v>
      </c>
      <c r="BG126" s="12">
        <f t="shared" si="79"/>
        <v>5067879.3600000003</v>
      </c>
      <c r="BH126" s="12">
        <f t="shared" si="80"/>
        <v>2708712.85</v>
      </c>
      <c r="BI126" s="12">
        <f t="shared" si="81"/>
        <v>3640502.55</v>
      </c>
    </row>
    <row r="127" spans="2:61" x14ac:dyDescent="0.25">
      <c r="C127" s="7">
        <v>469</v>
      </c>
      <c r="D127" s="7" t="s">
        <v>178</v>
      </c>
      <c r="E127" s="12">
        <v>325.89999999999998</v>
      </c>
      <c r="F127" s="12">
        <v>26</v>
      </c>
      <c r="G127" s="12">
        <v>0</v>
      </c>
      <c r="H127" s="12">
        <v>164.8</v>
      </c>
      <c r="I127" s="12">
        <v>1870.75</v>
      </c>
      <c r="J127" s="12">
        <v>2006.5</v>
      </c>
      <c r="K127" s="12">
        <v>610.5</v>
      </c>
      <c r="L127" s="12">
        <v>7269316.6699999999</v>
      </c>
      <c r="M127" s="12">
        <v>362527.05</v>
      </c>
      <c r="N127" s="12">
        <v>0</v>
      </c>
      <c r="O127" s="12">
        <v>28312.6</v>
      </c>
      <c r="P127" s="12">
        <v>0</v>
      </c>
      <c r="Q127" s="12">
        <v>27.8</v>
      </c>
      <c r="R127" s="12">
        <v>170.95</v>
      </c>
      <c r="S127" s="12">
        <v>78.150000000000006</v>
      </c>
      <c r="T127" s="12">
        <v>0</v>
      </c>
      <c r="U127" s="12">
        <v>72</v>
      </c>
      <c r="V127" s="12">
        <v>214.6</v>
      </c>
      <c r="W127" s="12">
        <v>1465.2</v>
      </c>
      <c r="X127" s="12">
        <v>928.1</v>
      </c>
      <c r="Y127" s="12">
        <v>3574</v>
      </c>
      <c r="Z127" s="12">
        <v>1127.7</v>
      </c>
      <c r="AA127" s="12">
        <v>0</v>
      </c>
      <c r="AB127" s="12">
        <v>560.04999999999995</v>
      </c>
      <c r="AC127" s="12">
        <v>1490.4</v>
      </c>
      <c r="AD127" s="12">
        <v>1505.15</v>
      </c>
      <c r="AE127" s="12">
        <v>202.2</v>
      </c>
      <c r="AF127" s="12">
        <v>0</v>
      </c>
      <c r="AG127" s="12">
        <v>3032.8</v>
      </c>
      <c r="AH127" s="12">
        <v>1223.25</v>
      </c>
      <c r="AI127" s="12">
        <v>478.5</v>
      </c>
      <c r="AJ127" s="12">
        <v>1041.9000000000001</v>
      </c>
      <c r="AK127" s="12">
        <v>10244.1</v>
      </c>
      <c r="AL127" s="12">
        <v>42820.65</v>
      </c>
      <c r="AM127" s="12">
        <v>10790.6</v>
      </c>
      <c r="AN127" s="12">
        <v>755.05</v>
      </c>
      <c r="AO127" s="12">
        <v>867.85</v>
      </c>
      <c r="AP127" s="12">
        <v>2410.8000000000002</v>
      </c>
      <c r="AQ127" s="12">
        <v>5768.9</v>
      </c>
      <c r="AR127" s="12">
        <v>11790.6</v>
      </c>
      <c r="AS127" s="12">
        <v>2006.25</v>
      </c>
      <c r="AT127" s="12">
        <v>285.60000000000002</v>
      </c>
      <c r="AU127" s="12">
        <v>698.2</v>
      </c>
      <c r="AV127" s="12">
        <v>690.4</v>
      </c>
      <c r="AW127" s="12">
        <v>1221.5999999999999</v>
      </c>
      <c r="AX127" s="12">
        <v>2084.9499999999998</v>
      </c>
      <c r="AY127" s="12">
        <v>2936.85</v>
      </c>
      <c r="AZ127" s="12">
        <v>590.9</v>
      </c>
      <c r="BA127" s="12">
        <v>85.05</v>
      </c>
      <c r="BB127" s="12">
        <v>882.15</v>
      </c>
      <c r="BC127" s="12">
        <v>1977.3</v>
      </c>
      <c r="BD127" s="12">
        <v>76240.2</v>
      </c>
      <c r="BE127" s="12">
        <v>6961.15</v>
      </c>
      <c r="BF127" s="12">
        <f t="shared" si="78"/>
        <v>7864462.6699999999</v>
      </c>
      <c r="BG127" s="12">
        <f t="shared" si="79"/>
        <v>7667189.4699999997</v>
      </c>
      <c r="BH127" s="12">
        <f t="shared" si="80"/>
        <v>15164.050000000001</v>
      </c>
      <c r="BI127" s="12">
        <f t="shared" si="81"/>
        <v>182109.15</v>
      </c>
    </row>
    <row r="128" spans="2:61" x14ac:dyDescent="0.25">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row>
    <row r="129" spans="2:61" x14ac:dyDescent="0.25">
      <c r="B129" s="68">
        <v>47</v>
      </c>
      <c r="C129" s="68"/>
      <c r="D129" s="68" t="s">
        <v>118</v>
      </c>
      <c r="E129" s="69">
        <f>E130</f>
        <v>0</v>
      </c>
      <c r="F129" s="69">
        <f t="shared" ref="F129:BI129" si="82">F130</f>
        <v>0</v>
      </c>
      <c r="G129" s="69">
        <f t="shared" si="82"/>
        <v>0</v>
      </c>
      <c r="H129" s="69">
        <f t="shared" si="82"/>
        <v>0</v>
      </c>
      <c r="I129" s="69">
        <f t="shared" si="82"/>
        <v>0</v>
      </c>
      <c r="J129" s="69">
        <f t="shared" si="82"/>
        <v>0</v>
      </c>
      <c r="K129" s="69">
        <f t="shared" si="82"/>
        <v>0</v>
      </c>
      <c r="L129" s="69">
        <f t="shared" si="82"/>
        <v>0</v>
      </c>
      <c r="M129" s="69">
        <f t="shared" si="82"/>
        <v>0</v>
      </c>
      <c r="N129" s="69">
        <f t="shared" si="82"/>
        <v>0</v>
      </c>
      <c r="O129" s="69">
        <f t="shared" si="82"/>
        <v>0</v>
      </c>
      <c r="P129" s="69">
        <f t="shared" si="82"/>
        <v>0</v>
      </c>
      <c r="Q129" s="69">
        <f t="shared" si="82"/>
        <v>0</v>
      </c>
      <c r="R129" s="69">
        <f t="shared" si="82"/>
        <v>0</v>
      </c>
      <c r="S129" s="69">
        <f t="shared" si="82"/>
        <v>0</v>
      </c>
      <c r="T129" s="69">
        <f t="shared" si="82"/>
        <v>0</v>
      </c>
      <c r="U129" s="69">
        <f t="shared" si="82"/>
        <v>0</v>
      </c>
      <c r="V129" s="69">
        <f t="shared" si="82"/>
        <v>0</v>
      </c>
      <c r="W129" s="69">
        <f t="shared" si="82"/>
        <v>0</v>
      </c>
      <c r="X129" s="69">
        <f t="shared" si="82"/>
        <v>0</v>
      </c>
      <c r="Y129" s="69">
        <f t="shared" si="82"/>
        <v>0</v>
      </c>
      <c r="Z129" s="69">
        <f t="shared" si="82"/>
        <v>428988.05</v>
      </c>
      <c r="AA129" s="69">
        <f t="shared" si="82"/>
        <v>159801.5</v>
      </c>
      <c r="AB129" s="69">
        <f t="shared" si="82"/>
        <v>202119.25</v>
      </c>
      <c r="AC129" s="69">
        <f t="shared" si="82"/>
        <v>157194.6</v>
      </c>
      <c r="AD129" s="69">
        <f t="shared" si="82"/>
        <v>0</v>
      </c>
      <c r="AE129" s="69">
        <f t="shared" si="82"/>
        <v>239155.5</v>
      </c>
      <c r="AF129" s="69">
        <f t="shared" si="82"/>
        <v>593825.5</v>
      </c>
      <c r="AG129" s="69">
        <f t="shared" si="82"/>
        <v>420715.45</v>
      </c>
      <c r="AH129" s="69">
        <f t="shared" si="82"/>
        <v>0</v>
      </c>
      <c r="AI129" s="69">
        <f t="shared" si="82"/>
        <v>4182.45</v>
      </c>
      <c r="AJ129" s="69">
        <f t="shared" si="82"/>
        <v>0</v>
      </c>
      <c r="AK129" s="69">
        <f t="shared" si="82"/>
        <v>0</v>
      </c>
      <c r="AL129" s="69">
        <f t="shared" si="82"/>
        <v>0</v>
      </c>
      <c r="AM129" s="69">
        <f t="shared" si="82"/>
        <v>0</v>
      </c>
      <c r="AN129" s="69">
        <f t="shared" si="82"/>
        <v>0</v>
      </c>
      <c r="AO129" s="69">
        <f t="shared" si="82"/>
        <v>0</v>
      </c>
      <c r="AP129" s="69">
        <f t="shared" si="82"/>
        <v>0</v>
      </c>
      <c r="AQ129" s="69">
        <f t="shared" si="82"/>
        <v>0</v>
      </c>
      <c r="AR129" s="69">
        <f t="shared" si="82"/>
        <v>56609.599999999999</v>
      </c>
      <c r="AS129" s="69">
        <f t="shared" si="82"/>
        <v>0</v>
      </c>
      <c r="AT129" s="69">
        <f t="shared" si="82"/>
        <v>0</v>
      </c>
      <c r="AU129" s="69">
        <f t="shared" si="82"/>
        <v>0</v>
      </c>
      <c r="AV129" s="69">
        <f t="shared" si="82"/>
        <v>79792.399999999994</v>
      </c>
      <c r="AW129" s="69">
        <f t="shared" si="82"/>
        <v>0</v>
      </c>
      <c r="AX129" s="69">
        <f t="shared" si="82"/>
        <v>0</v>
      </c>
      <c r="AY129" s="69">
        <f t="shared" si="82"/>
        <v>0</v>
      </c>
      <c r="AZ129" s="69">
        <f t="shared" si="82"/>
        <v>0</v>
      </c>
      <c r="BA129" s="69">
        <f t="shared" si="82"/>
        <v>0</v>
      </c>
      <c r="BB129" s="69">
        <f t="shared" si="82"/>
        <v>0</v>
      </c>
      <c r="BC129" s="69">
        <f t="shared" si="82"/>
        <v>0</v>
      </c>
      <c r="BD129" s="69">
        <f t="shared" si="82"/>
        <v>0</v>
      </c>
      <c r="BE129" s="69">
        <f t="shared" si="82"/>
        <v>0</v>
      </c>
      <c r="BF129" s="69">
        <f t="shared" si="82"/>
        <v>2342384.3000000003</v>
      </c>
      <c r="BG129" s="69">
        <f t="shared" si="82"/>
        <v>0</v>
      </c>
      <c r="BH129" s="69">
        <f t="shared" si="82"/>
        <v>2205982.3000000003</v>
      </c>
      <c r="BI129" s="69">
        <f t="shared" si="82"/>
        <v>136402</v>
      </c>
    </row>
    <row r="130" spans="2:61" x14ac:dyDescent="0.25">
      <c r="C130" s="7">
        <v>470</v>
      </c>
      <c r="D130" s="7" t="s">
        <v>179</v>
      </c>
      <c r="E130" s="12">
        <v>0</v>
      </c>
      <c r="F130" s="12">
        <v>0</v>
      </c>
      <c r="G130" s="12">
        <v>0</v>
      </c>
      <c r="H130" s="12">
        <v>0</v>
      </c>
      <c r="I130" s="12">
        <v>0</v>
      </c>
      <c r="J130" s="12">
        <v>0</v>
      </c>
      <c r="K130" s="12">
        <v>0</v>
      </c>
      <c r="L130" s="12">
        <v>0</v>
      </c>
      <c r="M130" s="12">
        <v>0</v>
      </c>
      <c r="N130" s="12">
        <v>0</v>
      </c>
      <c r="O130" s="12">
        <v>0</v>
      </c>
      <c r="P130" s="12">
        <v>0</v>
      </c>
      <c r="Q130" s="12">
        <v>0</v>
      </c>
      <c r="R130" s="12">
        <v>0</v>
      </c>
      <c r="S130" s="12">
        <v>0</v>
      </c>
      <c r="T130" s="12">
        <v>0</v>
      </c>
      <c r="U130" s="12">
        <v>0</v>
      </c>
      <c r="V130" s="12">
        <v>0</v>
      </c>
      <c r="W130" s="12">
        <v>0</v>
      </c>
      <c r="X130" s="12">
        <v>0</v>
      </c>
      <c r="Y130" s="12">
        <v>0</v>
      </c>
      <c r="Z130" s="12">
        <v>428988.05</v>
      </c>
      <c r="AA130" s="12">
        <v>159801.5</v>
      </c>
      <c r="AB130" s="12">
        <v>202119.25</v>
      </c>
      <c r="AC130" s="12">
        <v>157194.6</v>
      </c>
      <c r="AD130" s="12">
        <v>0</v>
      </c>
      <c r="AE130" s="12">
        <v>239155.5</v>
      </c>
      <c r="AF130" s="12">
        <v>593825.5</v>
      </c>
      <c r="AG130" s="12">
        <v>420715.45</v>
      </c>
      <c r="AH130" s="12">
        <v>0</v>
      </c>
      <c r="AI130" s="12">
        <v>4182.45</v>
      </c>
      <c r="AJ130" s="12">
        <v>0</v>
      </c>
      <c r="AK130" s="12">
        <v>0</v>
      </c>
      <c r="AL130" s="12">
        <v>0</v>
      </c>
      <c r="AM130" s="12">
        <v>0</v>
      </c>
      <c r="AN130" s="12">
        <v>0</v>
      </c>
      <c r="AO130" s="12">
        <v>0</v>
      </c>
      <c r="AP130" s="12">
        <v>0</v>
      </c>
      <c r="AQ130" s="12">
        <v>0</v>
      </c>
      <c r="AR130" s="12">
        <v>56609.599999999999</v>
      </c>
      <c r="AS130" s="12">
        <v>0</v>
      </c>
      <c r="AT130" s="12">
        <v>0</v>
      </c>
      <c r="AU130" s="12">
        <v>0</v>
      </c>
      <c r="AV130" s="12">
        <v>79792.399999999994</v>
      </c>
      <c r="AW130" s="12">
        <v>0</v>
      </c>
      <c r="AX130" s="12">
        <v>0</v>
      </c>
      <c r="AY130" s="12">
        <v>0</v>
      </c>
      <c r="AZ130" s="12">
        <v>0</v>
      </c>
      <c r="BA130" s="12">
        <v>0</v>
      </c>
      <c r="BB130" s="12">
        <v>0</v>
      </c>
      <c r="BC130" s="12">
        <v>0</v>
      </c>
      <c r="BD130" s="12">
        <v>0</v>
      </c>
      <c r="BE130" s="12">
        <v>0</v>
      </c>
      <c r="BF130" s="12">
        <f t="shared" ref="BF130" si="83">SUM(E130:BE130)</f>
        <v>2342384.3000000003</v>
      </c>
      <c r="BG130" s="12">
        <f t="shared" ref="BG130" si="84">SUM(E130:W130)</f>
        <v>0</v>
      </c>
      <c r="BH130" s="12">
        <f t="shared" ref="BH130" si="85">SUM(X130:AJ130)</f>
        <v>2205982.3000000003</v>
      </c>
      <c r="BI130" s="12">
        <f t="shared" ref="BI130" si="86">SUM(AK130:BE130)</f>
        <v>136402</v>
      </c>
    </row>
    <row r="131" spans="2:61" x14ac:dyDescent="0.25">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row>
    <row r="132" spans="2:61" x14ac:dyDescent="0.25">
      <c r="B132" s="68">
        <v>48</v>
      </c>
      <c r="C132" s="68"/>
      <c r="D132" s="68" t="s">
        <v>180</v>
      </c>
      <c r="E132" s="69">
        <f>E133+E134+E135+E136+E137+E138+E139</f>
        <v>7472.67</v>
      </c>
      <c r="F132" s="69">
        <f t="shared" ref="F132:BI132" si="87">F133+F134+F135+F136+F137+F138+F139</f>
        <v>0</v>
      </c>
      <c r="G132" s="69">
        <f t="shared" si="87"/>
        <v>0</v>
      </c>
      <c r="H132" s="69">
        <f t="shared" si="87"/>
        <v>0</v>
      </c>
      <c r="I132" s="69">
        <f t="shared" si="87"/>
        <v>0</v>
      </c>
      <c r="J132" s="69">
        <f t="shared" si="87"/>
        <v>191399.86</v>
      </c>
      <c r="K132" s="69">
        <f t="shared" si="87"/>
        <v>146269.63</v>
      </c>
      <c r="L132" s="69">
        <f t="shared" si="87"/>
        <v>2500000</v>
      </c>
      <c r="M132" s="69">
        <f t="shared" si="87"/>
        <v>10700</v>
      </c>
      <c r="N132" s="69">
        <f t="shared" si="87"/>
        <v>0</v>
      </c>
      <c r="O132" s="69">
        <f t="shared" si="87"/>
        <v>60684.04</v>
      </c>
      <c r="P132" s="69">
        <f t="shared" si="87"/>
        <v>29578.3</v>
      </c>
      <c r="Q132" s="69">
        <f t="shared" si="87"/>
        <v>2266.5500000000002</v>
      </c>
      <c r="R132" s="69">
        <f t="shared" si="87"/>
        <v>0</v>
      </c>
      <c r="S132" s="69">
        <f t="shared" si="87"/>
        <v>275886.07</v>
      </c>
      <c r="T132" s="69">
        <f t="shared" si="87"/>
        <v>26100</v>
      </c>
      <c r="U132" s="69">
        <f t="shared" si="87"/>
        <v>40667.550000000003</v>
      </c>
      <c r="V132" s="69">
        <f t="shared" si="87"/>
        <v>0</v>
      </c>
      <c r="W132" s="69">
        <f t="shared" si="87"/>
        <v>133028</v>
      </c>
      <c r="X132" s="69">
        <f t="shared" si="87"/>
        <v>0</v>
      </c>
      <c r="Y132" s="69">
        <f t="shared" si="87"/>
        <v>0</v>
      </c>
      <c r="Z132" s="69">
        <f t="shared" si="87"/>
        <v>24000</v>
      </c>
      <c r="AA132" s="69">
        <f t="shared" si="87"/>
        <v>0</v>
      </c>
      <c r="AB132" s="69">
        <f t="shared" si="87"/>
        <v>0</v>
      </c>
      <c r="AC132" s="69">
        <f t="shared" si="87"/>
        <v>0</v>
      </c>
      <c r="AD132" s="69">
        <f t="shared" si="87"/>
        <v>1887.1000000000001</v>
      </c>
      <c r="AE132" s="69">
        <f t="shared" si="87"/>
        <v>96</v>
      </c>
      <c r="AF132" s="69">
        <f t="shared" si="87"/>
        <v>0</v>
      </c>
      <c r="AG132" s="69">
        <f t="shared" si="87"/>
        <v>0</v>
      </c>
      <c r="AH132" s="69">
        <f t="shared" si="87"/>
        <v>0</v>
      </c>
      <c r="AI132" s="69">
        <f t="shared" si="87"/>
        <v>0</v>
      </c>
      <c r="AJ132" s="69">
        <f t="shared" si="87"/>
        <v>0</v>
      </c>
      <c r="AK132" s="69">
        <f t="shared" si="87"/>
        <v>0</v>
      </c>
      <c r="AL132" s="69">
        <f t="shared" si="87"/>
        <v>40000</v>
      </c>
      <c r="AM132" s="69">
        <f t="shared" si="87"/>
        <v>0</v>
      </c>
      <c r="AN132" s="69">
        <f t="shared" si="87"/>
        <v>4800</v>
      </c>
      <c r="AO132" s="69">
        <f t="shared" si="87"/>
        <v>0</v>
      </c>
      <c r="AP132" s="69">
        <f t="shared" si="87"/>
        <v>100736</v>
      </c>
      <c r="AQ132" s="69">
        <f t="shared" si="87"/>
        <v>130567</v>
      </c>
      <c r="AR132" s="69">
        <f t="shared" si="87"/>
        <v>0</v>
      </c>
      <c r="AS132" s="69">
        <f t="shared" si="87"/>
        <v>422</v>
      </c>
      <c r="AT132" s="69">
        <f t="shared" si="87"/>
        <v>20000</v>
      </c>
      <c r="AU132" s="69">
        <f t="shared" si="87"/>
        <v>50338</v>
      </c>
      <c r="AV132" s="69">
        <f t="shared" si="87"/>
        <v>0</v>
      </c>
      <c r="AW132" s="69">
        <f t="shared" si="87"/>
        <v>633</v>
      </c>
      <c r="AX132" s="69">
        <f t="shared" si="87"/>
        <v>5207</v>
      </c>
      <c r="AY132" s="69">
        <f t="shared" si="87"/>
        <v>311</v>
      </c>
      <c r="AZ132" s="69">
        <f t="shared" si="87"/>
        <v>151597</v>
      </c>
      <c r="BA132" s="69">
        <f t="shared" si="87"/>
        <v>319</v>
      </c>
      <c r="BB132" s="69">
        <f t="shared" si="87"/>
        <v>1083</v>
      </c>
      <c r="BC132" s="69">
        <f t="shared" si="87"/>
        <v>1191.45</v>
      </c>
      <c r="BD132" s="69">
        <f t="shared" si="87"/>
        <v>500000</v>
      </c>
      <c r="BE132" s="69">
        <f t="shared" si="87"/>
        <v>0</v>
      </c>
      <c r="BF132" s="69">
        <f t="shared" si="87"/>
        <v>4457240.22</v>
      </c>
      <c r="BG132" s="69">
        <f t="shared" si="87"/>
        <v>3424052.67</v>
      </c>
      <c r="BH132" s="69">
        <f t="shared" si="87"/>
        <v>25983.100000000002</v>
      </c>
      <c r="BI132" s="69">
        <f t="shared" si="87"/>
        <v>1007204.45</v>
      </c>
    </row>
    <row r="133" spans="2:61" x14ac:dyDescent="0.25">
      <c r="C133" s="7">
        <v>481</v>
      </c>
      <c r="D133" s="7" t="s">
        <v>181</v>
      </c>
      <c r="E133" s="12">
        <v>0</v>
      </c>
      <c r="F133" s="12">
        <v>0</v>
      </c>
      <c r="G133" s="12">
        <v>0</v>
      </c>
      <c r="H133" s="12">
        <v>0</v>
      </c>
      <c r="I133" s="12">
        <v>0</v>
      </c>
      <c r="J133" s="12">
        <v>0</v>
      </c>
      <c r="K133" s="12">
        <v>0</v>
      </c>
      <c r="L133" s="12">
        <v>0</v>
      </c>
      <c r="M133" s="12">
        <v>0</v>
      </c>
      <c r="N133" s="12">
        <v>0</v>
      </c>
      <c r="O133" s="12">
        <v>0</v>
      </c>
      <c r="P133" s="12">
        <v>0</v>
      </c>
      <c r="Q133" s="12">
        <v>0</v>
      </c>
      <c r="R133" s="12">
        <v>0</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12">
        <v>0</v>
      </c>
      <c r="AN133" s="12">
        <v>0</v>
      </c>
      <c r="AO133" s="12">
        <v>0</v>
      </c>
      <c r="AP133" s="12">
        <v>0</v>
      </c>
      <c r="AQ133" s="12">
        <v>0</v>
      </c>
      <c r="AR133" s="12">
        <v>0</v>
      </c>
      <c r="AS133" s="12">
        <v>0</v>
      </c>
      <c r="AT133" s="12">
        <v>0</v>
      </c>
      <c r="AU133" s="12">
        <v>0</v>
      </c>
      <c r="AV133" s="12">
        <v>0</v>
      </c>
      <c r="AW133" s="12">
        <v>0</v>
      </c>
      <c r="AX133" s="12">
        <v>0</v>
      </c>
      <c r="AY133" s="12">
        <v>0</v>
      </c>
      <c r="AZ133" s="12">
        <v>0</v>
      </c>
      <c r="BA133" s="12">
        <v>0</v>
      </c>
      <c r="BB133" s="12">
        <v>0</v>
      </c>
      <c r="BC133" s="12">
        <v>0</v>
      </c>
      <c r="BD133" s="12">
        <v>0</v>
      </c>
      <c r="BE133" s="12">
        <v>0</v>
      </c>
      <c r="BF133" s="12">
        <f t="shared" ref="BF133:BF139" si="88">SUM(E133:BE133)</f>
        <v>0</v>
      </c>
      <c r="BG133" s="12">
        <f t="shared" ref="BG133:BG139" si="89">SUM(E133:W133)</f>
        <v>0</v>
      </c>
      <c r="BH133" s="12">
        <f t="shared" ref="BH133:BH139" si="90">SUM(X133:AJ133)</f>
        <v>0</v>
      </c>
      <c r="BI133" s="12">
        <f t="shared" ref="BI133:BI139" si="91">SUM(AK133:BE133)</f>
        <v>0</v>
      </c>
    </row>
    <row r="134" spans="2:61" x14ac:dyDescent="0.25">
      <c r="C134" s="7">
        <v>482</v>
      </c>
      <c r="D134" s="7" t="s">
        <v>182</v>
      </c>
      <c r="E134" s="12">
        <v>0</v>
      </c>
      <c r="F134" s="12">
        <v>0</v>
      </c>
      <c r="G134" s="12">
        <v>0</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12">
        <v>0</v>
      </c>
      <c r="AN134" s="12">
        <v>0</v>
      </c>
      <c r="AO134" s="12">
        <v>0</v>
      </c>
      <c r="AP134" s="12">
        <v>0</v>
      </c>
      <c r="AQ134" s="12">
        <v>0</v>
      </c>
      <c r="AR134" s="12">
        <v>0</v>
      </c>
      <c r="AS134" s="12">
        <v>0</v>
      </c>
      <c r="AT134" s="12">
        <v>0</v>
      </c>
      <c r="AU134" s="12">
        <v>0</v>
      </c>
      <c r="AV134" s="12">
        <v>0</v>
      </c>
      <c r="AW134" s="12">
        <v>0</v>
      </c>
      <c r="AX134" s="12">
        <v>0</v>
      </c>
      <c r="AY134" s="12">
        <v>0</v>
      </c>
      <c r="AZ134" s="12">
        <v>0</v>
      </c>
      <c r="BA134" s="12">
        <v>0</v>
      </c>
      <c r="BB134" s="12">
        <v>0</v>
      </c>
      <c r="BC134" s="12">
        <v>0</v>
      </c>
      <c r="BD134" s="12">
        <v>0</v>
      </c>
      <c r="BE134" s="12">
        <v>0</v>
      </c>
      <c r="BF134" s="12">
        <f t="shared" si="88"/>
        <v>0</v>
      </c>
      <c r="BG134" s="12">
        <f t="shared" si="89"/>
        <v>0</v>
      </c>
      <c r="BH134" s="12">
        <f t="shared" si="90"/>
        <v>0</v>
      </c>
      <c r="BI134" s="12">
        <f t="shared" si="91"/>
        <v>0</v>
      </c>
    </row>
    <row r="135" spans="2:61" x14ac:dyDescent="0.25">
      <c r="C135" s="7">
        <v>483</v>
      </c>
      <c r="D135" s="7" t="s">
        <v>183</v>
      </c>
      <c r="E135" s="12">
        <v>0</v>
      </c>
      <c r="F135" s="12">
        <v>0</v>
      </c>
      <c r="G135" s="12">
        <v>0</v>
      </c>
      <c r="H135" s="12">
        <v>0</v>
      </c>
      <c r="I135" s="12">
        <v>0</v>
      </c>
      <c r="J135" s="12">
        <v>1040</v>
      </c>
      <c r="K135" s="12">
        <v>0</v>
      </c>
      <c r="L135" s="12">
        <v>0</v>
      </c>
      <c r="M135" s="12">
        <v>0</v>
      </c>
      <c r="N135" s="12">
        <v>0</v>
      </c>
      <c r="O135" s="12">
        <v>0</v>
      </c>
      <c r="P135" s="12">
        <v>0</v>
      </c>
      <c r="Q135" s="12">
        <v>0</v>
      </c>
      <c r="R135" s="12">
        <v>0</v>
      </c>
      <c r="S135" s="12">
        <v>0</v>
      </c>
      <c r="T135" s="12">
        <v>0</v>
      </c>
      <c r="U135" s="12">
        <v>0</v>
      </c>
      <c r="V135" s="12">
        <v>0</v>
      </c>
      <c r="W135" s="12">
        <v>0</v>
      </c>
      <c r="X135" s="12">
        <v>0</v>
      </c>
      <c r="Y135" s="12">
        <v>0</v>
      </c>
      <c r="Z135" s="12">
        <v>0</v>
      </c>
      <c r="AA135" s="12">
        <v>0</v>
      </c>
      <c r="AB135" s="12">
        <v>0</v>
      </c>
      <c r="AC135" s="12">
        <v>0</v>
      </c>
      <c r="AD135" s="12">
        <v>481.2</v>
      </c>
      <c r="AE135" s="12">
        <v>0</v>
      </c>
      <c r="AF135" s="12">
        <v>0</v>
      </c>
      <c r="AG135" s="12">
        <v>0</v>
      </c>
      <c r="AH135" s="12">
        <v>0</v>
      </c>
      <c r="AI135" s="12">
        <v>0</v>
      </c>
      <c r="AJ135" s="12">
        <v>0</v>
      </c>
      <c r="AK135" s="12">
        <v>0</v>
      </c>
      <c r="AL135" s="12">
        <v>0</v>
      </c>
      <c r="AM135" s="12">
        <v>0</v>
      </c>
      <c r="AN135" s="12">
        <v>0</v>
      </c>
      <c r="AO135" s="12">
        <v>0</v>
      </c>
      <c r="AP135" s="12">
        <v>0</v>
      </c>
      <c r="AQ135" s="12">
        <v>0</v>
      </c>
      <c r="AR135" s="12">
        <v>0</v>
      </c>
      <c r="AS135" s="12">
        <v>0</v>
      </c>
      <c r="AT135" s="12">
        <v>0</v>
      </c>
      <c r="AU135" s="12">
        <v>0</v>
      </c>
      <c r="AV135" s="12">
        <v>0</v>
      </c>
      <c r="AW135" s="12">
        <v>0</v>
      </c>
      <c r="AX135" s="12">
        <v>0</v>
      </c>
      <c r="AY135" s="12">
        <v>0</v>
      </c>
      <c r="AZ135" s="12">
        <v>0</v>
      </c>
      <c r="BA135" s="12">
        <v>0</v>
      </c>
      <c r="BB135" s="12">
        <v>0</v>
      </c>
      <c r="BC135" s="12">
        <v>0</v>
      </c>
      <c r="BD135" s="12">
        <v>0</v>
      </c>
      <c r="BE135" s="12">
        <v>0</v>
      </c>
      <c r="BF135" s="12">
        <f t="shared" si="88"/>
        <v>1521.2</v>
      </c>
      <c r="BG135" s="12">
        <f t="shared" si="89"/>
        <v>1040</v>
      </c>
      <c r="BH135" s="12">
        <f t="shared" si="90"/>
        <v>481.2</v>
      </c>
      <c r="BI135" s="12">
        <f t="shared" si="91"/>
        <v>0</v>
      </c>
    </row>
    <row r="136" spans="2:61" x14ac:dyDescent="0.25">
      <c r="C136" s="7">
        <v>484</v>
      </c>
      <c r="D136" s="7" t="s">
        <v>184</v>
      </c>
      <c r="E136" s="12">
        <v>0</v>
      </c>
      <c r="F136" s="12">
        <v>0</v>
      </c>
      <c r="G136" s="12">
        <v>0</v>
      </c>
      <c r="H136" s="12">
        <v>0</v>
      </c>
      <c r="I136" s="12">
        <v>0</v>
      </c>
      <c r="J136" s="12">
        <v>0</v>
      </c>
      <c r="K136" s="12">
        <v>1592.13</v>
      </c>
      <c r="L136" s="12">
        <v>0</v>
      </c>
      <c r="M136" s="12">
        <v>0</v>
      </c>
      <c r="N136" s="12">
        <v>0</v>
      </c>
      <c r="O136" s="12">
        <v>0</v>
      </c>
      <c r="P136" s="12">
        <v>0</v>
      </c>
      <c r="Q136" s="12">
        <v>2266.5500000000002</v>
      </c>
      <c r="R136" s="12">
        <v>0</v>
      </c>
      <c r="S136" s="12">
        <v>35884.82</v>
      </c>
      <c r="T136" s="12">
        <v>0</v>
      </c>
      <c r="U136" s="12">
        <v>0</v>
      </c>
      <c r="V136" s="12">
        <v>0</v>
      </c>
      <c r="W136" s="12">
        <v>0</v>
      </c>
      <c r="X136" s="12">
        <v>0</v>
      </c>
      <c r="Y136" s="12">
        <v>0</v>
      </c>
      <c r="Z136" s="12">
        <v>24000</v>
      </c>
      <c r="AA136" s="12">
        <v>0</v>
      </c>
      <c r="AB136" s="12">
        <v>0</v>
      </c>
      <c r="AC136" s="12">
        <v>0</v>
      </c>
      <c r="AD136" s="12">
        <v>0</v>
      </c>
      <c r="AE136" s="12">
        <v>0</v>
      </c>
      <c r="AF136" s="12">
        <v>0</v>
      </c>
      <c r="AG136" s="12">
        <v>0</v>
      </c>
      <c r="AH136" s="12">
        <v>0</v>
      </c>
      <c r="AI136" s="12">
        <v>0</v>
      </c>
      <c r="AJ136" s="12">
        <v>0</v>
      </c>
      <c r="AK136" s="12">
        <v>0</v>
      </c>
      <c r="AL136" s="12">
        <v>0</v>
      </c>
      <c r="AM136" s="12">
        <v>0</v>
      </c>
      <c r="AN136" s="12">
        <v>0</v>
      </c>
      <c r="AO136" s="12">
        <v>0</v>
      </c>
      <c r="AP136" s="12">
        <v>0</v>
      </c>
      <c r="AQ136" s="12">
        <v>0</v>
      </c>
      <c r="AR136" s="12">
        <v>0</v>
      </c>
      <c r="AS136" s="12">
        <v>0</v>
      </c>
      <c r="AT136" s="12">
        <v>0</v>
      </c>
      <c r="AU136" s="12">
        <v>0</v>
      </c>
      <c r="AV136" s="12">
        <v>0</v>
      </c>
      <c r="AW136" s="12">
        <v>0</v>
      </c>
      <c r="AX136" s="12">
        <v>0</v>
      </c>
      <c r="AY136" s="12">
        <v>0</v>
      </c>
      <c r="AZ136" s="12">
        <v>0</v>
      </c>
      <c r="BA136" s="12">
        <v>0</v>
      </c>
      <c r="BB136" s="12">
        <v>0</v>
      </c>
      <c r="BC136" s="12">
        <v>956.45</v>
      </c>
      <c r="BD136" s="12">
        <v>0</v>
      </c>
      <c r="BE136" s="12">
        <v>0</v>
      </c>
      <c r="BF136" s="12">
        <f t="shared" si="88"/>
        <v>64699.95</v>
      </c>
      <c r="BG136" s="12">
        <f t="shared" si="89"/>
        <v>39743.5</v>
      </c>
      <c r="BH136" s="12">
        <f t="shared" si="90"/>
        <v>24000</v>
      </c>
      <c r="BI136" s="12">
        <f t="shared" si="91"/>
        <v>956.45</v>
      </c>
    </row>
    <row r="137" spans="2:61" x14ac:dyDescent="0.25">
      <c r="C137" s="7">
        <v>485</v>
      </c>
      <c r="D137" s="7" t="s">
        <v>185</v>
      </c>
      <c r="E137" s="12">
        <v>0</v>
      </c>
      <c r="F137" s="12">
        <v>0</v>
      </c>
      <c r="G137" s="12">
        <v>0</v>
      </c>
      <c r="H137" s="12">
        <v>0</v>
      </c>
      <c r="I137" s="12">
        <v>0</v>
      </c>
      <c r="J137" s="12">
        <v>0</v>
      </c>
      <c r="K137" s="12">
        <v>0</v>
      </c>
      <c r="L137" s="12">
        <v>0</v>
      </c>
      <c r="M137" s="12">
        <v>0</v>
      </c>
      <c r="N137" s="12">
        <v>0</v>
      </c>
      <c r="O137" s="12">
        <v>0</v>
      </c>
      <c r="P137" s="12">
        <v>0</v>
      </c>
      <c r="Q137" s="12">
        <v>0</v>
      </c>
      <c r="R137" s="12">
        <v>0</v>
      </c>
      <c r="S137" s="12">
        <v>0</v>
      </c>
      <c r="T137" s="12">
        <v>0</v>
      </c>
      <c r="U137" s="12">
        <v>0</v>
      </c>
      <c r="V137" s="12">
        <v>0</v>
      </c>
      <c r="W137" s="12">
        <v>0</v>
      </c>
      <c r="X137" s="12">
        <v>0</v>
      </c>
      <c r="Y137" s="12">
        <v>0</v>
      </c>
      <c r="Z137" s="12">
        <v>0</v>
      </c>
      <c r="AA137" s="12">
        <v>0</v>
      </c>
      <c r="AB137" s="12">
        <v>0</v>
      </c>
      <c r="AC137" s="12">
        <v>0</v>
      </c>
      <c r="AD137" s="12">
        <v>1405.9</v>
      </c>
      <c r="AE137" s="12">
        <v>0</v>
      </c>
      <c r="AF137" s="12">
        <v>0</v>
      </c>
      <c r="AG137" s="12">
        <v>0</v>
      </c>
      <c r="AH137" s="12">
        <v>0</v>
      </c>
      <c r="AI137" s="12">
        <v>0</v>
      </c>
      <c r="AJ137" s="12">
        <v>0</v>
      </c>
      <c r="AK137" s="12">
        <v>0</v>
      </c>
      <c r="AL137" s="12">
        <v>0</v>
      </c>
      <c r="AM137" s="12">
        <v>0</v>
      </c>
      <c r="AN137" s="12">
        <v>0</v>
      </c>
      <c r="AO137" s="12">
        <v>0</v>
      </c>
      <c r="AP137" s="12">
        <v>0</v>
      </c>
      <c r="AQ137" s="12">
        <v>0</v>
      </c>
      <c r="AR137" s="12">
        <v>0</v>
      </c>
      <c r="AS137" s="12">
        <v>0</v>
      </c>
      <c r="AT137" s="12">
        <v>0</v>
      </c>
      <c r="AU137" s="12">
        <v>0</v>
      </c>
      <c r="AV137" s="12">
        <v>0</v>
      </c>
      <c r="AW137" s="12">
        <v>0</v>
      </c>
      <c r="AX137" s="12">
        <v>0</v>
      </c>
      <c r="AY137" s="12">
        <v>0</v>
      </c>
      <c r="AZ137" s="12">
        <v>0</v>
      </c>
      <c r="BA137" s="12">
        <v>0</v>
      </c>
      <c r="BB137" s="12">
        <v>0</v>
      </c>
      <c r="BC137" s="12">
        <v>0</v>
      </c>
      <c r="BD137" s="12">
        <v>0</v>
      </c>
      <c r="BE137" s="12">
        <v>0</v>
      </c>
      <c r="BF137" s="12">
        <f t="shared" si="88"/>
        <v>1405.9</v>
      </c>
      <c r="BG137" s="12">
        <f t="shared" si="89"/>
        <v>0</v>
      </c>
      <c r="BH137" s="12">
        <f t="shared" si="90"/>
        <v>1405.9</v>
      </c>
      <c r="BI137" s="12">
        <f t="shared" si="91"/>
        <v>0</v>
      </c>
    </row>
    <row r="138" spans="2:61" x14ac:dyDescent="0.25">
      <c r="C138" s="7">
        <v>486</v>
      </c>
      <c r="D138" s="7" t="s">
        <v>186</v>
      </c>
      <c r="E138" s="12">
        <v>0</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12">
        <v>0</v>
      </c>
      <c r="AN138" s="12">
        <v>0</v>
      </c>
      <c r="AO138" s="12">
        <v>0</v>
      </c>
      <c r="AP138" s="12">
        <v>0</v>
      </c>
      <c r="AQ138" s="12">
        <v>0</v>
      </c>
      <c r="AR138" s="12">
        <v>0</v>
      </c>
      <c r="AS138" s="12">
        <v>0</v>
      </c>
      <c r="AT138" s="12">
        <v>0</v>
      </c>
      <c r="AU138" s="12">
        <v>0</v>
      </c>
      <c r="AV138" s="12">
        <v>0</v>
      </c>
      <c r="AW138" s="12">
        <v>0</v>
      </c>
      <c r="AX138" s="12">
        <v>0</v>
      </c>
      <c r="AY138" s="12">
        <v>0</v>
      </c>
      <c r="AZ138" s="12">
        <v>0</v>
      </c>
      <c r="BA138" s="12">
        <v>0</v>
      </c>
      <c r="BB138" s="12">
        <v>0</v>
      </c>
      <c r="BC138" s="12">
        <v>0</v>
      </c>
      <c r="BD138" s="12">
        <v>0</v>
      </c>
      <c r="BE138" s="12">
        <v>0</v>
      </c>
      <c r="BF138" s="12">
        <f t="shared" si="88"/>
        <v>0</v>
      </c>
      <c r="BG138" s="12">
        <f t="shared" si="89"/>
        <v>0</v>
      </c>
      <c r="BH138" s="12">
        <f t="shared" si="90"/>
        <v>0</v>
      </c>
      <c r="BI138" s="12">
        <f t="shared" si="91"/>
        <v>0</v>
      </c>
    </row>
    <row r="139" spans="2:61" x14ac:dyDescent="0.25">
      <c r="C139" s="7">
        <v>489</v>
      </c>
      <c r="D139" s="7" t="s">
        <v>187</v>
      </c>
      <c r="E139" s="12">
        <v>7472.67</v>
      </c>
      <c r="F139" s="12">
        <v>0</v>
      </c>
      <c r="G139" s="12">
        <v>0</v>
      </c>
      <c r="H139" s="12">
        <v>0</v>
      </c>
      <c r="I139" s="12">
        <v>0</v>
      </c>
      <c r="J139" s="12">
        <v>190359.86</v>
      </c>
      <c r="K139" s="12">
        <v>144677.5</v>
      </c>
      <c r="L139" s="12">
        <v>2500000</v>
      </c>
      <c r="M139" s="12">
        <v>10700</v>
      </c>
      <c r="N139" s="12">
        <v>0</v>
      </c>
      <c r="O139" s="12">
        <v>60684.04</v>
      </c>
      <c r="P139" s="12">
        <v>29578.3</v>
      </c>
      <c r="Q139" s="12">
        <v>0</v>
      </c>
      <c r="R139" s="12">
        <v>0</v>
      </c>
      <c r="S139" s="12">
        <v>240001.25</v>
      </c>
      <c r="T139" s="12">
        <v>26100</v>
      </c>
      <c r="U139" s="12">
        <v>40667.550000000003</v>
      </c>
      <c r="V139" s="12">
        <v>0</v>
      </c>
      <c r="W139" s="12">
        <v>133028</v>
      </c>
      <c r="X139" s="12">
        <v>0</v>
      </c>
      <c r="Y139" s="12">
        <v>0</v>
      </c>
      <c r="Z139" s="12">
        <v>0</v>
      </c>
      <c r="AA139" s="12">
        <v>0</v>
      </c>
      <c r="AB139" s="12">
        <v>0</v>
      </c>
      <c r="AC139" s="12">
        <v>0</v>
      </c>
      <c r="AD139" s="12">
        <v>0</v>
      </c>
      <c r="AE139" s="12">
        <v>96</v>
      </c>
      <c r="AF139" s="12">
        <v>0</v>
      </c>
      <c r="AG139" s="12">
        <v>0</v>
      </c>
      <c r="AH139" s="12">
        <v>0</v>
      </c>
      <c r="AI139" s="12">
        <v>0</v>
      </c>
      <c r="AJ139" s="12">
        <v>0</v>
      </c>
      <c r="AK139" s="12">
        <v>0</v>
      </c>
      <c r="AL139" s="12">
        <v>40000</v>
      </c>
      <c r="AM139" s="12">
        <v>0</v>
      </c>
      <c r="AN139" s="12">
        <v>4800</v>
      </c>
      <c r="AO139" s="12">
        <v>0</v>
      </c>
      <c r="AP139" s="12">
        <v>100736</v>
      </c>
      <c r="AQ139" s="12">
        <v>130567</v>
      </c>
      <c r="AR139" s="12">
        <v>0</v>
      </c>
      <c r="AS139" s="12">
        <v>422</v>
      </c>
      <c r="AT139" s="12">
        <v>20000</v>
      </c>
      <c r="AU139" s="12">
        <v>50338</v>
      </c>
      <c r="AV139" s="12">
        <v>0</v>
      </c>
      <c r="AW139" s="12">
        <v>633</v>
      </c>
      <c r="AX139" s="12">
        <v>5207</v>
      </c>
      <c r="AY139" s="12">
        <v>311</v>
      </c>
      <c r="AZ139" s="12">
        <v>151597</v>
      </c>
      <c r="BA139" s="12">
        <v>319</v>
      </c>
      <c r="BB139" s="12">
        <v>1083</v>
      </c>
      <c r="BC139" s="12">
        <v>235</v>
      </c>
      <c r="BD139" s="12">
        <v>500000</v>
      </c>
      <c r="BE139" s="12">
        <v>0</v>
      </c>
      <c r="BF139" s="12">
        <f t="shared" si="88"/>
        <v>4389613.17</v>
      </c>
      <c r="BG139" s="12">
        <f t="shared" si="89"/>
        <v>3383269.17</v>
      </c>
      <c r="BH139" s="12">
        <f t="shared" si="90"/>
        <v>96</v>
      </c>
      <c r="BI139" s="12">
        <f t="shared" si="91"/>
        <v>1006248</v>
      </c>
    </row>
    <row r="140" spans="2:61" x14ac:dyDescent="0.25">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row>
    <row r="141" spans="2:61" x14ac:dyDescent="0.25">
      <c r="B141" s="68">
        <v>49</v>
      </c>
      <c r="C141" s="68"/>
      <c r="D141" s="68" t="s">
        <v>127</v>
      </c>
      <c r="E141" s="69">
        <f>E142+E143+E144+E145+E146+E147+E148+E149</f>
        <v>0</v>
      </c>
      <c r="F141" s="69">
        <f t="shared" ref="F141:BI141" si="92">F142+F143+F144+F145+F146+F147+F148+F149</f>
        <v>23995.279999999999</v>
      </c>
      <c r="G141" s="69">
        <f t="shared" si="92"/>
        <v>10960.2</v>
      </c>
      <c r="H141" s="69">
        <f t="shared" si="92"/>
        <v>40456</v>
      </c>
      <c r="I141" s="69">
        <f t="shared" si="92"/>
        <v>311300</v>
      </c>
      <c r="J141" s="69">
        <f t="shared" si="92"/>
        <v>65470</v>
      </c>
      <c r="K141" s="69">
        <f t="shared" si="92"/>
        <v>185959.25</v>
      </c>
      <c r="L141" s="69">
        <f t="shared" si="92"/>
        <v>4472239.74</v>
      </c>
      <c r="M141" s="69">
        <f t="shared" si="92"/>
        <v>88638.64</v>
      </c>
      <c r="N141" s="69">
        <f t="shared" si="92"/>
        <v>9074.49</v>
      </c>
      <c r="O141" s="69">
        <f t="shared" si="92"/>
        <v>186891</v>
      </c>
      <c r="P141" s="69">
        <f t="shared" si="92"/>
        <v>29305.55</v>
      </c>
      <c r="Q141" s="69">
        <f t="shared" si="92"/>
        <v>500</v>
      </c>
      <c r="R141" s="69">
        <f t="shared" si="92"/>
        <v>57467.6</v>
      </c>
      <c r="S141" s="69">
        <f t="shared" si="92"/>
        <v>0</v>
      </c>
      <c r="T141" s="69">
        <f t="shared" si="92"/>
        <v>0</v>
      </c>
      <c r="U141" s="69">
        <f t="shared" si="92"/>
        <v>0</v>
      </c>
      <c r="V141" s="69">
        <f t="shared" si="92"/>
        <v>59200</v>
      </c>
      <c r="W141" s="69">
        <f t="shared" si="92"/>
        <v>111300</v>
      </c>
      <c r="X141" s="69">
        <f t="shared" si="92"/>
        <v>0</v>
      </c>
      <c r="Y141" s="69">
        <f t="shared" si="92"/>
        <v>0</v>
      </c>
      <c r="Z141" s="69">
        <f t="shared" si="92"/>
        <v>84000</v>
      </c>
      <c r="AA141" s="69">
        <f t="shared" si="92"/>
        <v>15194</v>
      </c>
      <c r="AB141" s="69">
        <f t="shared" si="92"/>
        <v>0</v>
      </c>
      <c r="AC141" s="69">
        <f t="shared" si="92"/>
        <v>0</v>
      </c>
      <c r="AD141" s="69">
        <f t="shared" si="92"/>
        <v>49277.34</v>
      </c>
      <c r="AE141" s="69">
        <f t="shared" si="92"/>
        <v>42750</v>
      </c>
      <c r="AF141" s="69">
        <f t="shared" si="92"/>
        <v>109873.3</v>
      </c>
      <c r="AG141" s="69">
        <f t="shared" si="92"/>
        <v>7274.65</v>
      </c>
      <c r="AH141" s="69">
        <f t="shared" si="92"/>
        <v>30500</v>
      </c>
      <c r="AI141" s="69">
        <f t="shared" si="92"/>
        <v>0</v>
      </c>
      <c r="AJ141" s="69">
        <f t="shared" si="92"/>
        <v>0</v>
      </c>
      <c r="AK141" s="69">
        <f t="shared" si="92"/>
        <v>93000</v>
      </c>
      <c r="AL141" s="69">
        <f t="shared" si="92"/>
        <v>60365.9</v>
      </c>
      <c r="AM141" s="69">
        <f t="shared" si="92"/>
        <v>3520</v>
      </c>
      <c r="AN141" s="69">
        <f t="shared" si="92"/>
        <v>240</v>
      </c>
      <c r="AO141" s="69">
        <f t="shared" si="92"/>
        <v>68595.55</v>
      </c>
      <c r="AP141" s="69">
        <f t="shared" si="92"/>
        <v>101766.79999999999</v>
      </c>
      <c r="AQ141" s="69">
        <f t="shared" si="92"/>
        <v>0</v>
      </c>
      <c r="AR141" s="69">
        <f t="shared" si="92"/>
        <v>0</v>
      </c>
      <c r="AS141" s="69">
        <f t="shared" si="92"/>
        <v>121643.75</v>
      </c>
      <c r="AT141" s="69">
        <f t="shared" si="92"/>
        <v>39687.449999999997</v>
      </c>
      <c r="AU141" s="69">
        <f t="shared" si="92"/>
        <v>2000</v>
      </c>
      <c r="AV141" s="69">
        <f t="shared" si="92"/>
        <v>57192.25</v>
      </c>
      <c r="AW141" s="69">
        <f t="shared" si="92"/>
        <v>0</v>
      </c>
      <c r="AX141" s="69">
        <f t="shared" si="92"/>
        <v>7038.5</v>
      </c>
      <c r="AY141" s="69">
        <f t="shared" si="92"/>
        <v>0</v>
      </c>
      <c r="AZ141" s="69">
        <f t="shared" si="92"/>
        <v>105684.75</v>
      </c>
      <c r="BA141" s="69">
        <f t="shared" si="92"/>
        <v>0</v>
      </c>
      <c r="BB141" s="69">
        <f t="shared" si="92"/>
        <v>46285.83</v>
      </c>
      <c r="BC141" s="69">
        <f t="shared" si="92"/>
        <v>0</v>
      </c>
      <c r="BD141" s="69">
        <f t="shared" si="92"/>
        <v>0</v>
      </c>
      <c r="BE141" s="69">
        <f t="shared" si="92"/>
        <v>15500</v>
      </c>
      <c r="BF141" s="69">
        <f t="shared" si="92"/>
        <v>6714147.8200000012</v>
      </c>
      <c r="BG141" s="69">
        <f t="shared" si="92"/>
        <v>5652757.7500000009</v>
      </c>
      <c r="BH141" s="69">
        <f t="shared" si="92"/>
        <v>338869.29000000004</v>
      </c>
      <c r="BI141" s="69">
        <f t="shared" si="92"/>
        <v>722520.78</v>
      </c>
    </row>
    <row r="142" spans="2:61" x14ac:dyDescent="0.25">
      <c r="C142" s="7">
        <v>490</v>
      </c>
      <c r="D142" s="7" t="s">
        <v>128</v>
      </c>
      <c r="E142" s="12">
        <v>0</v>
      </c>
      <c r="F142" s="12">
        <v>200</v>
      </c>
      <c r="G142" s="12">
        <v>0</v>
      </c>
      <c r="H142" s="12">
        <v>0</v>
      </c>
      <c r="I142" s="12">
        <v>0</v>
      </c>
      <c r="J142" s="12">
        <v>0</v>
      </c>
      <c r="K142" s="12">
        <v>0</v>
      </c>
      <c r="L142" s="12">
        <v>50000</v>
      </c>
      <c r="M142" s="12">
        <v>1200</v>
      </c>
      <c r="N142" s="12">
        <v>0</v>
      </c>
      <c r="O142" s="12">
        <v>0</v>
      </c>
      <c r="P142" s="12">
        <v>0</v>
      </c>
      <c r="Q142" s="12">
        <v>0</v>
      </c>
      <c r="R142" s="12">
        <v>0</v>
      </c>
      <c r="S142" s="12">
        <v>0</v>
      </c>
      <c r="T142" s="12">
        <v>0</v>
      </c>
      <c r="U142" s="12">
        <v>0</v>
      </c>
      <c r="V142" s="12">
        <v>0</v>
      </c>
      <c r="W142" s="12">
        <v>0</v>
      </c>
      <c r="X142" s="12">
        <v>0</v>
      </c>
      <c r="Y142" s="12">
        <v>0</v>
      </c>
      <c r="Z142" s="12">
        <v>0</v>
      </c>
      <c r="AA142" s="12">
        <v>194</v>
      </c>
      <c r="AB142" s="12">
        <v>0</v>
      </c>
      <c r="AC142" s="12">
        <v>0</v>
      </c>
      <c r="AD142" s="12">
        <v>1350</v>
      </c>
      <c r="AE142" s="12">
        <v>0</v>
      </c>
      <c r="AF142" s="12">
        <v>0</v>
      </c>
      <c r="AG142" s="12">
        <v>4616.2</v>
      </c>
      <c r="AH142" s="12">
        <v>0</v>
      </c>
      <c r="AI142" s="12">
        <v>0</v>
      </c>
      <c r="AJ142" s="12">
        <v>0</v>
      </c>
      <c r="AK142" s="12">
        <v>0</v>
      </c>
      <c r="AL142" s="12">
        <v>0</v>
      </c>
      <c r="AM142" s="12">
        <v>0</v>
      </c>
      <c r="AN142" s="12">
        <v>0</v>
      </c>
      <c r="AO142" s="12">
        <v>0</v>
      </c>
      <c r="AP142" s="12">
        <v>800</v>
      </c>
      <c r="AQ142" s="12">
        <v>0</v>
      </c>
      <c r="AR142" s="12">
        <v>0</v>
      </c>
      <c r="AS142" s="12">
        <v>0</v>
      </c>
      <c r="AT142" s="12">
        <v>0</v>
      </c>
      <c r="AU142" s="12">
        <v>0</v>
      </c>
      <c r="AV142" s="12">
        <v>0</v>
      </c>
      <c r="AW142" s="12">
        <v>0</v>
      </c>
      <c r="AX142" s="12">
        <v>0</v>
      </c>
      <c r="AY142" s="12">
        <v>0</v>
      </c>
      <c r="AZ142" s="12">
        <v>0</v>
      </c>
      <c r="BA142" s="12">
        <v>0</v>
      </c>
      <c r="BB142" s="12">
        <v>0</v>
      </c>
      <c r="BC142" s="12">
        <v>0</v>
      </c>
      <c r="BD142" s="12">
        <v>0</v>
      </c>
      <c r="BE142" s="12">
        <v>0</v>
      </c>
      <c r="BF142" s="12">
        <f t="shared" ref="BF142:BF149" si="93">SUM(E142:BE142)</f>
        <v>58360.2</v>
      </c>
      <c r="BG142" s="12">
        <f t="shared" ref="BG142:BG149" si="94">SUM(E142:W142)</f>
        <v>51400</v>
      </c>
      <c r="BH142" s="12">
        <f t="shared" ref="BH142:BH149" si="95">SUM(X142:AJ142)</f>
        <v>6160.2</v>
      </c>
      <c r="BI142" s="12">
        <f t="shared" ref="BI142:BI149" si="96">SUM(AK142:BE142)</f>
        <v>800</v>
      </c>
    </row>
    <row r="143" spans="2:61" x14ac:dyDescent="0.25">
      <c r="C143" s="7">
        <v>491</v>
      </c>
      <c r="D143" s="7" t="s">
        <v>129</v>
      </c>
      <c r="E143" s="12">
        <v>0</v>
      </c>
      <c r="F143" s="12">
        <v>3916.8</v>
      </c>
      <c r="G143" s="12">
        <v>4681.6000000000004</v>
      </c>
      <c r="H143" s="12">
        <v>40100</v>
      </c>
      <c r="I143" s="12">
        <v>311300</v>
      </c>
      <c r="J143" s="12">
        <v>65470</v>
      </c>
      <c r="K143" s="12">
        <v>111315</v>
      </c>
      <c r="L143" s="12">
        <v>1449664.55</v>
      </c>
      <c r="M143" s="12">
        <v>55142.5</v>
      </c>
      <c r="N143" s="12">
        <v>9074.49</v>
      </c>
      <c r="O143" s="12">
        <v>186891</v>
      </c>
      <c r="P143" s="12">
        <v>29305.55</v>
      </c>
      <c r="Q143" s="12">
        <v>500</v>
      </c>
      <c r="R143" s="12">
        <v>57467.6</v>
      </c>
      <c r="S143" s="12">
        <v>0</v>
      </c>
      <c r="T143" s="12">
        <v>0</v>
      </c>
      <c r="U143" s="12">
        <v>0</v>
      </c>
      <c r="V143" s="12">
        <v>59200</v>
      </c>
      <c r="W143" s="12">
        <v>87600</v>
      </c>
      <c r="X143" s="12">
        <v>0</v>
      </c>
      <c r="Y143" s="12">
        <v>0</v>
      </c>
      <c r="Z143" s="12">
        <v>0</v>
      </c>
      <c r="AA143" s="12">
        <v>15000</v>
      </c>
      <c r="AB143" s="12">
        <v>0</v>
      </c>
      <c r="AC143" s="12">
        <v>0</v>
      </c>
      <c r="AD143" s="12">
        <v>47927.34</v>
      </c>
      <c r="AE143" s="12">
        <v>42750</v>
      </c>
      <c r="AF143" s="12">
        <v>109873.3</v>
      </c>
      <c r="AG143" s="12">
        <v>2658.45</v>
      </c>
      <c r="AH143" s="12">
        <v>30500</v>
      </c>
      <c r="AI143" s="12">
        <v>0</v>
      </c>
      <c r="AJ143" s="12">
        <v>0</v>
      </c>
      <c r="AK143" s="12">
        <v>93000</v>
      </c>
      <c r="AL143" s="12">
        <v>0</v>
      </c>
      <c r="AM143" s="12">
        <v>3520</v>
      </c>
      <c r="AN143" s="12">
        <v>240</v>
      </c>
      <c r="AO143" s="12">
        <v>68595.55</v>
      </c>
      <c r="AP143" s="12">
        <v>68629.7</v>
      </c>
      <c r="AQ143" s="12">
        <v>0</v>
      </c>
      <c r="AR143" s="12">
        <v>0</v>
      </c>
      <c r="AS143" s="12">
        <v>48710.5</v>
      </c>
      <c r="AT143" s="12">
        <v>39687.449999999997</v>
      </c>
      <c r="AU143" s="12">
        <v>2000</v>
      </c>
      <c r="AV143" s="12">
        <v>57192.25</v>
      </c>
      <c r="AW143" s="12">
        <v>0</v>
      </c>
      <c r="AX143" s="12">
        <v>0</v>
      </c>
      <c r="AY143" s="12">
        <v>0</v>
      </c>
      <c r="AZ143" s="12">
        <v>102184.75</v>
      </c>
      <c r="BA143" s="12">
        <v>0</v>
      </c>
      <c r="BB143" s="12">
        <v>46285.83</v>
      </c>
      <c r="BC143" s="12">
        <v>0</v>
      </c>
      <c r="BD143" s="12">
        <v>0</v>
      </c>
      <c r="BE143" s="12">
        <v>15500</v>
      </c>
      <c r="BF143" s="12">
        <f t="shared" si="93"/>
        <v>3265884.2100000004</v>
      </c>
      <c r="BG143" s="12">
        <f t="shared" si="94"/>
        <v>2471629.0900000003</v>
      </c>
      <c r="BH143" s="12">
        <f t="shared" si="95"/>
        <v>248709.09000000003</v>
      </c>
      <c r="BI143" s="12">
        <f t="shared" si="96"/>
        <v>545546.03</v>
      </c>
    </row>
    <row r="144" spans="2:61" x14ac:dyDescent="0.25">
      <c r="C144" s="7">
        <v>492</v>
      </c>
      <c r="D144" s="7" t="s">
        <v>188</v>
      </c>
      <c r="E144" s="12">
        <v>0</v>
      </c>
      <c r="F144" s="12">
        <v>0</v>
      </c>
      <c r="G144" s="12">
        <v>0</v>
      </c>
      <c r="H144" s="12">
        <v>0</v>
      </c>
      <c r="I144" s="12">
        <v>0</v>
      </c>
      <c r="J144" s="12">
        <v>0</v>
      </c>
      <c r="K144" s="12">
        <v>0</v>
      </c>
      <c r="L144" s="12">
        <v>60000</v>
      </c>
      <c r="M144" s="12">
        <v>0</v>
      </c>
      <c r="N144" s="12">
        <v>0</v>
      </c>
      <c r="O144" s="12">
        <v>0</v>
      </c>
      <c r="P144" s="12">
        <v>0</v>
      </c>
      <c r="Q144" s="12">
        <v>0</v>
      </c>
      <c r="R144" s="12">
        <v>0</v>
      </c>
      <c r="S144" s="12">
        <v>0</v>
      </c>
      <c r="T144" s="12">
        <v>0</v>
      </c>
      <c r="U144" s="12">
        <v>0</v>
      </c>
      <c r="V144" s="12">
        <v>0</v>
      </c>
      <c r="W144" s="12">
        <v>7700</v>
      </c>
      <c r="X144" s="12">
        <v>0</v>
      </c>
      <c r="Y144" s="12">
        <v>0</v>
      </c>
      <c r="Z144" s="12">
        <v>84000</v>
      </c>
      <c r="AA144" s="12">
        <v>0</v>
      </c>
      <c r="AB144" s="12">
        <v>0</v>
      </c>
      <c r="AC144" s="12">
        <v>0</v>
      </c>
      <c r="AD144" s="12">
        <v>0</v>
      </c>
      <c r="AE144" s="12">
        <v>0</v>
      </c>
      <c r="AF144" s="12">
        <v>0</v>
      </c>
      <c r="AG144" s="12">
        <v>0</v>
      </c>
      <c r="AH144" s="12">
        <v>0</v>
      </c>
      <c r="AI144" s="12">
        <v>0</v>
      </c>
      <c r="AJ144" s="12">
        <v>0</v>
      </c>
      <c r="AK144" s="12">
        <v>0</v>
      </c>
      <c r="AL144" s="12">
        <v>0</v>
      </c>
      <c r="AM144" s="12">
        <v>0</v>
      </c>
      <c r="AN144" s="12">
        <v>0</v>
      </c>
      <c r="AO144" s="12">
        <v>0</v>
      </c>
      <c r="AP144" s="12">
        <v>0</v>
      </c>
      <c r="AQ144" s="12">
        <v>0</v>
      </c>
      <c r="AR144" s="12">
        <v>0</v>
      </c>
      <c r="AS144" s="12">
        <v>0</v>
      </c>
      <c r="AT144" s="12">
        <v>0</v>
      </c>
      <c r="AU144" s="12">
        <v>0</v>
      </c>
      <c r="AV144" s="12">
        <v>0</v>
      </c>
      <c r="AW144" s="12">
        <v>0</v>
      </c>
      <c r="AX144" s="12">
        <v>0</v>
      </c>
      <c r="AY144" s="12">
        <v>0</v>
      </c>
      <c r="AZ144" s="12">
        <v>0</v>
      </c>
      <c r="BA144" s="12">
        <v>0</v>
      </c>
      <c r="BB144" s="12">
        <v>0</v>
      </c>
      <c r="BC144" s="12">
        <v>0</v>
      </c>
      <c r="BD144" s="12">
        <v>0</v>
      </c>
      <c r="BE144" s="12">
        <v>0</v>
      </c>
      <c r="BF144" s="12">
        <f t="shared" si="93"/>
        <v>151700</v>
      </c>
      <c r="BG144" s="12">
        <f t="shared" si="94"/>
        <v>67700</v>
      </c>
      <c r="BH144" s="12">
        <f t="shared" si="95"/>
        <v>84000</v>
      </c>
      <c r="BI144" s="12">
        <f t="shared" si="96"/>
        <v>0</v>
      </c>
    </row>
    <row r="145" spans="1:61" x14ac:dyDescent="0.25">
      <c r="C145" s="7">
        <v>493</v>
      </c>
      <c r="D145" s="7" t="s">
        <v>189</v>
      </c>
      <c r="E145" s="12">
        <v>0</v>
      </c>
      <c r="F145" s="12">
        <v>0</v>
      </c>
      <c r="G145" s="12">
        <v>3036.5</v>
      </c>
      <c r="H145" s="12">
        <v>0</v>
      </c>
      <c r="I145" s="12">
        <v>0</v>
      </c>
      <c r="J145" s="12">
        <v>0</v>
      </c>
      <c r="K145" s="12">
        <v>15093</v>
      </c>
      <c r="L145" s="12">
        <v>20464.3</v>
      </c>
      <c r="M145" s="12">
        <v>0</v>
      </c>
      <c r="N145" s="12">
        <v>0</v>
      </c>
      <c r="O145" s="12">
        <v>0</v>
      </c>
      <c r="P145" s="12">
        <v>0</v>
      </c>
      <c r="Q145" s="12">
        <v>0</v>
      </c>
      <c r="R145" s="12">
        <v>0</v>
      </c>
      <c r="S145" s="12">
        <v>0</v>
      </c>
      <c r="T145" s="12">
        <v>0</v>
      </c>
      <c r="U145" s="12">
        <v>0</v>
      </c>
      <c r="V145" s="12">
        <v>0</v>
      </c>
      <c r="W145" s="12">
        <v>13000</v>
      </c>
      <c r="X145" s="12">
        <v>0</v>
      </c>
      <c r="Y145" s="12">
        <v>0</v>
      </c>
      <c r="Z145" s="12">
        <v>0</v>
      </c>
      <c r="AA145" s="12">
        <v>0</v>
      </c>
      <c r="AB145" s="12">
        <v>0</v>
      </c>
      <c r="AC145" s="12">
        <v>0</v>
      </c>
      <c r="AD145" s="12">
        <v>0</v>
      </c>
      <c r="AE145" s="12">
        <v>0</v>
      </c>
      <c r="AF145" s="12">
        <v>0</v>
      </c>
      <c r="AG145" s="12">
        <v>0</v>
      </c>
      <c r="AH145" s="12">
        <v>0</v>
      </c>
      <c r="AI145" s="12">
        <v>0</v>
      </c>
      <c r="AJ145" s="12">
        <v>0</v>
      </c>
      <c r="AK145" s="12">
        <v>0</v>
      </c>
      <c r="AL145" s="12">
        <v>0</v>
      </c>
      <c r="AM145" s="12">
        <v>0</v>
      </c>
      <c r="AN145" s="12">
        <v>0</v>
      </c>
      <c r="AO145" s="12">
        <v>0</v>
      </c>
      <c r="AP145" s="12">
        <v>0</v>
      </c>
      <c r="AQ145" s="12">
        <v>0</v>
      </c>
      <c r="AR145" s="12">
        <v>0</v>
      </c>
      <c r="AS145" s="12">
        <v>13939.55</v>
      </c>
      <c r="AT145" s="12">
        <v>0</v>
      </c>
      <c r="AU145" s="12">
        <v>0</v>
      </c>
      <c r="AV145" s="12">
        <v>0</v>
      </c>
      <c r="AW145" s="12">
        <v>0</v>
      </c>
      <c r="AX145" s="12">
        <v>0</v>
      </c>
      <c r="AY145" s="12">
        <v>0</v>
      </c>
      <c r="AZ145" s="12">
        <v>0</v>
      </c>
      <c r="BA145" s="12">
        <v>0</v>
      </c>
      <c r="BB145" s="12">
        <v>0</v>
      </c>
      <c r="BC145" s="12">
        <v>0</v>
      </c>
      <c r="BD145" s="12">
        <v>0</v>
      </c>
      <c r="BE145" s="12">
        <v>0</v>
      </c>
      <c r="BF145" s="12">
        <f t="shared" si="93"/>
        <v>65533.350000000006</v>
      </c>
      <c r="BG145" s="12">
        <f t="shared" si="94"/>
        <v>51593.8</v>
      </c>
      <c r="BH145" s="12">
        <f t="shared" si="95"/>
        <v>0</v>
      </c>
      <c r="BI145" s="12">
        <f t="shared" si="96"/>
        <v>13939.55</v>
      </c>
    </row>
    <row r="146" spans="1:61" x14ac:dyDescent="0.25">
      <c r="C146" s="7">
        <v>494</v>
      </c>
      <c r="D146" s="7" t="s">
        <v>132</v>
      </c>
      <c r="E146" s="12">
        <v>0</v>
      </c>
      <c r="F146" s="12">
        <v>19878.48</v>
      </c>
      <c r="G146" s="12">
        <v>3242.1</v>
      </c>
      <c r="H146" s="12">
        <v>0</v>
      </c>
      <c r="I146" s="12">
        <v>0</v>
      </c>
      <c r="J146" s="12">
        <v>0</v>
      </c>
      <c r="K146" s="12">
        <v>59551.25</v>
      </c>
      <c r="L146" s="12">
        <v>499217</v>
      </c>
      <c r="M146" s="12">
        <v>32296.14</v>
      </c>
      <c r="N146" s="12">
        <v>0</v>
      </c>
      <c r="O146" s="12">
        <v>0</v>
      </c>
      <c r="P146" s="12">
        <v>0</v>
      </c>
      <c r="Q146" s="12">
        <v>0</v>
      </c>
      <c r="R146" s="12">
        <v>0</v>
      </c>
      <c r="S146" s="12">
        <v>0</v>
      </c>
      <c r="T146" s="12">
        <v>0</v>
      </c>
      <c r="U146" s="12">
        <v>0</v>
      </c>
      <c r="V146" s="12">
        <v>0</v>
      </c>
      <c r="W146" s="12">
        <v>0</v>
      </c>
      <c r="X146" s="12">
        <v>0</v>
      </c>
      <c r="Y146" s="12">
        <v>0</v>
      </c>
      <c r="Z146" s="12">
        <v>0</v>
      </c>
      <c r="AA146" s="12">
        <v>0</v>
      </c>
      <c r="AB146" s="12">
        <v>0</v>
      </c>
      <c r="AC146" s="12">
        <v>0</v>
      </c>
      <c r="AD146" s="12">
        <v>0</v>
      </c>
      <c r="AE146" s="12">
        <v>0</v>
      </c>
      <c r="AF146" s="12">
        <v>0</v>
      </c>
      <c r="AG146" s="12">
        <v>0</v>
      </c>
      <c r="AH146" s="12">
        <v>0</v>
      </c>
      <c r="AI146" s="12">
        <v>0</v>
      </c>
      <c r="AJ146" s="12">
        <v>0</v>
      </c>
      <c r="AK146" s="12">
        <v>0</v>
      </c>
      <c r="AL146" s="12">
        <v>60365.9</v>
      </c>
      <c r="AM146" s="12">
        <v>0</v>
      </c>
      <c r="AN146" s="12">
        <v>0</v>
      </c>
      <c r="AO146" s="12">
        <v>0</v>
      </c>
      <c r="AP146" s="12">
        <v>32337.1</v>
      </c>
      <c r="AQ146" s="12">
        <v>0</v>
      </c>
      <c r="AR146" s="12">
        <v>0</v>
      </c>
      <c r="AS146" s="12">
        <v>58993.7</v>
      </c>
      <c r="AT146" s="12">
        <v>0</v>
      </c>
      <c r="AU146" s="12">
        <v>0</v>
      </c>
      <c r="AV146" s="12">
        <v>0</v>
      </c>
      <c r="AW146" s="12">
        <v>0</v>
      </c>
      <c r="AX146" s="12">
        <v>7038.5</v>
      </c>
      <c r="AY146" s="12">
        <v>0</v>
      </c>
      <c r="AZ146" s="12">
        <v>0</v>
      </c>
      <c r="BA146" s="12">
        <v>0</v>
      </c>
      <c r="BB146" s="12">
        <v>0</v>
      </c>
      <c r="BC146" s="12">
        <v>0</v>
      </c>
      <c r="BD146" s="12">
        <v>0</v>
      </c>
      <c r="BE146" s="12">
        <v>0</v>
      </c>
      <c r="BF146" s="12">
        <f t="shared" si="93"/>
        <v>772920.16999999993</v>
      </c>
      <c r="BG146" s="12">
        <f t="shared" si="94"/>
        <v>614184.97</v>
      </c>
      <c r="BH146" s="12">
        <f t="shared" si="95"/>
        <v>0</v>
      </c>
      <c r="BI146" s="12">
        <f t="shared" si="96"/>
        <v>158735.20000000001</v>
      </c>
    </row>
    <row r="147" spans="1:61" x14ac:dyDescent="0.25">
      <c r="C147" s="7">
        <v>495</v>
      </c>
      <c r="D147" s="7" t="s">
        <v>190</v>
      </c>
      <c r="E147" s="12">
        <v>0</v>
      </c>
      <c r="F147" s="12">
        <v>0</v>
      </c>
      <c r="G147" s="12">
        <v>0</v>
      </c>
      <c r="H147" s="12">
        <v>356</v>
      </c>
      <c r="I147" s="12">
        <v>0</v>
      </c>
      <c r="J147" s="12">
        <v>0</v>
      </c>
      <c r="K147" s="12">
        <v>0</v>
      </c>
      <c r="L147" s="12">
        <v>0</v>
      </c>
      <c r="M147" s="12">
        <v>0</v>
      </c>
      <c r="N147" s="12">
        <v>0</v>
      </c>
      <c r="O147" s="12">
        <v>0</v>
      </c>
      <c r="P147" s="12">
        <v>0</v>
      </c>
      <c r="Q147" s="12">
        <v>0</v>
      </c>
      <c r="R147" s="12">
        <v>0</v>
      </c>
      <c r="S147" s="12">
        <v>0</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12">
        <v>0</v>
      </c>
      <c r="AN147" s="12">
        <v>0</v>
      </c>
      <c r="AO147" s="12">
        <v>0</v>
      </c>
      <c r="AP147" s="12">
        <v>0</v>
      </c>
      <c r="AQ147" s="12">
        <v>0</v>
      </c>
      <c r="AR147" s="12">
        <v>0</v>
      </c>
      <c r="AS147" s="12">
        <v>0</v>
      </c>
      <c r="AT147" s="12">
        <v>0</v>
      </c>
      <c r="AU147" s="12">
        <v>0</v>
      </c>
      <c r="AV147" s="12">
        <v>0</v>
      </c>
      <c r="AW147" s="12">
        <v>0</v>
      </c>
      <c r="AX147" s="12">
        <v>0</v>
      </c>
      <c r="AY147" s="12">
        <v>0</v>
      </c>
      <c r="AZ147" s="12">
        <v>0</v>
      </c>
      <c r="BA147" s="12">
        <v>0</v>
      </c>
      <c r="BB147" s="12">
        <v>0</v>
      </c>
      <c r="BC147" s="12">
        <v>0</v>
      </c>
      <c r="BD147" s="12">
        <v>0</v>
      </c>
      <c r="BE147" s="12">
        <v>0</v>
      </c>
      <c r="BF147" s="12">
        <f t="shared" si="93"/>
        <v>356</v>
      </c>
      <c r="BG147" s="12">
        <f t="shared" si="94"/>
        <v>356</v>
      </c>
      <c r="BH147" s="12">
        <f t="shared" si="95"/>
        <v>0</v>
      </c>
      <c r="BI147" s="12">
        <f t="shared" si="96"/>
        <v>0</v>
      </c>
    </row>
    <row r="148" spans="1:61" x14ac:dyDescent="0.25">
      <c r="C148" s="7">
        <v>498</v>
      </c>
      <c r="D148" s="7" t="s">
        <v>191</v>
      </c>
      <c r="E148" s="12">
        <v>0</v>
      </c>
      <c r="F148" s="12">
        <v>0</v>
      </c>
      <c r="G148" s="12">
        <v>0</v>
      </c>
      <c r="H148" s="12">
        <v>0</v>
      </c>
      <c r="I148" s="12">
        <v>0</v>
      </c>
      <c r="J148" s="12">
        <v>0</v>
      </c>
      <c r="K148" s="12">
        <v>0</v>
      </c>
      <c r="L148" s="12">
        <v>2394832.86</v>
      </c>
      <c r="M148" s="12">
        <v>0</v>
      </c>
      <c r="N148" s="12">
        <v>0</v>
      </c>
      <c r="O148" s="12">
        <v>0</v>
      </c>
      <c r="P148" s="12">
        <v>0</v>
      </c>
      <c r="Q148" s="12">
        <v>0</v>
      </c>
      <c r="R148" s="12">
        <v>0</v>
      </c>
      <c r="S148" s="12">
        <v>0</v>
      </c>
      <c r="T148" s="12">
        <v>0</v>
      </c>
      <c r="U148" s="12">
        <v>0</v>
      </c>
      <c r="V148" s="12">
        <v>0</v>
      </c>
      <c r="W148" s="12">
        <v>0</v>
      </c>
      <c r="X148" s="12">
        <v>0</v>
      </c>
      <c r="Y148" s="12">
        <v>0</v>
      </c>
      <c r="Z148" s="12">
        <v>0</v>
      </c>
      <c r="AA148" s="12">
        <v>0</v>
      </c>
      <c r="AB148" s="12">
        <v>0</v>
      </c>
      <c r="AC148" s="12">
        <v>0</v>
      </c>
      <c r="AD148" s="12">
        <v>0</v>
      </c>
      <c r="AE148" s="12">
        <v>0</v>
      </c>
      <c r="AF148" s="12">
        <v>0</v>
      </c>
      <c r="AG148" s="12">
        <v>0</v>
      </c>
      <c r="AH148" s="12">
        <v>0</v>
      </c>
      <c r="AI148" s="12">
        <v>0</v>
      </c>
      <c r="AJ148" s="12">
        <v>0</v>
      </c>
      <c r="AK148" s="12">
        <v>0</v>
      </c>
      <c r="AL148" s="12">
        <v>0</v>
      </c>
      <c r="AM148" s="12">
        <v>0</v>
      </c>
      <c r="AN148" s="12">
        <v>0</v>
      </c>
      <c r="AO148" s="12">
        <v>0</v>
      </c>
      <c r="AP148" s="12">
        <v>0</v>
      </c>
      <c r="AQ148" s="12">
        <v>0</v>
      </c>
      <c r="AR148" s="12">
        <v>0</v>
      </c>
      <c r="AS148" s="12">
        <v>0</v>
      </c>
      <c r="AT148" s="12">
        <v>0</v>
      </c>
      <c r="AU148" s="12">
        <v>0</v>
      </c>
      <c r="AV148" s="12">
        <v>0</v>
      </c>
      <c r="AW148" s="12">
        <v>0</v>
      </c>
      <c r="AX148" s="12">
        <v>0</v>
      </c>
      <c r="AY148" s="12">
        <v>0</v>
      </c>
      <c r="AZ148" s="12">
        <v>0</v>
      </c>
      <c r="BA148" s="12">
        <v>0</v>
      </c>
      <c r="BB148" s="12">
        <v>0</v>
      </c>
      <c r="BC148" s="12">
        <v>0</v>
      </c>
      <c r="BD148" s="12">
        <v>0</v>
      </c>
      <c r="BE148" s="12">
        <v>0</v>
      </c>
      <c r="BF148" s="12">
        <f t="shared" si="93"/>
        <v>2394832.86</v>
      </c>
      <c r="BG148" s="12">
        <f t="shared" si="94"/>
        <v>2394832.86</v>
      </c>
      <c r="BH148" s="12">
        <f t="shared" si="95"/>
        <v>0</v>
      </c>
      <c r="BI148" s="12">
        <f t="shared" si="96"/>
        <v>0</v>
      </c>
    </row>
    <row r="149" spans="1:61" x14ac:dyDescent="0.25">
      <c r="C149" s="7">
        <v>499</v>
      </c>
      <c r="D149" s="7" t="s">
        <v>135</v>
      </c>
      <c r="E149" s="12">
        <v>0</v>
      </c>
      <c r="F149" s="12">
        <v>0</v>
      </c>
      <c r="G149" s="12">
        <v>0</v>
      </c>
      <c r="H149" s="12">
        <v>0</v>
      </c>
      <c r="I149" s="12">
        <v>0</v>
      </c>
      <c r="J149" s="12">
        <v>0</v>
      </c>
      <c r="K149" s="12">
        <v>0</v>
      </c>
      <c r="L149" s="12">
        <v>-1938.97</v>
      </c>
      <c r="M149" s="12">
        <v>0</v>
      </c>
      <c r="N149" s="12">
        <v>0</v>
      </c>
      <c r="O149" s="12">
        <v>0</v>
      </c>
      <c r="P149" s="12">
        <v>0</v>
      </c>
      <c r="Q149" s="12">
        <v>0</v>
      </c>
      <c r="R149" s="12">
        <v>0</v>
      </c>
      <c r="S149" s="12">
        <v>0</v>
      </c>
      <c r="T149" s="12">
        <v>0</v>
      </c>
      <c r="U149" s="12">
        <v>0</v>
      </c>
      <c r="V149" s="12">
        <v>0</v>
      </c>
      <c r="W149" s="12">
        <v>3000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12">
        <v>0</v>
      </c>
      <c r="AN149" s="12">
        <v>0</v>
      </c>
      <c r="AO149" s="12">
        <v>0</v>
      </c>
      <c r="AP149" s="12">
        <v>0</v>
      </c>
      <c r="AQ149" s="12">
        <v>0</v>
      </c>
      <c r="AR149" s="12">
        <v>0</v>
      </c>
      <c r="AS149" s="12">
        <v>0</v>
      </c>
      <c r="AT149" s="12">
        <v>0</v>
      </c>
      <c r="AU149" s="12">
        <v>0</v>
      </c>
      <c r="AV149" s="12">
        <v>0</v>
      </c>
      <c r="AW149" s="12">
        <v>0</v>
      </c>
      <c r="AX149" s="12">
        <v>0</v>
      </c>
      <c r="AY149" s="12">
        <v>0</v>
      </c>
      <c r="AZ149" s="12">
        <v>3500</v>
      </c>
      <c r="BA149" s="12">
        <v>0</v>
      </c>
      <c r="BB149" s="12">
        <v>0</v>
      </c>
      <c r="BC149" s="12">
        <v>0</v>
      </c>
      <c r="BD149" s="12">
        <v>0</v>
      </c>
      <c r="BE149" s="12">
        <v>0</v>
      </c>
      <c r="BF149" s="12">
        <f t="shared" si="93"/>
        <v>4561.03</v>
      </c>
      <c r="BG149" s="12">
        <f t="shared" si="94"/>
        <v>1061.03</v>
      </c>
      <c r="BH149" s="12">
        <f t="shared" si="95"/>
        <v>0</v>
      </c>
      <c r="BI149" s="12">
        <f t="shared" si="96"/>
        <v>3500</v>
      </c>
    </row>
    <row r="150" spans="1:61" x14ac:dyDescent="0.25">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row>
    <row r="151" spans="1:61" x14ac:dyDescent="0.25">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row>
    <row r="152" spans="1:61" x14ac:dyDescent="0.25">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row>
    <row r="153" spans="1:61" x14ac:dyDescent="0.25">
      <c r="A153" s="70">
        <v>9</v>
      </c>
      <c r="B153" s="70"/>
      <c r="C153" s="70"/>
      <c r="D153" s="70" t="s">
        <v>193</v>
      </c>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1"/>
      <c r="AO153" s="71"/>
      <c r="AP153" s="71"/>
      <c r="AQ153" s="71"/>
      <c r="AR153" s="71"/>
      <c r="AS153" s="71"/>
      <c r="AT153" s="71"/>
      <c r="AU153" s="71"/>
      <c r="AV153" s="71"/>
      <c r="AW153" s="71"/>
      <c r="AX153" s="71"/>
      <c r="AY153" s="71"/>
      <c r="AZ153" s="71"/>
      <c r="BA153" s="71"/>
      <c r="BB153" s="71"/>
      <c r="BC153" s="71"/>
      <c r="BD153" s="71"/>
      <c r="BE153" s="71"/>
      <c r="BF153" s="71"/>
      <c r="BG153" s="71"/>
      <c r="BH153" s="71"/>
      <c r="BI153" s="71"/>
    </row>
    <row r="154" spans="1:61" x14ac:dyDescent="0.25">
      <c r="A154" s="70"/>
      <c r="B154" s="70">
        <v>90</v>
      </c>
      <c r="C154" s="70"/>
      <c r="D154" s="70" t="s">
        <v>194</v>
      </c>
      <c r="E154" s="130">
        <f>E155+E156</f>
        <v>116182.76000000001</v>
      </c>
      <c r="F154" s="130">
        <f t="shared" ref="F154:BI154" si="97">F155+F156</f>
        <v>-200798.41999999998</v>
      </c>
      <c r="G154" s="130">
        <f t="shared" si="97"/>
        <v>277440.62</v>
      </c>
      <c r="H154" s="130">
        <f t="shared" si="97"/>
        <v>-54896.009999999995</v>
      </c>
      <c r="I154" s="130">
        <f t="shared" si="97"/>
        <v>166774.22</v>
      </c>
      <c r="J154" s="130">
        <f t="shared" si="97"/>
        <v>317394.89</v>
      </c>
      <c r="K154" s="130">
        <f t="shared" si="97"/>
        <v>469681.96</v>
      </c>
      <c r="L154" s="130">
        <f t="shared" si="97"/>
        <v>-1042128.5700000003</v>
      </c>
      <c r="M154" s="130">
        <f t="shared" si="97"/>
        <v>-113213.43999999997</v>
      </c>
      <c r="N154" s="130">
        <f t="shared" si="97"/>
        <v>5101.07</v>
      </c>
      <c r="O154" s="130">
        <f t="shared" si="97"/>
        <v>1086020.8</v>
      </c>
      <c r="P154" s="130">
        <f t="shared" si="97"/>
        <v>-51921.060000000005</v>
      </c>
      <c r="Q154" s="130">
        <f t="shared" si="97"/>
        <v>27333.61</v>
      </c>
      <c r="R154" s="130">
        <f t="shared" si="97"/>
        <v>-53278.53</v>
      </c>
      <c r="S154" s="130">
        <f t="shared" si="97"/>
        <v>204040.5</v>
      </c>
      <c r="T154" s="130">
        <f t="shared" si="97"/>
        <v>269472.08999999997</v>
      </c>
      <c r="U154" s="130">
        <f t="shared" si="97"/>
        <v>-52483.040000000001</v>
      </c>
      <c r="V154" s="130">
        <f t="shared" si="97"/>
        <v>-34441.11</v>
      </c>
      <c r="W154" s="130">
        <f t="shared" si="97"/>
        <v>418445.06</v>
      </c>
      <c r="X154" s="130">
        <f t="shared" si="97"/>
        <v>64094.420000000006</v>
      </c>
      <c r="Y154" s="130">
        <f t="shared" si="97"/>
        <v>879139.75</v>
      </c>
      <c r="Z154" s="130">
        <f t="shared" si="97"/>
        <v>1866501.58</v>
      </c>
      <c r="AA154" s="130">
        <f t="shared" si="97"/>
        <v>-116577.55</v>
      </c>
      <c r="AB154" s="130">
        <f t="shared" si="97"/>
        <v>37709.21</v>
      </c>
      <c r="AC154" s="130">
        <f t="shared" si="97"/>
        <v>7337.03</v>
      </c>
      <c r="AD154" s="130">
        <f t="shared" si="97"/>
        <v>54270.14</v>
      </c>
      <c r="AE154" s="130">
        <f t="shared" si="97"/>
        <v>-258305.8</v>
      </c>
      <c r="AF154" s="130">
        <f t="shared" si="97"/>
        <v>-125962.73</v>
      </c>
      <c r="AG154" s="130">
        <f t="shared" si="97"/>
        <v>1150369.28</v>
      </c>
      <c r="AH154" s="130">
        <f t="shared" si="97"/>
        <v>495635.45</v>
      </c>
      <c r="AI154" s="130">
        <f t="shared" si="97"/>
        <v>48632.11</v>
      </c>
      <c r="AJ154" s="130">
        <f t="shared" si="97"/>
        <v>49352.77</v>
      </c>
      <c r="AK154" s="130">
        <f t="shared" si="97"/>
        <v>617262.02</v>
      </c>
      <c r="AL154" s="130">
        <f t="shared" si="97"/>
        <v>100441.82</v>
      </c>
      <c r="AM154" s="130">
        <f t="shared" si="97"/>
        <v>-22426.510000000002</v>
      </c>
      <c r="AN154" s="130">
        <f t="shared" si="97"/>
        <v>-9442.24</v>
      </c>
      <c r="AO154" s="130">
        <f t="shared" si="97"/>
        <v>112659.28</v>
      </c>
      <c r="AP154" s="130">
        <f t="shared" si="97"/>
        <v>-28465.240000000005</v>
      </c>
      <c r="AQ154" s="130">
        <f t="shared" si="97"/>
        <v>-105514.74</v>
      </c>
      <c r="AR154" s="130">
        <f t="shared" si="97"/>
        <v>15301.63</v>
      </c>
      <c r="AS154" s="130">
        <f t="shared" si="97"/>
        <v>-163520.98000000001</v>
      </c>
      <c r="AT154" s="130">
        <f t="shared" si="97"/>
        <v>-97827.579999999987</v>
      </c>
      <c r="AU154" s="130">
        <f t="shared" si="97"/>
        <v>-213500.07999999996</v>
      </c>
      <c r="AV154" s="130">
        <f t="shared" si="97"/>
        <v>174735.11</v>
      </c>
      <c r="AW154" s="130">
        <f t="shared" si="97"/>
        <v>50458.329999999994</v>
      </c>
      <c r="AX154" s="130">
        <f t="shared" si="97"/>
        <v>-44181.13</v>
      </c>
      <c r="AY154" s="130">
        <f t="shared" si="97"/>
        <v>-87327.439999999988</v>
      </c>
      <c r="AZ154" s="130">
        <f t="shared" si="97"/>
        <v>7224.1500000000233</v>
      </c>
      <c r="BA154" s="130">
        <f t="shared" si="97"/>
        <v>131178.63999999998</v>
      </c>
      <c r="BB154" s="130">
        <f t="shared" si="97"/>
        <v>135911.97</v>
      </c>
      <c r="BC154" s="130">
        <f t="shared" si="97"/>
        <v>1611.37</v>
      </c>
      <c r="BD154" s="130">
        <f t="shared" si="97"/>
        <v>1042023.45</v>
      </c>
      <c r="BE154" s="130">
        <f t="shared" si="97"/>
        <v>65056.2</v>
      </c>
      <c r="BF154" s="130">
        <f t="shared" si="97"/>
        <v>7588581.0899999999</v>
      </c>
      <c r="BG154" s="130">
        <f t="shared" si="97"/>
        <v>1754727.4000000013</v>
      </c>
      <c r="BH154" s="130">
        <f t="shared" si="97"/>
        <v>4152195.66</v>
      </c>
      <c r="BI154" s="130">
        <f t="shared" si="97"/>
        <v>1681658.0299999998</v>
      </c>
    </row>
    <row r="155" spans="1:61" x14ac:dyDescent="0.25">
      <c r="C155" s="7">
        <v>900</v>
      </c>
      <c r="D155" s="7" t="s">
        <v>195</v>
      </c>
      <c r="E155" s="15">
        <v>-206117.81</v>
      </c>
      <c r="F155" s="15">
        <v>-230931.74</v>
      </c>
      <c r="G155" s="15">
        <v>236110.02</v>
      </c>
      <c r="H155" s="15">
        <v>-99527.26</v>
      </c>
      <c r="I155" s="15">
        <v>7190.95</v>
      </c>
      <c r="J155" s="15">
        <v>0</v>
      </c>
      <c r="K155" s="15">
        <v>23773.27</v>
      </c>
      <c r="L155" s="15">
        <v>-3253493.74</v>
      </c>
      <c r="M155" s="15">
        <v>-288991.67</v>
      </c>
      <c r="N155" s="15">
        <v>3099.99</v>
      </c>
      <c r="O155" s="15">
        <v>383432.05</v>
      </c>
      <c r="P155" s="15">
        <v>-86729.27</v>
      </c>
      <c r="Q155" s="15">
        <v>1958.96</v>
      </c>
      <c r="R155" s="15">
        <v>-32883.71</v>
      </c>
      <c r="S155" s="15">
        <v>137834.76999999999</v>
      </c>
      <c r="T155" s="15">
        <v>100618.68</v>
      </c>
      <c r="U155" s="15">
        <v>-91225.19</v>
      </c>
      <c r="V155" s="15">
        <v>-83842.03</v>
      </c>
      <c r="W155" s="15">
        <v>9425.3799999999992</v>
      </c>
      <c r="X155" s="15">
        <v>71279.27</v>
      </c>
      <c r="Y155" s="15">
        <v>762175.92</v>
      </c>
      <c r="Z155" s="15">
        <v>1599945.33</v>
      </c>
      <c r="AA155" s="15">
        <v>-113818.35</v>
      </c>
      <c r="AB155" s="15">
        <v>5979.36</v>
      </c>
      <c r="AC155" s="15">
        <v>7580.24</v>
      </c>
      <c r="AD155" s="15">
        <v>-70858.69</v>
      </c>
      <c r="AE155" s="15">
        <v>-144543.5</v>
      </c>
      <c r="AF155" s="15">
        <v>-209245.59</v>
      </c>
      <c r="AG155" s="15">
        <v>570704.15</v>
      </c>
      <c r="AH155" s="15">
        <v>89717.45</v>
      </c>
      <c r="AI155" s="15">
        <v>-6155.02</v>
      </c>
      <c r="AJ155" s="15">
        <v>4342.3500000000004</v>
      </c>
      <c r="AK155" s="15">
        <v>450000</v>
      </c>
      <c r="AL155" s="15">
        <v>42549.120000000003</v>
      </c>
      <c r="AM155" s="15">
        <v>-59505.94</v>
      </c>
      <c r="AN155" s="15">
        <v>-471.3</v>
      </c>
      <c r="AO155" s="15">
        <v>53245.440000000002</v>
      </c>
      <c r="AP155" s="15">
        <v>-71312.800000000003</v>
      </c>
      <c r="AQ155" s="15">
        <v>-102773.5</v>
      </c>
      <c r="AR155" s="15">
        <v>1535.82</v>
      </c>
      <c r="AS155" s="15">
        <v>-103783.8</v>
      </c>
      <c r="AT155" s="15">
        <v>-154372.34</v>
      </c>
      <c r="AU155" s="15">
        <v>-330157.09999999998</v>
      </c>
      <c r="AV155" s="15">
        <v>34266.46</v>
      </c>
      <c r="AW155" s="15">
        <v>51005.88</v>
      </c>
      <c r="AX155" s="15">
        <v>-43918.63</v>
      </c>
      <c r="AY155" s="15">
        <v>-172483.83</v>
      </c>
      <c r="AZ155" s="15">
        <v>-143672.57999999999</v>
      </c>
      <c r="BA155" s="16">
        <v>251.69</v>
      </c>
      <c r="BB155" s="15">
        <v>54631.45</v>
      </c>
      <c r="BC155" s="15">
        <v>1611.37</v>
      </c>
      <c r="BD155" s="15">
        <v>-412328.29</v>
      </c>
      <c r="BE155" s="15">
        <v>53968.13</v>
      </c>
      <c r="BF155" s="15">
        <f t="shared" ref="BF155:BF156" si="98">SUM(E155:BE155)</f>
        <v>-1754910.18</v>
      </c>
      <c r="BG155" s="15">
        <f t="shared" ref="BG155:BG156" si="99">SUM(E155:W155)</f>
        <v>-3470298.3499999996</v>
      </c>
      <c r="BH155" s="15">
        <f t="shared" ref="BH155:BH156" si="100">SUM(X155:AJ155)</f>
        <v>2567102.9200000004</v>
      </c>
      <c r="BI155" s="15">
        <f t="shared" ref="BI155:BI156" si="101">SUM(AK155:BE155)</f>
        <v>-851714.74999999988</v>
      </c>
    </row>
    <row r="156" spans="1:61" x14ac:dyDescent="0.25">
      <c r="C156" s="7">
        <v>901</v>
      </c>
      <c r="D156" s="7" t="s">
        <v>196</v>
      </c>
      <c r="E156" s="15">
        <v>322300.57</v>
      </c>
      <c r="F156" s="15">
        <v>30133.32</v>
      </c>
      <c r="G156" s="15">
        <v>41330.6</v>
      </c>
      <c r="H156" s="15">
        <v>44631.25</v>
      </c>
      <c r="I156" s="15">
        <v>159583.26999999999</v>
      </c>
      <c r="J156" s="15">
        <v>317394.89</v>
      </c>
      <c r="K156" s="15">
        <v>445908.69</v>
      </c>
      <c r="L156" s="15">
        <v>2211365.17</v>
      </c>
      <c r="M156" s="15">
        <v>175778.23</v>
      </c>
      <c r="N156" s="15">
        <v>2001.08</v>
      </c>
      <c r="O156" s="15">
        <v>702588.75</v>
      </c>
      <c r="P156" s="15">
        <v>34808.21</v>
      </c>
      <c r="Q156" s="15">
        <v>25374.65</v>
      </c>
      <c r="R156" s="15">
        <v>-20394.82</v>
      </c>
      <c r="S156" s="15">
        <v>66205.73</v>
      </c>
      <c r="T156" s="15">
        <v>168853.41</v>
      </c>
      <c r="U156" s="15">
        <v>38742.15</v>
      </c>
      <c r="V156" s="15">
        <v>49400.92</v>
      </c>
      <c r="W156" s="15">
        <v>409019.68</v>
      </c>
      <c r="X156" s="15">
        <v>-7184.85</v>
      </c>
      <c r="Y156" s="15">
        <v>116963.83</v>
      </c>
      <c r="Z156" s="15">
        <v>266556.25</v>
      </c>
      <c r="AA156" s="15">
        <v>-2759.2</v>
      </c>
      <c r="AB156" s="15">
        <v>31729.85</v>
      </c>
      <c r="AC156" s="15">
        <v>-243.21</v>
      </c>
      <c r="AD156" s="15">
        <v>125128.83</v>
      </c>
      <c r="AE156" s="15">
        <v>-113762.3</v>
      </c>
      <c r="AF156" s="15">
        <v>83282.86</v>
      </c>
      <c r="AG156" s="15">
        <v>579665.13</v>
      </c>
      <c r="AH156" s="15">
        <v>405918</v>
      </c>
      <c r="AI156" s="15">
        <v>54787.13</v>
      </c>
      <c r="AJ156" s="15">
        <v>45010.42</v>
      </c>
      <c r="AK156" s="15">
        <v>167262.01999999999</v>
      </c>
      <c r="AL156" s="15">
        <v>57892.7</v>
      </c>
      <c r="AM156" s="15">
        <v>37079.43</v>
      </c>
      <c r="AN156" s="15">
        <v>-8970.94</v>
      </c>
      <c r="AO156" s="15">
        <v>59413.84</v>
      </c>
      <c r="AP156" s="15">
        <v>42847.56</v>
      </c>
      <c r="AQ156" s="15">
        <v>-2741.24</v>
      </c>
      <c r="AR156" s="15">
        <v>13765.81</v>
      </c>
      <c r="AS156" s="15">
        <v>-59737.18</v>
      </c>
      <c r="AT156" s="15">
        <v>56544.76</v>
      </c>
      <c r="AU156" s="15">
        <v>116657.02</v>
      </c>
      <c r="AV156" s="15">
        <v>140468.65</v>
      </c>
      <c r="AW156" s="15">
        <v>-547.54999999999995</v>
      </c>
      <c r="AX156" s="15">
        <v>-262.5</v>
      </c>
      <c r="AY156" s="15">
        <v>85156.39</v>
      </c>
      <c r="AZ156" s="15">
        <v>150896.73000000001</v>
      </c>
      <c r="BA156" s="15">
        <v>130926.95</v>
      </c>
      <c r="BB156" s="15">
        <v>81280.52</v>
      </c>
      <c r="BC156" s="15">
        <v>0</v>
      </c>
      <c r="BD156" s="15">
        <v>1454351.74</v>
      </c>
      <c r="BE156" s="15">
        <v>11088.07</v>
      </c>
      <c r="BF156" s="15">
        <f t="shared" si="98"/>
        <v>9343491.2699999996</v>
      </c>
      <c r="BG156" s="15">
        <f t="shared" si="99"/>
        <v>5225025.7500000009</v>
      </c>
      <c r="BH156" s="15">
        <f t="shared" si="100"/>
        <v>1585092.7399999998</v>
      </c>
      <c r="BI156" s="15">
        <f t="shared" si="101"/>
        <v>2533372.7799999998</v>
      </c>
    </row>
    <row r="157" spans="1:61" x14ac:dyDescent="0.25">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row>
    <row r="158" spans="1:61" x14ac:dyDescent="0.25">
      <c r="D158" s="6" t="s">
        <v>197</v>
      </c>
      <c r="E158" s="73">
        <f>E155+E156</f>
        <v>116182.76000000001</v>
      </c>
      <c r="F158" s="73">
        <f t="shared" ref="F158:BI158" si="102">F155+F156</f>
        <v>-200798.41999999998</v>
      </c>
      <c r="G158" s="73">
        <f t="shared" si="102"/>
        <v>277440.62</v>
      </c>
      <c r="H158" s="73">
        <f t="shared" si="102"/>
        <v>-54896.009999999995</v>
      </c>
      <c r="I158" s="73">
        <f t="shared" si="102"/>
        <v>166774.22</v>
      </c>
      <c r="J158" s="73">
        <f t="shared" si="102"/>
        <v>317394.89</v>
      </c>
      <c r="K158" s="73">
        <f t="shared" si="102"/>
        <v>469681.96</v>
      </c>
      <c r="L158" s="73">
        <f t="shared" si="102"/>
        <v>-1042128.5700000003</v>
      </c>
      <c r="M158" s="73">
        <f t="shared" si="102"/>
        <v>-113213.43999999997</v>
      </c>
      <c r="N158" s="73">
        <f t="shared" si="102"/>
        <v>5101.07</v>
      </c>
      <c r="O158" s="73">
        <f t="shared" si="102"/>
        <v>1086020.8</v>
      </c>
      <c r="P158" s="73">
        <f t="shared" si="102"/>
        <v>-51921.060000000005</v>
      </c>
      <c r="Q158" s="73">
        <f t="shared" si="102"/>
        <v>27333.61</v>
      </c>
      <c r="R158" s="73">
        <f t="shared" si="102"/>
        <v>-53278.53</v>
      </c>
      <c r="S158" s="73">
        <f t="shared" si="102"/>
        <v>204040.5</v>
      </c>
      <c r="T158" s="73">
        <f t="shared" si="102"/>
        <v>269472.08999999997</v>
      </c>
      <c r="U158" s="73">
        <f t="shared" si="102"/>
        <v>-52483.040000000001</v>
      </c>
      <c r="V158" s="73">
        <f t="shared" si="102"/>
        <v>-34441.11</v>
      </c>
      <c r="W158" s="73">
        <f t="shared" si="102"/>
        <v>418445.06</v>
      </c>
      <c r="X158" s="73">
        <f t="shared" si="102"/>
        <v>64094.420000000006</v>
      </c>
      <c r="Y158" s="73">
        <f t="shared" si="102"/>
        <v>879139.75</v>
      </c>
      <c r="Z158" s="73">
        <f t="shared" si="102"/>
        <v>1866501.58</v>
      </c>
      <c r="AA158" s="73">
        <f t="shared" si="102"/>
        <v>-116577.55</v>
      </c>
      <c r="AB158" s="73">
        <f t="shared" si="102"/>
        <v>37709.21</v>
      </c>
      <c r="AC158" s="73">
        <f t="shared" si="102"/>
        <v>7337.03</v>
      </c>
      <c r="AD158" s="73">
        <f t="shared" si="102"/>
        <v>54270.14</v>
      </c>
      <c r="AE158" s="73">
        <f t="shared" si="102"/>
        <v>-258305.8</v>
      </c>
      <c r="AF158" s="73">
        <f t="shared" si="102"/>
        <v>-125962.73</v>
      </c>
      <c r="AG158" s="73">
        <f t="shared" si="102"/>
        <v>1150369.28</v>
      </c>
      <c r="AH158" s="73">
        <f t="shared" si="102"/>
        <v>495635.45</v>
      </c>
      <c r="AI158" s="73">
        <f t="shared" si="102"/>
        <v>48632.11</v>
      </c>
      <c r="AJ158" s="73">
        <f t="shared" si="102"/>
        <v>49352.77</v>
      </c>
      <c r="AK158" s="73">
        <f t="shared" si="102"/>
        <v>617262.02</v>
      </c>
      <c r="AL158" s="73">
        <f t="shared" si="102"/>
        <v>100441.82</v>
      </c>
      <c r="AM158" s="73">
        <f t="shared" si="102"/>
        <v>-22426.510000000002</v>
      </c>
      <c r="AN158" s="73">
        <f t="shared" si="102"/>
        <v>-9442.24</v>
      </c>
      <c r="AO158" s="73">
        <f t="shared" si="102"/>
        <v>112659.28</v>
      </c>
      <c r="AP158" s="73">
        <f t="shared" si="102"/>
        <v>-28465.240000000005</v>
      </c>
      <c r="AQ158" s="73">
        <f t="shared" si="102"/>
        <v>-105514.74</v>
      </c>
      <c r="AR158" s="73">
        <f t="shared" si="102"/>
        <v>15301.63</v>
      </c>
      <c r="AS158" s="73">
        <f t="shared" si="102"/>
        <v>-163520.98000000001</v>
      </c>
      <c r="AT158" s="73">
        <f t="shared" si="102"/>
        <v>-97827.579999999987</v>
      </c>
      <c r="AU158" s="73">
        <f t="shared" si="102"/>
        <v>-213500.07999999996</v>
      </c>
      <c r="AV158" s="73">
        <f t="shared" si="102"/>
        <v>174735.11</v>
      </c>
      <c r="AW158" s="73">
        <f t="shared" si="102"/>
        <v>50458.329999999994</v>
      </c>
      <c r="AX158" s="73">
        <f t="shared" si="102"/>
        <v>-44181.13</v>
      </c>
      <c r="AY158" s="73">
        <f t="shared" si="102"/>
        <v>-87327.439999999988</v>
      </c>
      <c r="AZ158" s="73">
        <f t="shared" si="102"/>
        <v>7224.1500000000233</v>
      </c>
      <c r="BA158" s="73">
        <f t="shared" si="102"/>
        <v>131178.63999999998</v>
      </c>
      <c r="BB158" s="73">
        <f t="shared" si="102"/>
        <v>135911.97</v>
      </c>
      <c r="BC158" s="73">
        <f t="shared" si="102"/>
        <v>1611.37</v>
      </c>
      <c r="BD158" s="73">
        <f t="shared" si="102"/>
        <v>1042023.45</v>
      </c>
      <c r="BE158" s="73">
        <f t="shared" si="102"/>
        <v>65056.2</v>
      </c>
      <c r="BF158" s="73">
        <f t="shared" si="102"/>
        <v>7588581.0899999999</v>
      </c>
      <c r="BG158" s="73">
        <f t="shared" si="102"/>
        <v>1754727.4000000013</v>
      </c>
      <c r="BH158" s="73">
        <f t="shared" si="102"/>
        <v>4152195.66</v>
      </c>
      <c r="BI158" s="73">
        <f t="shared" si="102"/>
        <v>1681658.0299999998</v>
      </c>
    </row>
    <row r="159" spans="1:61" x14ac:dyDescent="0.25">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row>
    <row r="160" spans="1:61" x14ac:dyDescent="0.25">
      <c r="D160" s="74"/>
      <c r="E160" s="75">
        <f t="shared" ref="E160:AJ160" si="103">E76-E5</f>
        <v>116182.75999999978</v>
      </c>
      <c r="F160" s="75">
        <f t="shared" si="103"/>
        <v>-200798.42000000016</v>
      </c>
      <c r="G160" s="75">
        <f t="shared" si="103"/>
        <v>277440.62000000058</v>
      </c>
      <c r="H160" s="75">
        <f t="shared" si="103"/>
        <v>-54896.010000000009</v>
      </c>
      <c r="I160" s="75">
        <f t="shared" si="103"/>
        <v>166774.22000000067</v>
      </c>
      <c r="J160" s="75">
        <f t="shared" si="103"/>
        <v>317394.8900000006</v>
      </c>
      <c r="K160" s="75">
        <f t="shared" si="103"/>
        <v>469681.95999999903</v>
      </c>
      <c r="L160" s="75">
        <f t="shared" si="103"/>
        <v>-1042128.5700000226</v>
      </c>
      <c r="M160" s="75">
        <f t="shared" si="103"/>
        <v>-113213.44000000134</v>
      </c>
      <c r="N160" s="75">
        <f t="shared" si="103"/>
        <v>5101.0699999999488</v>
      </c>
      <c r="O160" s="75">
        <f t="shared" si="103"/>
        <v>1086020.8000000007</v>
      </c>
      <c r="P160" s="75">
        <f t="shared" si="103"/>
        <v>-51921.060000000289</v>
      </c>
      <c r="Q160" s="75">
        <f t="shared" si="103"/>
        <v>27333.610000000102</v>
      </c>
      <c r="R160" s="75">
        <f t="shared" si="103"/>
        <v>-53278.530000000028</v>
      </c>
      <c r="S160" s="75">
        <f t="shared" si="103"/>
        <v>204040.50000000023</v>
      </c>
      <c r="T160" s="75">
        <f t="shared" si="103"/>
        <v>269472.09000000032</v>
      </c>
      <c r="U160" s="75">
        <f t="shared" si="103"/>
        <v>-52483.040000000037</v>
      </c>
      <c r="V160" s="75">
        <f t="shared" si="103"/>
        <v>-34441.10999999987</v>
      </c>
      <c r="W160" s="75">
        <f t="shared" si="103"/>
        <v>418445.06000000052</v>
      </c>
      <c r="X160" s="75">
        <f t="shared" si="103"/>
        <v>64094.41999999946</v>
      </c>
      <c r="Y160" s="75">
        <f t="shared" si="103"/>
        <v>879139.74999999907</v>
      </c>
      <c r="Z160" s="75">
        <f t="shared" si="103"/>
        <v>1866501.58</v>
      </c>
      <c r="AA160" s="75">
        <f t="shared" si="103"/>
        <v>-116577.55000000005</v>
      </c>
      <c r="AB160" s="75">
        <f t="shared" si="103"/>
        <v>37709.210000000196</v>
      </c>
      <c r="AC160" s="75">
        <f t="shared" si="103"/>
        <v>7337.0300000002608</v>
      </c>
      <c r="AD160" s="75">
        <f t="shared" si="103"/>
        <v>54270.140000000596</v>
      </c>
      <c r="AE160" s="75">
        <f t="shared" si="103"/>
        <v>-258305.79999999981</v>
      </c>
      <c r="AF160" s="75">
        <f t="shared" si="103"/>
        <v>-125962.73000000045</v>
      </c>
      <c r="AG160" s="75">
        <f t="shared" si="103"/>
        <v>1150369.2799999993</v>
      </c>
      <c r="AH160" s="75">
        <f t="shared" si="103"/>
        <v>495635.44999999925</v>
      </c>
      <c r="AI160" s="75">
        <f t="shared" si="103"/>
        <v>48632.10999999987</v>
      </c>
      <c r="AJ160" s="75">
        <f t="shared" si="103"/>
        <v>49352.769999999786</v>
      </c>
      <c r="AK160" s="75">
        <f t="shared" ref="AK160:BI160" si="104">AK76-AK5</f>
        <v>617262.02000000142</v>
      </c>
      <c r="AL160" s="75">
        <f t="shared" si="104"/>
        <v>100441.81999999937</v>
      </c>
      <c r="AM160" s="75">
        <f t="shared" si="104"/>
        <v>-22426.510000000708</v>
      </c>
      <c r="AN160" s="75">
        <f t="shared" si="104"/>
        <v>-9442.2399999999907</v>
      </c>
      <c r="AO160" s="75">
        <f t="shared" si="104"/>
        <v>112659.28000000119</v>
      </c>
      <c r="AP160" s="75">
        <f t="shared" si="104"/>
        <v>-28465.239999999758</v>
      </c>
      <c r="AQ160" s="75">
        <f t="shared" si="104"/>
        <v>-105514.74000000022</v>
      </c>
      <c r="AR160" s="75">
        <f t="shared" si="104"/>
        <v>15301.63000000082</v>
      </c>
      <c r="AS160" s="75">
        <f t="shared" si="104"/>
        <v>-163520.97999999998</v>
      </c>
      <c r="AT160" s="75">
        <f t="shared" si="104"/>
        <v>-97827.580000000075</v>
      </c>
      <c r="AU160" s="75">
        <f t="shared" si="104"/>
        <v>-213500.07999999984</v>
      </c>
      <c r="AV160" s="75">
        <f t="shared" si="104"/>
        <v>174735.1099999994</v>
      </c>
      <c r="AW160" s="75">
        <f t="shared" si="104"/>
        <v>50458.330000000075</v>
      </c>
      <c r="AX160" s="75">
        <f t="shared" si="104"/>
        <v>-44181.130000000121</v>
      </c>
      <c r="AY160" s="75">
        <f t="shared" si="104"/>
        <v>-87327.439999999711</v>
      </c>
      <c r="AZ160" s="75">
        <f t="shared" si="104"/>
        <v>7224.1499999994412</v>
      </c>
      <c r="BA160" s="75">
        <f t="shared" si="104"/>
        <v>131178.6399999999</v>
      </c>
      <c r="BB160" s="75">
        <f t="shared" si="104"/>
        <v>135911.97000000067</v>
      </c>
      <c r="BC160" s="75">
        <f t="shared" si="104"/>
        <v>1611.3699999999953</v>
      </c>
      <c r="BD160" s="75">
        <f t="shared" si="104"/>
        <v>1042023.450000003</v>
      </c>
      <c r="BE160" s="75">
        <f t="shared" si="104"/>
        <v>65056.199999999721</v>
      </c>
      <c r="BF160" s="75">
        <f t="shared" si="104"/>
        <v>7588581.090000093</v>
      </c>
      <c r="BG160" s="75">
        <f t="shared" si="104"/>
        <v>1754727.3999999762</v>
      </c>
      <c r="BH160" s="75">
        <f t="shared" si="104"/>
        <v>4152195.6600000039</v>
      </c>
      <c r="BI160" s="75">
        <f t="shared" si="104"/>
        <v>1681658.0300000161</v>
      </c>
    </row>
    <row r="161" spans="1:61" x14ac:dyDescent="0.25">
      <c r="D161" s="74" t="s">
        <v>68</v>
      </c>
      <c r="E161" s="21">
        <f t="shared" ref="E161:AJ161" si="105">E158-E160</f>
        <v>2.3283064365386963E-10</v>
      </c>
      <c r="F161" s="21">
        <f t="shared" si="105"/>
        <v>0</v>
      </c>
      <c r="G161" s="21">
        <f t="shared" si="105"/>
        <v>-5.8207660913467407E-10</v>
      </c>
      <c r="H161" s="21">
        <f t="shared" si="105"/>
        <v>0</v>
      </c>
      <c r="I161" s="21">
        <f t="shared" si="105"/>
        <v>-6.6938810050487518E-10</v>
      </c>
      <c r="J161" s="21">
        <f t="shared" si="105"/>
        <v>-5.8207660913467407E-10</v>
      </c>
      <c r="K161" s="21">
        <f t="shared" si="105"/>
        <v>9.8953023552894592E-10</v>
      </c>
      <c r="L161" s="21">
        <f t="shared" si="105"/>
        <v>2.2351741790771484E-8</v>
      </c>
      <c r="M161" s="21">
        <f t="shared" si="105"/>
        <v>1.3678800314664841E-9</v>
      </c>
      <c r="N161" s="21">
        <f t="shared" si="105"/>
        <v>5.0931703299283981E-11</v>
      </c>
      <c r="O161" s="21">
        <f t="shared" si="105"/>
        <v>0</v>
      </c>
      <c r="P161" s="21">
        <f t="shared" si="105"/>
        <v>2.8376234695315361E-10</v>
      </c>
      <c r="Q161" s="21">
        <f t="shared" si="105"/>
        <v>-1.0186340659856796E-10</v>
      </c>
      <c r="R161" s="21">
        <f t="shared" si="105"/>
        <v>0</v>
      </c>
      <c r="S161" s="21">
        <f t="shared" si="105"/>
        <v>-2.3283064365386963E-10</v>
      </c>
      <c r="T161" s="21">
        <f t="shared" si="105"/>
        <v>0</v>
      </c>
      <c r="U161" s="21">
        <f t="shared" si="105"/>
        <v>0</v>
      </c>
      <c r="V161" s="21">
        <f t="shared" si="105"/>
        <v>-1.3096723705530167E-10</v>
      </c>
      <c r="W161" s="21">
        <f t="shared" si="105"/>
        <v>-5.2386894822120667E-10</v>
      </c>
      <c r="X161" s="21">
        <f t="shared" si="105"/>
        <v>5.4569682106375694E-10</v>
      </c>
      <c r="Y161" s="21">
        <f t="shared" si="105"/>
        <v>9.3132257461547852E-10</v>
      </c>
      <c r="Z161" s="21">
        <f t="shared" si="105"/>
        <v>0</v>
      </c>
      <c r="AA161" s="21">
        <f t="shared" si="105"/>
        <v>0</v>
      </c>
      <c r="AB161" s="21">
        <f t="shared" si="105"/>
        <v>-1.964508555829525E-10</v>
      </c>
      <c r="AC161" s="21">
        <f t="shared" si="105"/>
        <v>-2.610249794088304E-10</v>
      </c>
      <c r="AD161" s="21">
        <f t="shared" si="105"/>
        <v>-5.9662852436304092E-10</v>
      </c>
      <c r="AE161" s="21">
        <f t="shared" si="105"/>
        <v>0</v>
      </c>
      <c r="AF161" s="21">
        <f t="shared" si="105"/>
        <v>4.5110937207937241E-10</v>
      </c>
      <c r="AG161" s="21">
        <f t="shared" si="105"/>
        <v>0</v>
      </c>
      <c r="AH161" s="21">
        <f t="shared" si="105"/>
        <v>7.5669959187507629E-10</v>
      </c>
      <c r="AI161" s="21">
        <f t="shared" si="105"/>
        <v>1.3096723705530167E-10</v>
      </c>
      <c r="AJ161" s="21">
        <f t="shared" si="105"/>
        <v>2.1100277081131935E-10</v>
      </c>
      <c r="AK161" s="21">
        <f t="shared" ref="AK161:BI161" si="106">AK158-AK160</f>
        <v>-1.3969838619232178E-9</v>
      </c>
      <c r="AL161" s="21">
        <f t="shared" si="106"/>
        <v>6.4028427004814148E-10</v>
      </c>
      <c r="AM161" s="21">
        <f t="shared" si="106"/>
        <v>7.0576788857579231E-10</v>
      </c>
      <c r="AN161" s="21">
        <f t="shared" si="106"/>
        <v>0</v>
      </c>
      <c r="AO161" s="21">
        <f t="shared" si="106"/>
        <v>-1.1932570487260818E-9</v>
      </c>
      <c r="AP161" s="21">
        <f t="shared" si="106"/>
        <v>-2.4738255888223648E-10</v>
      </c>
      <c r="AQ161" s="21">
        <f t="shared" si="106"/>
        <v>2.1827872842550278E-10</v>
      </c>
      <c r="AR161" s="21">
        <f t="shared" si="106"/>
        <v>-8.2036422099918127E-10</v>
      </c>
      <c r="AS161" s="21">
        <f t="shared" si="106"/>
        <v>0</v>
      </c>
      <c r="AT161" s="21">
        <f t="shared" si="106"/>
        <v>0</v>
      </c>
      <c r="AU161" s="21">
        <f t="shared" si="106"/>
        <v>0</v>
      </c>
      <c r="AV161" s="21">
        <f t="shared" si="106"/>
        <v>5.8207660913467407E-10</v>
      </c>
      <c r="AW161" s="21">
        <f t="shared" si="106"/>
        <v>-8.0035533756017685E-11</v>
      </c>
      <c r="AX161" s="21">
        <f t="shared" si="106"/>
        <v>1.2369127944111824E-10</v>
      </c>
      <c r="AY161" s="21">
        <f t="shared" si="106"/>
        <v>-2.7648638933897018E-10</v>
      </c>
      <c r="AZ161" s="21">
        <f t="shared" si="106"/>
        <v>5.8207660913467407E-10</v>
      </c>
      <c r="BA161" s="21">
        <f t="shared" si="106"/>
        <v>0</v>
      </c>
      <c r="BB161" s="21">
        <f t="shared" si="106"/>
        <v>-6.6938810050487518E-10</v>
      </c>
      <c r="BC161" s="21">
        <f t="shared" si="106"/>
        <v>4.5474735088646412E-12</v>
      </c>
      <c r="BD161" s="21">
        <f t="shared" si="106"/>
        <v>-3.0267983675003052E-9</v>
      </c>
      <c r="BE161" s="21">
        <f t="shared" si="106"/>
        <v>2.7648638933897018E-10</v>
      </c>
      <c r="BF161" s="21">
        <f t="shared" si="106"/>
        <v>-9.3132257461547852E-8</v>
      </c>
      <c r="BG161" s="21">
        <f t="shared" si="106"/>
        <v>2.514570951461792E-8</v>
      </c>
      <c r="BH161" s="21">
        <f t="shared" si="106"/>
        <v>-3.7252902984619141E-9</v>
      </c>
      <c r="BI161" s="21">
        <f t="shared" si="106"/>
        <v>-1.6298145055770874E-8</v>
      </c>
    </row>
    <row r="163" spans="1:61" x14ac:dyDescent="0.25">
      <c r="D163" s="76" t="s">
        <v>450</v>
      </c>
    </row>
    <row r="164" spans="1:61" x14ac:dyDescent="0.25">
      <c r="C164" s="7">
        <v>4021</v>
      </c>
      <c r="D164" s="7" t="s">
        <v>213</v>
      </c>
      <c r="E164" s="12">
        <v>144268.4</v>
      </c>
      <c r="F164" s="7">
        <v>112510.25</v>
      </c>
      <c r="G164" s="12">
        <v>65344.65</v>
      </c>
      <c r="H164" s="12">
        <v>89477.45</v>
      </c>
      <c r="I164" s="12">
        <v>714226.26</v>
      </c>
      <c r="J164" s="12">
        <v>495727</v>
      </c>
      <c r="K164" s="12">
        <v>401104.05</v>
      </c>
      <c r="L164" s="12">
        <v>3068893.1</v>
      </c>
      <c r="M164" s="12">
        <v>237995</v>
      </c>
      <c r="N164" s="12">
        <v>22761.200000000001</v>
      </c>
      <c r="O164" s="12">
        <v>1257327.05</v>
      </c>
      <c r="P164" s="12">
        <v>144528.54999999999</v>
      </c>
      <c r="Q164" s="12">
        <v>20589.7</v>
      </c>
      <c r="R164" s="12">
        <v>70046.75</v>
      </c>
      <c r="S164" s="12">
        <v>78057.899999999994</v>
      </c>
      <c r="T164" s="12">
        <v>106347.7</v>
      </c>
      <c r="U164" s="12">
        <v>41853.800000000003</v>
      </c>
      <c r="V164" s="12">
        <v>100678.05</v>
      </c>
      <c r="W164" s="12">
        <v>581855.30000000005</v>
      </c>
      <c r="X164" s="12">
        <v>56097.7</v>
      </c>
      <c r="Y164" s="12">
        <v>176933.4</v>
      </c>
      <c r="Z164" s="12">
        <v>265471.40000000002</v>
      </c>
      <c r="AA164" s="12">
        <v>35873.35</v>
      </c>
      <c r="AB164" s="12">
        <v>39962.800000000003</v>
      </c>
      <c r="AC164" s="12">
        <v>92003.35</v>
      </c>
      <c r="AD164" s="12">
        <v>127185.2</v>
      </c>
      <c r="AE164" s="12">
        <v>142315.1</v>
      </c>
      <c r="AF164" s="12">
        <v>147559.79999999999</v>
      </c>
      <c r="AG164" s="12">
        <v>484905.75</v>
      </c>
      <c r="AH164" s="12">
        <v>505739.55</v>
      </c>
      <c r="AI164" s="12">
        <v>41560.75</v>
      </c>
      <c r="AJ164" s="12">
        <v>66086.3</v>
      </c>
      <c r="AK164" s="12">
        <v>464192.95</v>
      </c>
      <c r="AL164" s="12">
        <v>295209.2</v>
      </c>
      <c r="AM164" s="12">
        <v>249806.3</v>
      </c>
      <c r="AN164" s="12">
        <v>25877.599999999999</v>
      </c>
      <c r="AO164" s="12">
        <v>276612.95</v>
      </c>
      <c r="AP164" s="12">
        <v>139698.54999999999</v>
      </c>
      <c r="AQ164" s="12">
        <v>110576.75</v>
      </c>
      <c r="AR164" s="12">
        <v>374618.8</v>
      </c>
      <c r="AS164" s="12">
        <v>185121.3</v>
      </c>
      <c r="AT164" s="12">
        <v>203420.2</v>
      </c>
      <c r="AU164" s="12">
        <v>45828.3</v>
      </c>
      <c r="AV164" s="12">
        <v>526778.19999999995</v>
      </c>
      <c r="AW164" s="12">
        <v>172227.8</v>
      </c>
      <c r="AX164" s="12">
        <v>47455.65</v>
      </c>
      <c r="AY164" s="12">
        <v>89627.17</v>
      </c>
      <c r="AZ164" s="12">
        <v>340555</v>
      </c>
      <c r="BA164" s="12">
        <v>114444.45</v>
      </c>
      <c r="BB164" s="12">
        <v>307131.92</v>
      </c>
      <c r="BC164" s="12">
        <v>29946.1</v>
      </c>
      <c r="BD164" s="12">
        <v>1716173.61</v>
      </c>
      <c r="BE164" s="12">
        <v>123397.05</v>
      </c>
      <c r="BF164" s="12">
        <f t="shared" ref="BF164:BF166" si="107">SUM(E164:BE164)</f>
        <v>15773986.460000001</v>
      </c>
      <c r="BG164" s="12">
        <f t="shared" ref="BG164:BG166" si="108">SUM(E164:W164)</f>
        <v>7753592.1600000001</v>
      </c>
      <c r="BH164" s="12">
        <f t="shared" ref="BH164:BH166" si="109">SUM(X164:AJ164)</f>
        <v>2181694.4499999997</v>
      </c>
      <c r="BI164" s="12">
        <f t="shared" ref="BI164:BI166" si="110">SUM(AK164:BE164)</f>
        <v>5838699.8499999996</v>
      </c>
    </row>
    <row r="165" spans="1:61" x14ac:dyDescent="0.25">
      <c r="C165" s="7">
        <v>4490</v>
      </c>
      <c r="D165" s="7" t="s">
        <v>214</v>
      </c>
      <c r="E165" s="12">
        <v>0</v>
      </c>
      <c r="F165" s="12">
        <v>0</v>
      </c>
      <c r="G165" s="12">
        <v>0</v>
      </c>
      <c r="H165" s="12">
        <v>0</v>
      </c>
      <c r="I165" s="12">
        <v>0</v>
      </c>
      <c r="J165" s="12">
        <v>0</v>
      </c>
      <c r="K165" s="12">
        <v>0</v>
      </c>
      <c r="L165" s="12">
        <v>0</v>
      </c>
      <c r="M165" s="12">
        <v>0</v>
      </c>
      <c r="N165" s="12">
        <v>0</v>
      </c>
      <c r="O165" s="12">
        <v>0</v>
      </c>
      <c r="P165" s="12">
        <v>0</v>
      </c>
      <c r="Q165" s="12">
        <v>0</v>
      </c>
      <c r="R165" s="12">
        <v>0</v>
      </c>
      <c r="S165" s="12">
        <v>0</v>
      </c>
      <c r="T165" s="12">
        <v>0</v>
      </c>
      <c r="U165" s="12">
        <v>0</v>
      </c>
      <c r="V165" s="12">
        <v>0</v>
      </c>
      <c r="W165" s="12">
        <v>0</v>
      </c>
      <c r="X165" s="12">
        <v>0</v>
      </c>
      <c r="Y165" s="12">
        <v>0</v>
      </c>
      <c r="Z165" s="12">
        <v>0</v>
      </c>
      <c r="AA165" s="12">
        <v>0</v>
      </c>
      <c r="AB165" s="12">
        <v>0</v>
      </c>
      <c r="AC165" s="12">
        <v>0</v>
      </c>
      <c r="AD165" s="12">
        <v>0</v>
      </c>
      <c r="AE165" s="12">
        <v>0</v>
      </c>
      <c r="AF165" s="12">
        <v>0</v>
      </c>
      <c r="AG165" s="12">
        <v>0</v>
      </c>
      <c r="AH165" s="12">
        <v>0</v>
      </c>
      <c r="AI165" s="12">
        <v>0</v>
      </c>
      <c r="AJ165" s="12">
        <v>0</v>
      </c>
      <c r="AK165" s="12">
        <v>0</v>
      </c>
      <c r="AL165" s="12">
        <v>0</v>
      </c>
      <c r="AM165" s="12">
        <v>0</v>
      </c>
      <c r="AN165" s="12">
        <v>0</v>
      </c>
      <c r="AO165" s="12">
        <v>0</v>
      </c>
      <c r="AP165" s="12">
        <v>0</v>
      </c>
      <c r="AQ165" s="12">
        <v>0</v>
      </c>
      <c r="AR165" s="12">
        <v>0</v>
      </c>
      <c r="AS165" s="12">
        <v>0</v>
      </c>
      <c r="AT165" s="12">
        <v>0</v>
      </c>
      <c r="AU165" s="12">
        <v>0</v>
      </c>
      <c r="AV165" s="12">
        <v>0</v>
      </c>
      <c r="AW165" s="12">
        <v>0</v>
      </c>
      <c r="AX165" s="12">
        <v>0</v>
      </c>
      <c r="AY165" s="12">
        <v>0</v>
      </c>
      <c r="AZ165" s="12">
        <v>0</v>
      </c>
      <c r="BA165" s="12">
        <v>0</v>
      </c>
      <c r="BB165" s="12">
        <v>0</v>
      </c>
      <c r="BC165" s="12">
        <v>0</v>
      </c>
      <c r="BD165" s="12">
        <v>0</v>
      </c>
      <c r="BE165" s="12">
        <v>0</v>
      </c>
      <c r="BF165" s="12">
        <f t="shared" si="107"/>
        <v>0</v>
      </c>
      <c r="BG165" s="12">
        <f t="shared" si="108"/>
        <v>0</v>
      </c>
      <c r="BH165" s="12">
        <f t="shared" si="109"/>
        <v>0</v>
      </c>
      <c r="BI165" s="12">
        <f t="shared" si="110"/>
        <v>0</v>
      </c>
    </row>
    <row r="166" spans="1:61" x14ac:dyDescent="0.25">
      <c r="A166" s="7">
        <v>4</v>
      </c>
      <c r="C166" s="7">
        <v>40330</v>
      </c>
      <c r="D166" s="7" t="s">
        <v>730</v>
      </c>
      <c r="E166" s="12">
        <v>7318.85</v>
      </c>
      <c r="F166" s="12">
        <v>3700</v>
      </c>
      <c r="G166" s="12">
        <v>4620</v>
      </c>
      <c r="H166" s="12">
        <v>2870</v>
      </c>
      <c r="I166" s="12">
        <v>23120</v>
      </c>
      <c r="J166" s="12">
        <v>20705</v>
      </c>
      <c r="K166" s="12">
        <v>21938.9</v>
      </c>
      <c r="L166" s="12">
        <v>66645.649999999994</v>
      </c>
      <c r="M166" s="12">
        <v>5150</v>
      </c>
      <c r="N166" s="12">
        <v>1860</v>
      </c>
      <c r="O166" s="12">
        <v>52160</v>
      </c>
      <c r="P166" s="12">
        <v>3260</v>
      </c>
      <c r="Q166" s="12">
        <v>300</v>
      </c>
      <c r="R166" s="12">
        <v>4165.6499999999996</v>
      </c>
      <c r="S166" s="12">
        <v>2300</v>
      </c>
      <c r="T166" s="12">
        <v>3730</v>
      </c>
      <c r="U166" s="12">
        <v>3760</v>
      </c>
      <c r="V166" s="12">
        <v>5040</v>
      </c>
      <c r="W166" s="12">
        <v>21600</v>
      </c>
      <c r="X166" s="12">
        <v>3780</v>
      </c>
      <c r="Y166" s="12">
        <v>6780</v>
      </c>
      <c r="Z166" s="12">
        <v>5964</v>
      </c>
      <c r="AA166" s="12">
        <v>1700</v>
      </c>
      <c r="AB166" s="12">
        <v>1350</v>
      </c>
      <c r="AC166" s="12">
        <v>6080</v>
      </c>
      <c r="AD166" s="12">
        <v>6900</v>
      </c>
      <c r="AE166" s="12">
        <v>4860</v>
      </c>
      <c r="AF166" s="12">
        <v>4005</v>
      </c>
      <c r="AG166" s="12">
        <v>11270</v>
      </c>
      <c r="AH166" s="12">
        <v>16640</v>
      </c>
      <c r="AI166" s="12">
        <v>3089.15</v>
      </c>
      <c r="AJ166" s="12">
        <v>1400</v>
      </c>
      <c r="AK166" s="12">
        <v>9400</v>
      </c>
      <c r="AL166" s="12">
        <v>14875</v>
      </c>
      <c r="AM166" s="12">
        <v>7582.05</v>
      </c>
      <c r="AN166" s="12">
        <v>1560</v>
      </c>
      <c r="AO166" s="12">
        <v>1290</v>
      </c>
      <c r="AP166" s="12">
        <v>5320</v>
      </c>
      <c r="AQ166" s="12">
        <v>4360</v>
      </c>
      <c r="AR166" s="12">
        <v>10520</v>
      </c>
      <c r="AS166" s="12">
        <v>5100</v>
      </c>
      <c r="AT166" s="12">
        <v>14800</v>
      </c>
      <c r="AU166" s="12">
        <v>3000</v>
      </c>
      <c r="AV166" s="12">
        <v>12760</v>
      </c>
      <c r="AW166" s="12">
        <v>4400</v>
      </c>
      <c r="AX166" s="12">
        <v>883.15</v>
      </c>
      <c r="AY166" s="12">
        <v>3660</v>
      </c>
      <c r="AZ166" s="12">
        <v>11990</v>
      </c>
      <c r="BA166" s="12">
        <v>4540</v>
      </c>
      <c r="BB166" s="12">
        <v>15400</v>
      </c>
      <c r="BC166" s="12">
        <v>1260</v>
      </c>
      <c r="BD166" s="12">
        <v>48739.7</v>
      </c>
      <c r="BE166" s="12">
        <v>5300</v>
      </c>
      <c r="BF166" s="12">
        <f t="shared" si="107"/>
        <v>514802.10000000003</v>
      </c>
      <c r="BG166" s="12">
        <f t="shared" si="108"/>
        <v>254244.05</v>
      </c>
      <c r="BH166" s="12">
        <f t="shared" si="109"/>
        <v>73818.149999999994</v>
      </c>
      <c r="BI166" s="12">
        <f t="shared" si="110"/>
        <v>186739.90000000002</v>
      </c>
    </row>
    <row r="167" spans="1:61" x14ac:dyDescent="0.25">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row>
    <row r="168" spans="1:61" x14ac:dyDescent="0.25">
      <c r="C168" s="7" t="s">
        <v>584</v>
      </c>
      <c r="D168" s="7" t="s">
        <v>220</v>
      </c>
      <c r="E168" s="12">
        <f>'6.1 Investissements'!E183</f>
        <v>371702.39</v>
      </c>
      <c r="F168" s="12">
        <f>'6.1 Investissements'!F183</f>
        <v>22251.8</v>
      </c>
      <c r="G168" s="12">
        <f>'6.1 Investissements'!G183</f>
        <v>177186.41</v>
      </c>
      <c r="H168" s="12">
        <f>'6.1 Investissements'!H183</f>
        <v>-131840.85</v>
      </c>
      <c r="I168" s="12">
        <f>'6.1 Investissements'!I183</f>
        <v>2164566.62</v>
      </c>
      <c r="J168" s="12">
        <f>'6.1 Investissements'!J183</f>
        <v>1531069.87</v>
      </c>
      <c r="K168" s="12">
        <f>'6.1 Investissements'!K183</f>
        <v>614285.66000000015</v>
      </c>
      <c r="L168" s="12">
        <f>'6.1 Investissements'!L183</f>
        <v>10559279.599999998</v>
      </c>
      <c r="M168" s="12">
        <f>'6.1 Investissements'!M183</f>
        <v>935464.5699999996</v>
      </c>
      <c r="N168" s="12">
        <f>'6.1 Investissements'!N183</f>
        <v>41267.75</v>
      </c>
      <c r="O168" s="12">
        <f>'6.1 Investissements'!O183</f>
        <v>4504637.2</v>
      </c>
      <c r="P168" s="12">
        <f>'6.1 Investissements'!P183</f>
        <v>-131710.69</v>
      </c>
      <c r="Q168" s="12">
        <f>'6.1 Investissements'!Q183</f>
        <v>2188.15</v>
      </c>
      <c r="R168" s="12">
        <f>'6.1 Investissements'!R183</f>
        <v>42724.76</v>
      </c>
      <c r="S168" s="12">
        <f>'6.1 Investissements'!S183</f>
        <v>-221190.75</v>
      </c>
      <c r="T168" s="12">
        <f>'6.1 Investissements'!T183</f>
        <v>149921.20000000001</v>
      </c>
      <c r="U168" s="12">
        <f>'6.1 Investissements'!U183</f>
        <v>108389.85</v>
      </c>
      <c r="V168" s="12">
        <f>'6.1 Investissements'!V183</f>
        <v>61492</v>
      </c>
      <c r="W168" s="12">
        <f>'6.1 Investissements'!W183</f>
        <v>2552778.3000000007</v>
      </c>
      <c r="X168" s="12">
        <f>'6.1 Investissements'!X183</f>
        <v>328568.45</v>
      </c>
      <c r="Y168" s="12">
        <f>'6.1 Investissements'!Y183</f>
        <v>439242.3</v>
      </c>
      <c r="Z168" s="12">
        <f>'6.1 Investissements'!Z183</f>
        <v>258634</v>
      </c>
      <c r="AA168" s="12">
        <f>'6.1 Investissements'!AA183</f>
        <v>339692.69999999995</v>
      </c>
      <c r="AB168" s="12">
        <f>'6.1 Investissements'!AB183</f>
        <v>178259.75</v>
      </c>
      <c r="AC168" s="12">
        <f>'6.1 Investissements'!AC183</f>
        <v>304682</v>
      </c>
      <c r="AD168" s="12">
        <f>'6.1 Investissements'!AD183</f>
        <v>1375513.94</v>
      </c>
      <c r="AE168" s="12">
        <f>'6.1 Investissements'!AE183</f>
        <v>482944.8</v>
      </c>
      <c r="AF168" s="12">
        <f>'6.1 Investissements'!AF183</f>
        <v>544077.91</v>
      </c>
      <c r="AG168" s="12">
        <f>'6.1 Investissements'!AG183</f>
        <v>785987.92</v>
      </c>
      <c r="AH168" s="12">
        <f>'6.1 Investissements'!AH183</f>
        <v>464872.2300000001</v>
      </c>
      <c r="AI168" s="12">
        <f>'6.1 Investissements'!AI183</f>
        <v>20868.849999999999</v>
      </c>
      <c r="AJ168" s="12">
        <f>'6.1 Investissements'!AJ183</f>
        <v>57472.850000000006</v>
      </c>
      <c r="AK168" s="12">
        <f>'6.1 Investissements'!AK183</f>
        <v>268299.43999999994</v>
      </c>
      <c r="AL168" s="12">
        <f>'6.1 Investissements'!AL183</f>
        <v>148964.79999999999</v>
      </c>
      <c r="AM168" s="12">
        <f>'6.1 Investissements'!AM183</f>
        <v>366466.45999999996</v>
      </c>
      <c r="AN168" s="12">
        <f>'6.1 Investissements'!AN183</f>
        <v>19656.5</v>
      </c>
      <c r="AO168" s="12">
        <f>'6.1 Investissements'!AO183</f>
        <v>1333568.71</v>
      </c>
      <c r="AP168" s="12">
        <f>'6.1 Investissements'!AP183</f>
        <v>330958.19999999995</v>
      </c>
      <c r="AQ168" s="12">
        <f>'6.1 Investissements'!AQ183</f>
        <v>1048982.45</v>
      </c>
      <c r="AR168" s="12">
        <f>'6.1 Investissements'!AR183</f>
        <v>1214185.5299999998</v>
      </c>
      <c r="AS168" s="12">
        <f>'6.1 Investissements'!AS183</f>
        <v>75819.900000000023</v>
      </c>
      <c r="AT168" s="12">
        <f>'6.1 Investissements'!AT183</f>
        <v>950598.7</v>
      </c>
      <c r="AU168" s="12">
        <f>'6.1 Investissements'!AU183</f>
        <v>124690.30000000002</v>
      </c>
      <c r="AV168" s="12">
        <f>'6.1 Investissements'!AV183</f>
        <v>1992546.05</v>
      </c>
      <c r="AW168" s="12">
        <f>'6.1 Investissements'!AW183</f>
        <v>327924.7</v>
      </c>
      <c r="AX168" s="12">
        <f>'6.1 Investissements'!AX183</f>
        <v>0</v>
      </c>
      <c r="AY168" s="12">
        <f>'6.1 Investissements'!AY183</f>
        <v>84585.35</v>
      </c>
      <c r="AZ168" s="12">
        <f>'6.1 Investissements'!AZ183</f>
        <v>264388.7</v>
      </c>
      <c r="BA168" s="12">
        <f>'6.1 Investissements'!BA183</f>
        <v>1007824.7800000001</v>
      </c>
      <c r="BB168" s="12">
        <f>'6.1 Investissements'!BB183</f>
        <v>837864.91</v>
      </c>
      <c r="BC168" s="12">
        <f>'6.1 Investissements'!BC183</f>
        <v>266185.44999999995</v>
      </c>
      <c r="BD168" s="12">
        <f>'6.1 Investissements'!BD183</f>
        <v>5749758.29</v>
      </c>
      <c r="BE168" s="12">
        <f>'6.1 Investissements'!BE183</f>
        <v>-27951.1</v>
      </c>
      <c r="BF168" s="12">
        <f>'6.1 Investissements'!BF183</f>
        <v>45320599.660000011</v>
      </c>
      <c r="BG168" s="12">
        <f>'6.1 Investissements'!BG183</f>
        <v>23354463.839999996</v>
      </c>
      <c r="BH168" s="12">
        <f>'6.1 Investissements'!BH183</f>
        <v>5580817.7000000011</v>
      </c>
      <c r="BI168" s="12">
        <f>'6.1 Investissements'!BI183</f>
        <v>16385318.120000001</v>
      </c>
    </row>
    <row r="169" spans="1:61" x14ac:dyDescent="0.25">
      <c r="M169" s="12"/>
    </row>
    <row r="170" spans="1:61" x14ac:dyDescent="0.25">
      <c r="D170" s="77" t="s">
        <v>236</v>
      </c>
      <c r="E170" s="16">
        <f>E65-E141</f>
        <v>0</v>
      </c>
      <c r="F170" s="16">
        <f t="shared" ref="F170:BI170" si="111">F65-F141</f>
        <v>0</v>
      </c>
      <c r="G170" s="16">
        <f t="shared" si="111"/>
        <v>0</v>
      </c>
      <c r="H170" s="16">
        <f t="shared" si="111"/>
        <v>0</v>
      </c>
      <c r="I170" s="78">
        <f t="shared" si="111"/>
        <v>0</v>
      </c>
      <c r="J170" s="16">
        <f t="shared" si="111"/>
        <v>0</v>
      </c>
      <c r="K170" s="78">
        <f t="shared" si="111"/>
        <v>0</v>
      </c>
      <c r="L170" s="16">
        <f t="shared" si="111"/>
        <v>2.0000000484287739E-2</v>
      </c>
      <c r="M170" s="16">
        <f t="shared" si="111"/>
        <v>0</v>
      </c>
      <c r="N170" s="16">
        <f t="shared" si="111"/>
        <v>-9074.49</v>
      </c>
      <c r="O170" s="16">
        <f t="shared" si="111"/>
        <v>0</v>
      </c>
      <c r="P170" s="78">
        <f t="shared" si="111"/>
        <v>0</v>
      </c>
      <c r="Q170" s="16">
        <f t="shared" si="111"/>
        <v>-500</v>
      </c>
      <c r="R170" s="16">
        <f t="shared" si="111"/>
        <v>0</v>
      </c>
      <c r="S170" s="16">
        <f t="shared" si="111"/>
        <v>0</v>
      </c>
      <c r="T170" s="16">
        <f t="shared" si="111"/>
        <v>0</v>
      </c>
      <c r="U170" s="16">
        <f t="shared" si="111"/>
        <v>0</v>
      </c>
      <c r="V170" s="16">
        <f t="shared" si="111"/>
        <v>0</v>
      </c>
      <c r="W170" s="16">
        <f t="shared" si="111"/>
        <v>0</v>
      </c>
      <c r="X170" s="16">
        <f t="shared" si="111"/>
        <v>0</v>
      </c>
      <c r="Y170" s="16">
        <f t="shared" si="111"/>
        <v>0</v>
      </c>
      <c r="Z170" s="16">
        <f t="shared" si="111"/>
        <v>0</v>
      </c>
      <c r="AA170" s="16">
        <f t="shared" si="111"/>
        <v>-194</v>
      </c>
      <c r="AB170" s="16">
        <f t="shared" si="111"/>
        <v>0</v>
      </c>
      <c r="AC170" s="16">
        <f t="shared" si="111"/>
        <v>0</v>
      </c>
      <c r="AD170" s="16">
        <f t="shared" si="111"/>
        <v>0</v>
      </c>
      <c r="AE170" s="16">
        <f t="shared" si="111"/>
        <v>0</v>
      </c>
      <c r="AF170" s="16">
        <f t="shared" si="111"/>
        <v>0</v>
      </c>
      <c r="AG170" s="16">
        <f t="shared" si="111"/>
        <v>0</v>
      </c>
      <c r="AH170" s="16">
        <f t="shared" si="111"/>
        <v>790.65000000000146</v>
      </c>
      <c r="AI170" s="16">
        <f t="shared" si="111"/>
        <v>0</v>
      </c>
      <c r="AJ170" s="16">
        <f t="shared" si="111"/>
        <v>0</v>
      </c>
      <c r="AK170" s="16">
        <f t="shared" si="111"/>
        <v>0</v>
      </c>
      <c r="AL170" s="16">
        <f t="shared" si="111"/>
        <v>0</v>
      </c>
      <c r="AM170" s="16">
        <f t="shared" si="111"/>
        <v>0</v>
      </c>
      <c r="AN170" s="16">
        <f t="shared" si="111"/>
        <v>0</v>
      </c>
      <c r="AO170" s="16">
        <f t="shared" si="111"/>
        <v>0</v>
      </c>
      <c r="AP170" s="16">
        <f t="shared" si="111"/>
        <v>0</v>
      </c>
      <c r="AQ170" s="16">
        <f t="shared" si="111"/>
        <v>0</v>
      </c>
      <c r="AR170" s="16">
        <f t="shared" si="111"/>
        <v>0</v>
      </c>
      <c r="AS170" s="16">
        <f t="shared" si="111"/>
        <v>0</v>
      </c>
      <c r="AT170" s="16">
        <f t="shared" si="111"/>
        <v>0</v>
      </c>
      <c r="AU170" s="16">
        <f t="shared" si="111"/>
        <v>0</v>
      </c>
      <c r="AV170" s="16">
        <f t="shared" si="111"/>
        <v>0</v>
      </c>
      <c r="AW170" s="16">
        <f t="shared" si="111"/>
        <v>0</v>
      </c>
      <c r="AX170" s="16">
        <f t="shared" si="111"/>
        <v>0</v>
      </c>
      <c r="AY170" s="16">
        <f t="shared" si="111"/>
        <v>0</v>
      </c>
      <c r="AZ170" s="16">
        <f t="shared" si="111"/>
        <v>0</v>
      </c>
      <c r="BA170" s="16">
        <f t="shared" si="111"/>
        <v>0</v>
      </c>
      <c r="BB170" s="16">
        <f t="shared" si="111"/>
        <v>0</v>
      </c>
      <c r="BC170" s="16">
        <f t="shared" si="111"/>
        <v>1651.9</v>
      </c>
      <c r="BD170" s="16">
        <f t="shared" si="111"/>
        <v>0</v>
      </c>
      <c r="BE170" s="16">
        <f t="shared" si="111"/>
        <v>0</v>
      </c>
      <c r="BF170" s="16">
        <f t="shared" si="111"/>
        <v>-7325.9200000008568</v>
      </c>
      <c r="BG170" s="16">
        <f t="shared" si="111"/>
        <v>-9574.4700000006706</v>
      </c>
      <c r="BH170" s="16">
        <f t="shared" si="111"/>
        <v>596.65000000002328</v>
      </c>
      <c r="BI170" s="16">
        <f t="shared" si="111"/>
        <v>1651.9000000000233</v>
      </c>
    </row>
    <row r="172" spans="1:61" x14ac:dyDescent="0.25">
      <c r="D172" s="7" t="s">
        <v>585</v>
      </c>
      <c r="E172" s="12">
        <f>E6+E16+E28+E40+E44+E54</f>
        <v>3681025.83</v>
      </c>
      <c r="F172" s="12">
        <f t="shared" ref="F172:BI172" si="112">F6+F16+F28+F40+F44+F54</f>
        <v>1106048.6499999999</v>
      </c>
      <c r="G172" s="12">
        <f t="shared" si="112"/>
        <v>1526836.16</v>
      </c>
      <c r="H172" s="12">
        <f t="shared" si="112"/>
        <v>1858090.23</v>
      </c>
      <c r="I172" s="12">
        <f t="shared" si="112"/>
        <v>15442283.449999999</v>
      </c>
      <c r="J172" s="12">
        <f t="shared" si="112"/>
        <v>13843072.329999998</v>
      </c>
      <c r="K172" s="12">
        <f t="shared" si="112"/>
        <v>10523380.189999999</v>
      </c>
      <c r="L172" s="12">
        <f t="shared" si="112"/>
        <v>102285865.87</v>
      </c>
      <c r="M172" s="12">
        <f t="shared" si="112"/>
        <v>7880495.2200000007</v>
      </c>
      <c r="N172" s="12">
        <f t="shared" si="112"/>
        <v>454152.48</v>
      </c>
      <c r="O172" s="12">
        <f t="shared" si="112"/>
        <v>26795845.98</v>
      </c>
      <c r="P172" s="12">
        <f t="shared" si="112"/>
        <v>1927670.59</v>
      </c>
      <c r="Q172" s="12">
        <f t="shared" si="112"/>
        <v>387976.62</v>
      </c>
      <c r="R172" s="12">
        <f t="shared" si="112"/>
        <v>1439592.8</v>
      </c>
      <c r="S172" s="12">
        <f t="shared" si="112"/>
        <v>1399291.31</v>
      </c>
      <c r="T172" s="12">
        <f t="shared" si="112"/>
        <v>3005576.54</v>
      </c>
      <c r="U172" s="12">
        <f t="shared" si="112"/>
        <v>1004800.8</v>
      </c>
      <c r="V172" s="12">
        <f t="shared" si="112"/>
        <v>2237621.98</v>
      </c>
      <c r="W172" s="12">
        <f t="shared" si="112"/>
        <v>11515165.42</v>
      </c>
      <c r="X172" s="12">
        <f t="shared" si="112"/>
        <v>1863941.8200000003</v>
      </c>
      <c r="Y172" s="12">
        <f t="shared" si="112"/>
        <v>6003252.3300000001</v>
      </c>
      <c r="Z172" s="12">
        <f t="shared" si="112"/>
        <v>12496699.140000001</v>
      </c>
      <c r="AA172" s="12">
        <f t="shared" si="112"/>
        <v>679023.28</v>
      </c>
      <c r="AB172" s="12">
        <f t="shared" si="112"/>
        <v>1037602.56</v>
      </c>
      <c r="AC172" s="12">
        <f t="shared" si="112"/>
        <v>2695599.46</v>
      </c>
      <c r="AD172" s="12">
        <f t="shared" si="112"/>
        <v>3567429.1500000004</v>
      </c>
      <c r="AE172" s="12">
        <f t="shared" si="112"/>
        <v>3042383.41</v>
      </c>
      <c r="AF172" s="12">
        <f t="shared" si="112"/>
        <v>3460233.95</v>
      </c>
      <c r="AG172" s="12">
        <f t="shared" si="112"/>
        <v>9111928.0399999991</v>
      </c>
      <c r="AH172" s="12">
        <f t="shared" si="112"/>
        <v>11428916.870000001</v>
      </c>
      <c r="AI172" s="12">
        <f t="shared" si="112"/>
        <v>1007399.4299999999</v>
      </c>
      <c r="AJ172" s="12">
        <f t="shared" si="112"/>
        <v>755236.55</v>
      </c>
      <c r="AK172" s="12">
        <f t="shared" si="112"/>
        <v>7470951.9499999993</v>
      </c>
      <c r="AL172" s="12">
        <f t="shared" si="112"/>
        <v>5130727.17</v>
      </c>
      <c r="AM172" s="12">
        <f t="shared" si="112"/>
        <v>5039306.34</v>
      </c>
      <c r="AN172" s="12">
        <f t="shared" si="112"/>
        <v>579506.12</v>
      </c>
      <c r="AO172" s="12">
        <f t="shared" si="112"/>
        <v>7883738.9199999999</v>
      </c>
      <c r="AP172" s="12">
        <f t="shared" si="112"/>
        <v>3537320.2199999997</v>
      </c>
      <c r="AQ172" s="12">
        <f t="shared" si="112"/>
        <v>2472379.11</v>
      </c>
      <c r="AR172" s="12">
        <f t="shared" si="112"/>
        <v>7130869.1399999997</v>
      </c>
      <c r="AS172" s="12">
        <f t="shared" si="112"/>
        <v>3226619.31</v>
      </c>
      <c r="AT172" s="12">
        <f t="shared" si="112"/>
        <v>4442646.71</v>
      </c>
      <c r="AU172" s="12">
        <f t="shared" si="112"/>
        <v>1734208.64</v>
      </c>
      <c r="AV172" s="12">
        <f t="shared" si="112"/>
        <v>10184473.170000002</v>
      </c>
      <c r="AW172" s="12">
        <f t="shared" si="112"/>
        <v>2968119.8899999997</v>
      </c>
      <c r="AX172" s="12">
        <f t="shared" si="112"/>
        <v>796430.87999999989</v>
      </c>
      <c r="AY172" s="12">
        <f t="shared" si="112"/>
        <v>1384048.21</v>
      </c>
      <c r="AZ172" s="12">
        <f t="shared" si="112"/>
        <v>6572096.5199999996</v>
      </c>
      <c r="BA172" s="12">
        <f t="shared" si="112"/>
        <v>1459782.77</v>
      </c>
      <c r="BB172" s="12">
        <f t="shared" si="112"/>
        <v>5454145.8300000001</v>
      </c>
      <c r="BC172" s="12">
        <f t="shared" si="112"/>
        <v>791524.97</v>
      </c>
      <c r="BD172" s="12">
        <f t="shared" si="112"/>
        <v>40617590.039999999</v>
      </c>
      <c r="BE172" s="12">
        <f t="shared" si="112"/>
        <v>2462404.2200000002</v>
      </c>
      <c r="BF172" s="12">
        <f t="shared" si="112"/>
        <v>386803328.56999999</v>
      </c>
      <c r="BG172" s="12">
        <f t="shared" si="112"/>
        <v>208314792.44999999</v>
      </c>
      <c r="BH172" s="12">
        <f t="shared" si="112"/>
        <v>57149645.989999995</v>
      </c>
      <c r="BI172" s="12">
        <f t="shared" si="112"/>
        <v>121338890.12999998</v>
      </c>
    </row>
    <row r="173" spans="1:61" x14ac:dyDescent="0.25">
      <c r="D173" s="7" t="s">
        <v>586</v>
      </c>
      <c r="E173" s="12">
        <f>E77+E83+E89+E100+E118+E122+E129</f>
        <v>3785956.52</v>
      </c>
      <c r="F173" s="12">
        <f t="shared" ref="F173:BI173" si="113">F77+F83+F89+F100+F118+F122+F129</f>
        <v>1000096.22</v>
      </c>
      <c r="G173" s="12">
        <f t="shared" si="113"/>
        <v>1635572.7300000004</v>
      </c>
      <c r="H173" s="12">
        <f t="shared" si="113"/>
        <v>1749260.97</v>
      </c>
      <c r="I173" s="12">
        <f t="shared" si="113"/>
        <v>15788812.150000002</v>
      </c>
      <c r="J173" s="12">
        <f t="shared" si="113"/>
        <v>13892245.32</v>
      </c>
      <c r="K173" s="12">
        <f t="shared" si="113"/>
        <v>11377193.129999999</v>
      </c>
      <c r="L173" s="12">
        <f t="shared" si="113"/>
        <v>97508477.810000002</v>
      </c>
      <c r="M173" s="12">
        <f t="shared" si="113"/>
        <v>7724825.0899999999</v>
      </c>
      <c r="N173" s="12">
        <f t="shared" si="113"/>
        <v>433746.19</v>
      </c>
      <c r="O173" s="12">
        <f t="shared" si="113"/>
        <v>27922484.770000003</v>
      </c>
      <c r="P173" s="12">
        <f t="shared" si="113"/>
        <v>1813767.8399999999</v>
      </c>
      <c r="Q173" s="12">
        <f t="shared" si="113"/>
        <v>404400.80000000005</v>
      </c>
      <c r="R173" s="12">
        <f t="shared" si="113"/>
        <v>1516426.43</v>
      </c>
      <c r="S173" s="12">
        <f t="shared" si="113"/>
        <v>1374756.46</v>
      </c>
      <c r="T173" s="12">
        <f t="shared" si="113"/>
        <v>3320974.8200000003</v>
      </c>
      <c r="U173" s="12">
        <f t="shared" si="113"/>
        <v>893849.4</v>
      </c>
      <c r="V173" s="12">
        <f t="shared" si="113"/>
        <v>2178463.6100000003</v>
      </c>
      <c r="W173" s="12">
        <f t="shared" si="113"/>
        <v>12097290.98</v>
      </c>
      <c r="X173" s="12">
        <f t="shared" si="113"/>
        <v>1928816.0999999996</v>
      </c>
      <c r="Y173" s="12">
        <f t="shared" si="113"/>
        <v>6900525.3899999997</v>
      </c>
      <c r="Z173" s="12">
        <f t="shared" si="113"/>
        <v>15292877.799999999</v>
      </c>
      <c r="AA173" s="12">
        <f t="shared" si="113"/>
        <v>535887.65</v>
      </c>
      <c r="AB173" s="12">
        <f t="shared" si="113"/>
        <v>1094233.8700000001</v>
      </c>
      <c r="AC173" s="12">
        <f t="shared" si="113"/>
        <v>2687191.2</v>
      </c>
      <c r="AD173" s="12">
        <f t="shared" si="113"/>
        <v>3507308.6100000003</v>
      </c>
      <c r="AE173" s="12">
        <f t="shared" si="113"/>
        <v>2785377.27</v>
      </c>
      <c r="AF173" s="12">
        <f t="shared" si="113"/>
        <v>3296072.09</v>
      </c>
      <c r="AG173" s="12">
        <f t="shared" si="113"/>
        <v>10097842.029999997</v>
      </c>
      <c r="AH173" s="12">
        <f t="shared" si="113"/>
        <v>12130678.990000002</v>
      </c>
      <c r="AI173" s="12">
        <f t="shared" si="113"/>
        <v>1089574.05</v>
      </c>
      <c r="AJ173" s="12">
        <f t="shared" si="113"/>
        <v>795524.59</v>
      </c>
      <c r="AK173" s="12">
        <f t="shared" si="113"/>
        <v>8468327.9800000004</v>
      </c>
      <c r="AL173" s="12">
        <f t="shared" si="113"/>
        <v>4899177.17</v>
      </c>
      <c r="AM173" s="12">
        <f t="shared" si="113"/>
        <v>4995249.4399999995</v>
      </c>
      <c r="AN173" s="12">
        <f t="shared" si="113"/>
        <v>573005.6</v>
      </c>
      <c r="AO173" s="12">
        <f t="shared" si="113"/>
        <v>9858058.6500000004</v>
      </c>
      <c r="AP173" s="12">
        <f t="shared" si="113"/>
        <v>3355443.91</v>
      </c>
      <c r="AQ173" s="12">
        <f t="shared" si="113"/>
        <v>2210057.34</v>
      </c>
      <c r="AR173" s="12">
        <f t="shared" si="113"/>
        <v>6805063.4700000007</v>
      </c>
      <c r="AS173" s="12">
        <f t="shared" si="113"/>
        <v>3020693.65</v>
      </c>
      <c r="AT173" s="12">
        <f t="shared" si="113"/>
        <v>4302851.9899999993</v>
      </c>
      <c r="AU173" s="12">
        <f t="shared" si="113"/>
        <v>1439599.12</v>
      </c>
      <c r="AV173" s="12">
        <f t="shared" si="113"/>
        <v>10485647.359999999</v>
      </c>
      <c r="AW173" s="12">
        <f t="shared" si="113"/>
        <v>3229397.79</v>
      </c>
      <c r="AX173" s="12">
        <f t="shared" si="113"/>
        <v>738736.0199999999</v>
      </c>
      <c r="AY173" s="12">
        <f t="shared" si="113"/>
        <v>1248699.54</v>
      </c>
      <c r="AZ173" s="12">
        <f t="shared" si="113"/>
        <v>6555006.5499999998</v>
      </c>
      <c r="BA173" s="12">
        <f t="shared" si="113"/>
        <v>1568546.73</v>
      </c>
      <c r="BB173" s="12">
        <f t="shared" si="113"/>
        <v>5642967.6400000006</v>
      </c>
      <c r="BC173" s="12">
        <f t="shared" si="113"/>
        <v>738488.41</v>
      </c>
      <c r="BD173" s="12">
        <f t="shared" si="113"/>
        <v>39596977.840000004</v>
      </c>
      <c r="BE173" s="12">
        <f t="shared" si="113"/>
        <v>2475376.71</v>
      </c>
      <c r="BF173" s="12">
        <f t="shared" si="113"/>
        <v>390767883.79000002</v>
      </c>
      <c r="BG173" s="12">
        <f t="shared" si="113"/>
        <v>206418601.23999998</v>
      </c>
      <c r="BH173" s="12">
        <f t="shared" si="113"/>
        <v>62141909.640000001</v>
      </c>
      <c r="BI173" s="12">
        <f t="shared" si="113"/>
        <v>122207372.91000001</v>
      </c>
    </row>
    <row r="175" spans="1:61" x14ac:dyDescent="0.25">
      <c r="L175" s="12"/>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59999389629810485"/>
  </sheetPr>
  <dimension ref="A1:B34"/>
  <sheetViews>
    <sheetView topLeftCell="A4" zoomScale="115" zoomScaleNormal="115" workbookViewId="0"/>
  </sheetViews>
  <sheetFormatPr baseColWidth="10" defaultColWidth="11.44140625" defaultRowHeight="14.4" x14ac:dyDescent="0.3"/>
  <cols>
    <col min="1" max="1" width="57" customWidth="1"/>
    <col min="2" max="2" width="22.88671875" customWidth="1"/>
  </cols>
  <sheetData>
    <row r="1" spans="1:2" x14ac:dyDescent="0.3">
      <c r="A1" s="4" t="s">
        <v>60</v>
      </c>
      <c r="B1" s="2"/>
    </row>
    <row r="2" spans="1:2" x14ac:dyDescent="0.3">
      <c r="A2" s="4" t="s">
        <v>766</v>
      </c>
      <c r="B2" s="2">
        <f>'Tableau fonctionnelle'!C8</f>
        <v>33571953.769999996</v>
      </c>
    </row>
    <row r="3" spans="1:2" x14ac:dyDescent="0.3">
      <c r="A3" s="4" t="s">
        <v>767</v>
      </c>
      <c r="B3" s="2">
        <f>'Tableau fonctionnelle'!C12</f>
        <v>11288631.559999999</v>
      </c>
    </row>
    <row r="4" spans="1:2" x14ac:dyDescent="0.3">
      <c r="A4" s="4" t="s">
        <v>768</v>
      </c>
      <c r="B4" s="2">
        <f>'Tableau fonctionnelle'!C16</f>
        <v>104894300.06999999</v>
      </c>
    </row>
    <row r="5" spans="1:2" x14ac:dyDescent="0.3">
      <c r="A5" s="4" t="s">
        <v>769</v>
      </c>
      <c r="B5" s="2">
        <f>'Tableau fonctionnelle'!C20</f>
        <v>16624969.9</v>
      </c>
    </row>
    <row r="6" spans="1:2" x14ac:dyDescent="0.3">
      <c r="A6" s="4" t="s">
        <v>770</v>
      </c>
      <c r="B6" s="2">
        <f>'Tableau fonctionnelle'!C24</f>
        <v>616789.23000000021</v>
      </c>
    </row>
    <row r="7" spans="1:2" x14ac:dyDescent="0.3">
      <c r="A7" s="4" t="s">
        <v>771</v>
      </c>
      <c r="B7" s="2">
        <f>'Tableau fonctionnelle'!C28</f>
        <v>98179837.11999999</v>
      </c>
    </row>
    <row r="8" spans="1:2" x14ac:dyDescent="0.3">
      <c r="A8" s="4" t="s">
        <v>772</v>
      </c>
      <c r="B8" s="2">
        <f>'Tableau fonctionnelle'!C32</f>
        <v>29028845.610000007</v>
      </c>
    </row>
    <row r="9" spans="1:2" x14ac:dyDescent="0.3">
      <c r="A9" s="4" t="s">
        <v>773</v>
      </c>
      <c r="B9" s="2">
        <f>'Tableau fonctionnelle'!C36</f>
        <v>43610839.490000002</v>
      </c>
    </row>
    <row r="10" spans="1:2" x14ac:dyDescent="0.3">
      <c r="A10" s="4" t="s">
        <v>774</v>
      </c>
      <c r="B10" s="2">
        <f>'Tableau fonctionnelle'!C40</f>
        <v>49458360.010000028</v>
      </c>
    </row>
    <row r="11" spans="1:2" x14ac:dyDescent="0.3">
      <c r="A11" s="4" t="s">
        <v>775</v>
      </c>
      <c r="B11" s="2">
        <f>'Tableau fonctionnelle'!C44</f>
        <v>47525776.789999999</v>
      </c>
    </row>
    <row r="12" spans="1:2" x14ac:dyDescent="0.3">
      <c r="B12" s="2"/>
    </row>
    <row r="13" spans="1:2" x14ac:dyDescent="0.3">
      <c r="A13" s="4" t="s">
        <v>136</v>
      </c>
      <c r="B13" s="2"/>
    </row>
    <row r="14" spans="1:2" x14ac:dyDescent="0.3">
      <c r="A14" s="4" t="s">
        <v>766</v>
      </c>
      <c r="B14" s="2">
        <f>'Tableau fonctionnelle'!C9</f>
        <v>3811535.2200000011</v>
      </c>
    </row>
    <row r="15" spans="1:2" x14ac:dyDescent="0.3">
      <c r="A15" s="4" t="s">
        <v>767</v>
      </c>
      <c r="B15" s="2">
        <f>'Tableau fonctionnelle'!C13</f>
        <v>7971719.9600000018</v>
      </c>
    </row>
    <row r="16" spans="1:2" x14ac:dyDescent="0.3">
      <c r="A16" s="4" t="s">
        <v>768</v>
      </c>
      <c r="B16" s="2">
        <f>'Tableau fonctionnelle'!C17</f>
        <v>6767821.8300000001</v>
      </c>
    </row>
    <row r="17" spans="1:2" x14ac:dyDescent="0.3">
      <c r="A17" s="4" t="s">
        <v>769</v>
      </c>
      <c r="B17" s="2">
        <f>'Tableau fonctionnelle'!C21</f>
        <v>1922216.8099999998</v>
      </c>
    </row>
    <row r="18" spans="1:2" x14ac:dyDescent="0.3">
      <c r="A18" s="4" t="s">
        <v>770</v>
      </c>
      <c r="B18" s="2">
        <f>'Tableau fonctionnelle'!C25</f>
        <v>30655.649999999998</v>
      </c>
    </row>
    <row r="19" spans="1:2" x14ac:dyDescent="0.3">
      <c r="A19" s="4" t="s">
        <v>771</v>
      </c>
      <c r="B19" s="2">
        <f>'Tableau fonctionnelle'!C29</f>
        <v>37696897.569999985</v>
      </c>
    </row>
    <row r="20" spans="1:2" x14ac:dyDescent="0.3">
      <c r="A20" s="4" t="s">
        <v>772</v>
      </c>
      <c r="B20" s="2">
        <f>'Tableau fonctionnelle'!C33</f>
        <v>8271763.3600000003</v>
      </c>
    </row>
    <row r="21" spans="1:2" x14ac:dyDescent="0.3">
      <c r="A21" s="4" t="s">
        <v>773</v>
      </c>
      <c r="B21" s="2">
        <f>'Tableau fonctionnelle'!C37</f>
        <v>48768581.910000004</v>
      </c>
    </row>
    <row r="22" spans="1:2" x14ac:dyDescent="0.3">
      <c r="A22" s="4" t="s">
        <v>774</v>
      </c>
      <c r="B22" s="2">
        <f>'Tableau fonctionnelle'!C41</f>
        <v>49080174.009999998</v>
      </c>
    </row>
    <row r="23" spans="1:2" x14ac:dyDescent="0.3">
      <c r="A23" s="4" t="s">
        <v>775</v>
      </c>
      <c r="B23" s="2">
        <f>'Tableau fonctionnelle'!C45</f>
        <v>272954684.68000001</v>
      </c>
    </row>
    <row r="24" spans="1:2" x14ac:dyDescent="0.3">
      <c r="B24" s="2"/>
    </row>
    <row r="25" spans="1:2" x14ac:dyDescent="0.3">
      <c r="B25" s="2"/>
    </row>
    <row r="26" spans="1:2" x14ac:dyDescent="0.3">
      <c r="B26" s="2"/>
    </row>
    <row r="27" spans="1:2" x14ac:dyDescent="0.3">
      <c r="B27" s="2"/>
    </row>
    <row r="28" spans="1:2" x14ac:dyDescent="0.3">
      <c r="B28" s="2"/>
    </row>
    <row r="29" spans="1:2" x14ac:dyDescent="0.3">
      <c r="B29" s="2"/>
    </row>
    <row r="30" spans="1:2" x14ac:dyDescent="0.3">
      <c r="B30" s="2"/>
    </row>
    <row r="31" spans="1:2" x14ac:dyDescent="0.3">
      <c r="B31" s="2"/>
    </row>
    <row r="32" spans="1:2" x14ac:dyDescent="0.3">
      <c r="B32" s="2"/>
    </row>
    <row r="33" spans="2:2" x14ac:dyDescent="0.3">
      <c r="B33" s="2"/>
    </row>
    <row r="34" spans="2:2" x14ac:dyDescent="0.3">
      <c r="B34" s="2"/>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59999389629810485"/>
  </sheetPr>
  <dimension ref="A2:BK231"/>
  <sheetViews>
    <sheetView workbookViewId="0">
      <pane xSplit="5" ySplit="4" topLeftCell="F5" activePane="bottomRight" state="frozen"/>
      <selection pane="topRight" activeCell="E1" sqref="E1"/>
      <selection pane="bottomLeft" activeCell="A4" sqref="A4"/>
      <selection pane="bottomRight" activeCell="F5" sqref="F5"/>
    </sheetView>
  </sheetViews>
  <sheetFormatPr baseColWidth="10" defaultColWidth="11.44140625" defaultRowHeight="13.8" x14ac:dyDescent="0.25"/>
  <cols>
    <col min="1" max="3" width="4.6640625" style="7" customWidth="1"/>
    <col min="4" max="4" width="9" style="7" customWidth="1"/>
    <col min="5" max="5" width="63.5546875" style="7" customWidth="1"/>
    <col min="6" max="12" width="16.33203125" style="7" customWidth="1"/>
    <col min="13" max="13" width="17" style="7" customWidth="1"/>
    <col min="14" max="58" width="16.33203125" style="7" customWidth="1"/>
    <col min="59" max="62" width="17.88671875" style="7" customWidth="1"/>
    <col min="63" max="63" width="12.88671875" style="7" bestFit="1" customWidth="1"/>
    <col min="64" max="16384" width="11.44140625" style="7"/>
  </cols>
  <sheetData>
    <row r="2" spans="1:62" ht="21" x14ac:dyDescent="0.4">
      <c r="A2" s="79" t="s">
        <v>824</v>
      </c>
      <c r="B2" s="6"/>
      <c r="C2" s="6"/>
      <c r="D2" s="6"/>
      <c r="E2" s="6"/>
    </row>
    <row r="3" spans="1:62" x14ac:dyDescent="0.25">
      <c r="A3" s="7" t="s">
        <v>781</v>
      </c>
      <c r="F3" s="8">
        <f>'Base de données pop.'!C2</f>
        <v>951</v>
      </c>
      <c r="G3" s="8">
        <f>'Base de données pop.'!C3</f>
        <v>258</v>
      </c>
      <c r="H3" s="8">
        <f>'Base de données pop.'!C4</f>
        <v>471</v>
      </c>
      <c r="I3" s="8">
        <f>'Base de données pop.'!C5</f>
        <v>441</v>
      </c>
      <c r="J3" s="8">
        <f>'Base de données pop.'!C6</f>
        <v>3686</v>
      </c>
      <c r="K3" s="8">
        <f>'Base de données pop.'!C7</f>
        <v>3313</v>
      </c>
      <c r="L3" s="8">
        <f>'Base de données pop.'!C8</f>
        <v>2654</v>
      </c>
      <c r="M3" s="8">
        <f>'Base de données pop.'!C9</f>
        <v>12636</v>
      </c>
      <c r="N3" s="8">
        <f>'Base de données pop.'!C10</f>
        <v>1360</v>
      </c>
      <c r="O3" s="8">
        <f>'Base de données pop.'!C11</f>
        <v>112</v>
      </c>
      <c r="P3" s="8">
        <f>'Base de données pop.'!C12</f>
        <v>7319</v>
      </c>
      <c r="Q3" s="8">
        <f>'Base de données pop.'!C13</f>
        <v>522</v>
      </c>
      <c r="R3" s="8">
        <f>'Base de données pop.'!C14</f>
        <v>106</v>
      </c>
      <c r="S3" s="8">
        <f>'Base de données pop.'!C15</f>
        <v>425</v>
      </c>
      <c r="T3" s="8">
        <f>'Base de données pop.'!C16</f>
        <v>350</v>
      </c>
      <c r="U3" s="8">
        <f>'Base de données pop.'!C17</f>
        <v>733</v>
      </c>
      <c r="V3" s="8">
        <f>'Base de données pop.'!C18</f>
        <v>270</v>
      </c>
      <c r="W3" s="8">
        <f>'Base de données pop.'!C19</f>
        <v>417</v>
      </c>
      <c r="X3" s="8">
        <f>'Base de données pop.'!C20</f>
        <v>3285</v>
      </c>
      <c r="Y3" s="8">
        <f>'Base de données pop.'!C21</f>
        <v>308</v>
      </c>
      <c r="Z3" s="8">
        <f>'Base de données pop.'!C22</f>
        <v>1258</v>
      </c>
      <c r="AA3" s="8">
        <f>'Base de données pop.'!C23</f>
        <v>1524</v>
      </c>
      <c r="AB3" s="8">
        <f>'Base de données pop.'!C24</f>
        <v>87</v>
      </c>
      <c r="AC3" s="8">
        <f>'Base de données pop.'!C25</f>
        <v>156</v>
      </c>
      <c r="AD3" s="8">
        <f>'Base de données pop.'!C26</f>
        <v>510</v>
      </c>
      <c r="AE3" s="8">
        <f>'Base de données pop.'!C27</f>
        <v>705</v>
      </c>
      <c r="AF3" s="8">
        <f>'Base de données pop.'!C28</f>
        <v>551</v>
      </c>
      <c r="AG3" s="8">
        <f>'Base de données pop.'!C29</f>
        <v>511</v>
      </c>
      <c r="AH3" s="8">
        <f>'Base de données pop.'!C30</f>
        <v>1902</v>
      </c>
      <c r="AI3" s="8">
        <f>'Base de données pop.'!C31</f>
        <v>2575</v>
      </c>
      <c r="AJ3" s="8">
        <f>'Base de données pop.'!C32</f>
        <v>228</v>
      </c>
      <c r="AK3" s="8">
        <f>'Base de données pop.'!C33</f>
        <v>118</v>
      </c>
      <c r="AL3" s="8">
        <f>'Base de données pop.'!C34</f>
        <v>1882</v>
      </c>
      <c r="AM3" s="8">
        <f>'Base de données pop.'!C35</f>
        <v>1114</v>
      </c>
      <c r="AN3" s="8">
        <f>'Base de données pop.'!C36</f>
        <v>1217</v>
      </c>
      <c r="AO3" s="8">
        <f>'Base de données pop.'!C37</f>
        <v>117</v>
      </c>
      <c r="AP3" s="8">
        <f>'Base de données pop.'!C38</f>
        <v>1205</v>
      </c>
      <c r="AQ3" s="8">
        <f>'Base de données pop.'!C39</f>
        <v>625</v>
      </c>
      <c r="AR3" s="8">
        <f>'Base de données pop.'!C40</f>
        <v>631</v>
      </c>
      <c r="AS3" s="8">
        <f>'Base de données pop.'!C41</f>
        <v>1275</v>
      </c>
      <c r="AT3" s="8">
        <f>'Base de données pop.'!C42</f>
        <v>718</v>
      </c>
      <c r="AU3" s="8">
        <f>'Base de données pop.'!C43</f>
        <v>1018</v>
      </c>
      <c r="AV3" s="8">
        <f>'Base de données pop.'!C44</f>
        <v>293</v>
      </c>
      <c r="AW3" s="8">
        <f>'Base de données pop.'!C45</f>
        <v>2435</v>
      </c>
      <c r="AX3" s="8">
        <f>'Base de données pop.'!C46</f>
        <v>786</v>
      </c>
      <c r="AY3" s="8">
        <f>'Base de données pop.'!C47</f>
        <v>184</v>
      </c>
      <c r="AZ3" s="8">
        <f>'Base de données pop.'!C48</f>
        <v>333</v>
      </c>
      <c r="BA3" s="8">
        <f>'Base de données pop.'!C49</f>
        <v>1674</v>
      </c>
      <c r="BB3" s="8">
        <f>'Base de données pop.'!C50</f>
        <v>391</v>
      </c>
      <c r="BC3" s="8">
        <f>'Base de données pop.'!C51</f>
        <v>1052</v>
      </c>
      <c r="BD3" s="8">
        <f>'Base de données pop.'!C52</f>
        <v>186</v>
      </c>
      <c r="BE3" s="8">
        <f>'Base de données pop.'!C53</f>
        <v>6441</v>
      </c>
      <c r="BF3" s="8">
        <f>'Base de données pop.'!C54</f>
        <v>546</v>
      </c>
      <c r="BG3" s="8">
        <f>SUM(F3:BF3)</f>
        <v>73865</v>
      </c>
      <c r="BH3" s="8">
        <f>SUM(F3:X3)</f>
        <v>39309</v>
      </c>
      <c r="BI3" s="8">
        <f>SUM(Y3:AK3)</f>
        <v>10433</v>
      </c>
      <c r="BJ3" s="8">
        <f>SUM(AL3:BF3)</f>
        <v>24123</v>
      </c>
    </row>
    <row r="4" spans="1:62" x14ac:dyDescent="0.25">
      <c r="F4" s="81" t="s">
        <v>56</v>
      </c>
      <c r="G4" s="81" t="s">
        <v>18</v>
      </c>
      <c r="H4" s="81" t="s">
        <v>57</v>
      </c>
      <c r="I4" s="81" t="s">
        <v>53</v>
      </c>
      <c r="J4" s="81" t="s">
        <v>33</v>
      </c>
      <c r="K4" s="81" t="s">
        <v>10</v>
      </c>
      <c r="L4" s="81" t="s">
        <v>15</v>
      </c>
      <c r="M4" s="81" t="s">
        <v>28</v>
      </c>
      <c r="N4" s="81" t="s">
        <v>42</v>
      </c>
      <c r="O4" s="81" t="s">
        <v>23</v>
      </c>
      <c r="P4" s="81" t="s">
        <v>22</v>
      </c>
      <c r="Q4" s="81" t="s">
        <v>13</v>
      </c>
      <c r="R4" s="81" t="s">
        <v>17</v>
      </c>
      <c r="S4" s="81" t="s">
        <v>43</v>
      </c>
      <c r="T4" s="81" t="s">
        <v>40</v>
      </c>
      <c r="U4" s="81" t="s">
        <v>31</v>
      </c>
      <c r="V4" s="81" t="s">
        <v>12</v>
      </c>
      <c r="W4" s="81" t="s">
        <v>59</v>
      </c>
      <c r="X4" s="81" t="s">
        <v>27</v>
      </c>
      <c r="Y4" s="81" t="s">
        <v>30</v>
      </c>
      <c r="Z4" s="81" t="s">
        <v>20</v>
      </c>
      <c r="AA4" s="81" t="s">
        <v>45</v>
      </c>
      <c r="AB4" s="81" t="s">
        <v>71</v>
      </c>
      <c r="AC4" s="81" t="s">
        <v>39</v>
      </c>
      <c r="AD4" s="81" t="s">
        <v>19</v>
      </c>
      <c r="AE4" s="81" t="s">
        <v>41</v>
      </c>
      <c r="AF4" s="81" t="s">
        <v>36</v>
      </c>
      <c r="AG4" s="81" t="s">
        <v>7</v>
      </c>
      <c r="AH4" s="81" t="s">
        <v>55</v>
      </c>
      <c r="AI4" s="81" t="s">
        <v>21</v>
      </c>
      <c r="AJ4" s="81" t="s">
        <v>6</v>
      </c>
      <c r="AK4" s="81" t="s">
        <v>34</v>
      </c>
      <c r="AL4" s="81" t="s">
        <v>52</v>
      </c>
      <c r="AM4" s="81" t="s">
        <v>14</v>
      </c>
      <c r="AN4" s="81" t="s">
        <v>32</v>
      </c>
      <c r="AO4" s="81" t="s">
        <v>29</v>
      </c>
      <c r="AP4" s="81" t="s">
        <v>26</v>
      </c>
      <c r="AQ4" s="81" t="s">
        <v>48</v>
      </c>
      <c r="AR4" s="81" t="s">
        <v>44</v>
      </c>
      <c r="AS4" s="81" t="s">
        <v>37</v>
      </c>
      <c r="AT4" s="81" t="s">
        <v>51</v>
      </c>
      <c r="AU4" s="81" t="s">
        <v>8</v>
      </c>
      <c r="AV4" s="81" t="s">
        <v>24</v>
      </c>
      <c r="AW4" s="81" t="s">
        <v>9</v>
      </c>
      <c r="AX4" s="81" t="s">
        <v>62</v>
      </c>
      <c r="AY4" s="81" t="s">
        <v>46</v>
      </c>
      <c r="AZ4" s="81" t="s">
        <v>35</v>
      </c>
      <c r="BA4" s="81" t="s">
        <v>49</v>
      </c>
      <c r="BB4" s="81" t="s">
        <v>47</v>
      </c>
      <c r="BC4" s="81" t="s">
        <v>58</v>
      </c>
      <c r="BD4" s="81" t="s">
        <v>50</v>
      </c>
      <c r="BE4" s="81" t="s">
        <v>16</v>
      </c>
      <c r="BF4" s="81" t="s">
        <v>25</v>
      </c>
      <c r="BG4" s="81" t="s">
        <v>65</v>
      </c>
      <c r="BH4" s="81" t="s">
        <v>28</v>
      </c>
      <c r="BI4" s="81" t="s">
        <v>64</v>
      </c>
      <c r="BJ4" s="81" t="s">
        <v>16</v>
      </c>
    </row>
    <row r="5" spans="1:62" ht="21" x14ac:dyDescent="0.4">
      <c r="A5" s="102">
        <v>1</v>
      </c>
      <c r="B5" s="102"/>
      <c r="C5" s="102"/>
      <c r="D5" s="102"/>
      <c r="E5" s="102" t="s">
        <v>238</v>
      </c>
      <c r="F5" s="103">
        <f>F7+F15+F25+F31+F41+F48+F54+F62+F69+F80+F86+F97+F108</f>
        <v>15351471.699999997</v>
      </c>
      <c r="G5" s="103">
        <f t="shared" ref="G5:BF5" si="0">G7+G15+G25+G31+G41+G48+G54+G62+G69+G80+G86+G97+G108</f>
        <v>2857236.17</v>
      </c>
      <c r="H5" s="103">
        <f t="shared" si="0"/>
        <v>6188463.8300000001</v>
      </c>
      <c r="I5" s="103">
        <f t="shared" si="0"/>
        <v>7036933.2999999998</v>
      </c>
      <c r="J5" s="103">
        <f t="shared" si="0"/>
        <v>38243525.109999999</v>
      </c>
      <c r="K5" s="103">
        <f t="shared" si="0"/>
        <v>32393668.549999997</v>
      </c>
      <c r="L5" s="103">
        <f t="shared" si="0"/>
        <v>22690900.719999999</v>
      </c>
      <c r="M5" s="103">
        <f t="shared" si="0"/>
        <v>199961273.16</v>
      </c>
      <c r="N5" s="103">
        <f t="shared" si="0"/>
        <v>11629026.99</v>
      </c>
      <c r="O5" s="103">
        <f t="shared" si="0"/>
        <v>1629566.81</v>
      </c>
      <c r="P5" s="103">
        <f t="shared" si="0"/>
        <v>59034862.690000013</v>
      </c>
      <c r="Q5" s="103">
        <f t="shared" si="0"/>
        <v>4165762.4299999997</v>
      </c>
      <c r="R5" s="103">
        <f t="shared" si="0"/>
        <v>782003.1100000001</v>
      </c>
      <c r="S5" s="103">
        <f t="shared" si="0"/>
        <v>4004983.25</v>
      </c>
      <c r="T5" s="103">
        <f t="shared" si="0"/>
        <v>5359003.9800000004</v>
      </c>
      <c r="U5" s="103">
        <f t="shared" si="0"/>
        <v>8963799.9600000009</v>
      </c>
      <c r="V5" s="103">
        <f t="shared" si="0"/>
        <v>2074760.85</v>
      </c>
      <c r="W5" s="103">
        <f t="shared" si="0"/>
        <v>4548523.4300000006</v>
      </c>
      <c r="X5" s="103">
        <f t="shared" si="0"/>
        <v>23572572.589999996</v>
      </c>
      <c r="Y5" s="103">
        <f t="shared" si="0"/>
        <v>3928455.82</v>
      </c>
      <c r="Z5" s="103">
        <f t="shared" si="0"/>
        <v>14906642.15</v>
      </c>
      <c r="AA5" s="103">
        <f t="shared" si="0"/>
        <v>33084882.600000001</v>
      </c>
      <c r="AB5" s="103">
        <f t="shared" si="0"/>
        <v>1816922.9</v>
      </c>
      <c r="AC5" s="103">
        <f t="shared" si="0"/>
        <v>3097266.86</v>
      </c>
      <c r="AD5" s="103">
        <f t="shared" si="0"/>
        <v>6482861.1499999994</v>
      </c>
      <c r="AE5" s="103">
        <f t="shared" si="0"/>
        <v>9794411.2100000009</v>
      </c>
      <c r="AF5" s="103">
        <f t="shared" si="0"/>
        <v>6906971.9199999999</v>
      </c>
      <c r="AG5" s="103">
        <f t="shared" si="0"/>
        <v>9417073.4000000004</v>
      </c>
      <c r="AH5" s="103">
        <f t="shared" si="0"/>
        <v>16570878.16</v>
      </c>
      <c r="AI5" s="103">
        <f t="shared" si="0"/>
        <v>27685699.699999999</v>
      </c>
      <c r="AJ5" s="103">
        <f t="shared" si="0"/>
        <v>3910910.17</v>
      </c>
      <c r="AK5" s="103">
        <f t="shared" si="0"/>
        <v>3178651.16</v>
      </c>
      <c r="AL5" s="103">
        <f t="shared" si="0"/>
        <v>23583016.650000002</v>
      </c>
      <c r="AM5" s="103">
        <f t="shared" si="0"/>
        <v>15554837.059999999</v>
      </c>
      <c r="AN5" s="103">
        <f t="shared" si="0"/>
        <v>15693458.239999998</v>
      </c>
      <c r="AO5" s="103">
        <f t="shared" si="0"/>
        <v>2776977.85</v>
      </c>
      <c r="AP5" s="103">
        <f t="shared" si="0"/>
        <v>32344669.979999997</v>
      </c>
      <c r="AQ5" s="103">
        <f t="shared" si="0"/>
        <v>8074767.4399999995</v>
      </c>
      <c r="AR5" s="103">
        <f t="shared" si="0"/>
        <v>7196995.9099999992</v>
      </c>
      <c r="AS5" s="103">
        <f t="shared" si="0"/>
        <v>21198451.720000003</v>
      </c>
      <c r="AT5" s="103">
        <f t="shared" si="0"/>
        <v>7758416.080000001</v>
      </c>
      <c r="AU5" s="103">
        <f t="shared" si="0"/>
        <v>11361991.600000001</v>
      </c>
      <c r="AV5" s="103">
        <f t="shared" si="0"/>
        <v>5420580.8200000003</v>
      </c>
      <c r="AW5" s="103">
        <f t="shared" si="0"/>
        <v>21906291.82</v>
      </c>
      <c r="AX5" s="103">
        <f t="shared" si="0"/>
        <v>9263098.4100000001</v>
      </c>
      <c r="AY5" s="103">
        <f t="shared" si="0"/>
        <v>1464683.16</v>
      </c>
      <c r="AZ5" s="103">
        <f t="shared" si="0"/>
        <v>3598958.94</v>
      </c>
      <c r="BA5" s="103">
        <f t="shared" si="0"/>
        <v>23126386.780000001</v>
      </c>
      <c r="BB5" s="103">
        <f t="shared" si="0"/>
        <v>6516596.6699999999</v>
      </c>
      <c r="BC5" s="103">
        <f t="shared" si="0"/>
        <v>16415270.009999998</v>
      </c>
      <c r="BD5" s="103">
        <f t="shared" si="0"/>
        <v>1775646.74</v>
      </c>
      <c r="BE5" s="103">
        <f t="shared" si="0"/>
        <v>83044399.940000013</v>
      </c>
      <c r="BF5" s="103">
        <f t="shared" si="0"/>
        <v>5839910.9000000004</v>
      </c>
      <c r="BG5" s="103">
        <f>SUM(F5:BF5)</f>
        <v>915185372.55000007</v>
      </c>
      <c r="BH5" s="103">
        <f>SUM(F5:X5)</f>
        <v>450488338.63</v>
      </c>
      <c r="BI5" s="103">
        <f>SUM(Y5:AK5)</f>
        <v>140781627.19999999</v>
      </c>
      <c r="BJ5" s="103">
        <f>SUM(AL5:BF5)</f>
        <v>323915406.71999997</v>
      </c>
    </row>
    <row r="6" spans="1:62" x14ac:dyDescent="0.25">
      <c r="A6" s="6"/>
      <c r="B6" s="104">
        <v>10</v>
      </c>
      <c r="C6" s="104"/>
      <c r="D6" s="104"/>
      <c r="E6" s="104" t="s">
        <v>239</v>
      </c>
      <c r="F6" s="105">
        <f>F7+F15+F25+F31+F41+F48+F54+F62</f>
        <v>6037644.3900000006</v>
      </c>
      <c r="G6" s="105">
        <f t="shared" ref="G6:BF6" si="1">G7+G15+G25+G31+G41+G48+G54+G62</f>
        <v>1108066.8799999999</v>
      </c>
      <c r="H6" s="105">
        <f t="shared" si="1"/>
        <v>3353239.51</v>
      </c>
      <c r="I6" s="105">
        <f t="shared" si="1"/>
        <v>4584095.1500000004</v>
      </c>
      <c r="J6" s="105">
        <f t="shared" si="1"/>
        <v>16024215.689999999</v>
      </c>
      <c r="K6" s="105">
        <f t="shared" si="1"/>
        <v>8324678.54</v>
      </c>
      <c r="L6" s="105">
        <f t="shared" si="1"/>
        <v>11749552.24</v>
      </c>
      <c r="M6" s="105">
        <f t="shared" si="1"/>
        <v>68553767.209999993</v>
      </c>
      <c r="N6" s="105">
        <f t="shared" si="1"/>
        <v>3589866.2700000005</v>
      </c>
      <c r="O6" s="105">
        <f t="shared" si="1"/>
        <v>301716.32000000007</v>
      </c>
      <c r="P6" s="105">
        <f t="shared" si="1"/>
        <v>18227970.310000002</v>
      </c>
      <c r="Q6" s="105">
        <f t="shared" si="1"/>
        <v>1955442.92</v>
      </c>
      <c r="R6" s="105">
        <f t="shared" si="1"/>
        <v>534068.06000000006</v>
      </c>
      <c r="S6" s="105">
        <f t="shared" si="1"/>
        <v>1563563.54</v>
      </c>
      <c r="T6" s="105">
        <f t="shared" si="1"/>
        <v>2684765.9800000004</v>
      </c>
      <c r="U6" s="105">
        <f t="shared" si="1"/>
        <v>6195670.4299999997</v>
      </c>
      <c r="V6" s="105">
        <f t="shared" si="1"/>
        <v>928269.8</v>
      </c>
      <c r="W6" s="105">
        <f t="shared" si="1"/>
        <v>1935465.45</v>
      </c>
      <c r="X6" s="105">
        <f t="shared" si="1"/>
        <v>5127537.58</v>
      </c>
      <c r="Y6" s="105">
        <f t="shared" si="1"/>
        <v>1652417.67</v>
      </c>
      <c r="Z6" s="105">
        <f t="shared" si="1"/>
        <v>4319708.2200000007</v>
      </c>
      <c r="AA6" s="105">
        <f t="shared" si="1"/>
        <v>25335688.600000001</v>
      </c>
      <c r="AB6" s="105">
        <f t="shared" si="1"/>
        <v>1044849.8999999999</v>
      </c>
      <c r="AC6" s="105">
        <f t="shared" si="1"/>
        <v>1666797.39</v>
      </c>
      <c r="AD6" s="105">
        <f t="shared" si="1"/>
        <v>3382294.05</v>
      </c>
      <c r="AE6" s="105">
        <f t="shared" si="1"/>
        <v>2392641.9500000002</v>
      </c>
      <c r="AF6" s="105">
        <f t="shared" si="1"/>
        <v>2271201.0699999998</v>
      </c>
      <c r="AG6" s="105">
        <f t="shared" si="1"/>
        <v>4599526.68</v>
      </c>
      <c r="AH6" s="105">
        <f t="shared" si="1"/>
        <v>8510596.3800000008</v>
      </c>
      <c r="AI6" s="105">
        <f t="shared" si="1"/>
        <v>10380606.49</v>
      </c>
      <c r="AJ6" s="105">
        <f t="shared" si="1"/>
        <v>1931580.05</v>
      </c>
      <c r="AK6" s="105">
        <f t="shared" si="1"/>
        <v>2134375.87</v>
      </c>
      <c r="AL6" s="105">
        <f t="shared" si="1"/>
        <v>6838537.3400000008</v>
      </c>
      <c r="AM6" s="105">
        <f t="shared" si="1"/>
        <v>5396816.46</v>
      </c>
      <c r="AN6" s="105">
        <f t="shared" si="1"/>
        <v>5695048.0200000005</v>
      </c>
      <c r="AO6" s="105">
        <f t="shared" si="1"/>
        <v>1514296.37</v>
      </c>
      <c r="AP6" s="105">
        <f t="shared" si="1"/>
        <v>15122459.289999999</v>
      </c>
      <c r="AQ6" s="105">
        <f t="shared" si="1"/>
        <v>3338842.84</v>
      </c>
      <c r="AR6" s="105">
        <f t="shared" si="1"/>
        <v>2476209.19</v>
      </c>
      <c r="AS6" s="105">
        <f t="shared" si="1"/>
        <v>10275159.08</v>
      </c>
      <c r="AT6" s="105">
        <f t="shared" si="1"/>
        <v>2584544.98</v>
      </c>
      <c r="AU6" s="105">
        <f t="shared" si="1"/>
        <v>3846880.26</v>
      </c>
      <c r="AV6" s="105">
        <f t="shared" si="1"/>
        <v>2658547.9700000002</v>
      </c>
      <c r="AW6" s="105">
        <f t="shared" si="1"/>
        <v>5474469.3700000001</v>
      </c>
      <c r="AX6" s="105">
        <f t="shared" si="1"/>
        <v>3491542.2800000003</v>
      </c>
      <c r="AY6" s="105">
        <f t="shared" si="1"/>
        <v>653797.15999999992</v>
      </c>
      <c r="AZ6" s="105">
        <f t="shared" si="1"/>
        <v>2270337.29</v>
      </c>
      <c r="BA6" s="105">
        <f t="shared" si="1"/>
        <v>4657846.2799999993</v>
      </c>
      <c r="BB6" s="105">
        <f t="shared" si="1"/>
        <v>3072489.28</v>
      </c>
      <c r="BC6" s="105">
        <f t="shared" si="1"/>
        <v>5428306.3300000001</v>
      </c>
      <c r="BD6" s="105">
        <f t="shared" si="1"/>
        <v>818483.84000000008</v>
      </c>
      <c r="BE6" s="105">
        <f t="shared" si="1"/>
        <v>26795687.490000002</v>
      </c>
      <c r="BF6" s="105">
        <f t="shared" si="1"/>
        <v>2413654.2999999998</v>
      </c>
      <c r="BG6" s="105">
        <f>SUM(F6:BF6)</f>
        <v>347225836.00999993</v>
      </c>
      <c r="BH6" s="105">
        <f t="shared" ref="BH6:BH69" si="2">SUM(F6:X6)</f>
        <v>162779596.26999998</v>
      </c>
      <c r="BI6" s="105">
        <f t="shared" ref="BI6:BI69" si="3">SUM(Y6:AK6)</f>
        <v>69622284.320000008</v>
      </c>
      <c r="BJ6" s="105">
        <f t="shared" ref="BJ6:BJ69" si="4">SUM(AL6:BF6)</f>
        <v>114823955.42</v>
      </c>
    </row>
    <row r="7" spans="1:62" x14ac:dyDescent="0.25">
      <c r="C7" s="76">
        <v>100</v>
      </c>
      <c r="D7" s="76"/>
      <c r="E7" s="76" t="s">
        <v>240</v>
      </c>
      <c r="F7" s="96">
        <f>F8+F9+F10+F11+F12+F13</f>
        <v>4334342.51</v>
      </c>
      <c r="G7" s="96">
        <f t="shared" ref="G7:BF7" si="5">G8+G9+G10+G11+G12+G13</f>
        <v>277743.08</v>
      </c>
      <c r="H7" s="96">
        <f t="shared" si="5"/>
        <v>385911.63</v>
      </c>
      <c r="I7" s="96">
        <f t="shared" si="5"/>
        <v>1577067.98</v>
      </c>
      <c r="J7" s="96">
        <f t="shared" si="5"/>
        <v>2069254.55</v>
      </c>
      <c r="K7" s="96">
        <f t="shared" si="5"/>
        <v>1075465.97</v>
      </c>
      <c r="L7" s="96">
        <f t="shared" si="5"/>
        <v>3538628.39</v>
      </c>
      <c r="M7" s="96">
        <f t="shared" si="5"/>
        <v>10528068.859999999</v>
      </c>
      <c r="N7" s="96">
        <f t="shared" si="5"/>
        <v>577721.89</v>
      </c>
      <c r="O7" s="96">
        <f t="shared" si="5"/>
        <v>134332.96000000002</v>
      </c>
      <c r="P7" s="96">
        <f t="shared" si="5"/>
        <v>5194596.42</v>
      </c>
      <c r="Q7" s="96">
        <f t="shared" si="5"/>
        <v>407887.33999999997</v>
      </c>
      <c r="R7" s="96">
        <f t="shared" si="5"/>
        <v>183341.4</v>
      </c>
      <c r="S7" s="96">
        <f t="shared" si="5"/>
        <v>400261.99</v>
      </c>
      <c r="T7" s="96">
        <f t="shared" si="5"/>
        <v>1542187.8399999999</v>
      </c>
      <c r="U7" s="96">
        <f t="shared" si="5"/>
        <v>2039382.79</v>
      </c>
      <c r="V7" s="96">
        <f t="shared" si="5"/>
        <v>38047.329999999994</v>
      </c>
      <c r="W7" s="96">
        <f t="shared" si="5"/>
        <v>650453.71</v>
      </c>
      <c r="X7" s="96">
        <f t="shared" si="5"/>
        <v>220104.35</v>
      </c>
      <c r="Y7" s="96">
        <f t="shared" si="5"/>
        <v>1345430.65</v>
      </c>
      <c r="Z7" s="96">
        <f t="shared" si="5"/>
        <v>2682703.9900000002</v>
      </c>
      <c r="AA7" s="96">
        <f t="shared" si="5"/>
        <v>6323009.4699999997</v>
      </c>
      <c r="AB7" s="96">
        <f t="shared" si="5"/>
        <v>275581.18</v>
      </c>
      <c r="AC7" s="96">
        <f t="shared" si="5"/>
        <v>1069534.26</v>
      </c>
      <c r="AD7" s="96">
        <f t="shared" si="5"/>
        <v>636742.15999999992</v>
      </c>
      <c r="AE7" s="96">
        <f t="shared" si="5"/>
        <v>369087.88</v>
      </c>
      <c r="AF7" s="96">
        <f t="shared" si="5"/>
        <v>1739226.17</v>
      </c>
      <c r="AG7" s="96">
        <f t="shared" si="5"/>
        <v>3510437.42</v>
      </c>
      <c r="AH7" s="96">
        <f t="shared" si="5"/>
        <v>3987118.85</v>
      </c>
      <c r="AI7" s="96">
        <f t="shared" si="5"/>
        <v>6716558.7700000005</v>
      </c>
      <c r="AJ7" s="96">
        <f t="shared" si="5"/>
        <v>891991.97</v>
      </c>
      <c r="AK7" s="96">
        <f t="shared" si="5"/>
        <v>1273031.19</v>
      </c>
      <c r="AL7" s="96">
        <f t="shared" si="5"/>
        <v>2255882.96</v>
      </c>
      <c r="AM7" s="96">
        <f t="shared" si="5"/>
        <v>2575657.79</v>
      </c>
      <c r="AN7" s="96">
        <f t="shared" si="5"/>
        <v>1373653.87</v>
      </c>
      <c r="AO7" s="96">
        <f t="shared" si="5"/>
        <v>551464.71</v>
      </c>
      <c r="AP7" s="96">
        <f t="shared" si="5"/>
        <v>3111800.29</v>
      </c>
      <c r="AQ7" s="96">
        <f t="shared" si="5"/>
        <v>1470300.52</v>
      </c>
      <c r="AR7" s="96">
        <f t="shared" si="5"/>
        <v>1572977.3699999999</v>
      </c>
      <c r="AS7" s="96">
        <f t="shared" si="5"/>
        <v>960632.21</v>
      </c>
      <c r="AT7" s="96">
        <f t="shared" si="5"/>
        <v>763584.64</v>
      </c>
      <c r="AU7" s="96">
        <f t="shared" si="5"/>
        <v>1186120.51</v>
      </c>
      <c r="AV7" s="96">
        <f t="shared" si="5"/>
        <v>2216816.9700000002</v>
      </c>
      <c r="AW7" s="96">
        <f t="shared" si="5"/>
        <v>1890492.5</v>
      </c>
      <c r="AX7" s="96">
        <f t="shared" si="5"/>
        <v>1525849.81</v>
      </c>
      <c r="AY7" s="96">
        <f t="shared" si="5"/>
        <v>411311.66</v>
      </c>
      <c r="AZ7" s="96">
        <f t="shared" si="5"/>
        <v>1513986.6</v>
      </c>
      <c r="BA7" s="96">
        <f t="shared" si="5"/>
        <v>640711.61</v>
      </c>
      <c r="BB7" s="96">
        <f t="shared" si="5"/>
        <v>1901154.92</v>
      </c>
      <c r="BC7" s="96">
        <f t="shared" si="5"/>
        <v>700730.42999999993</v>
      </c>
      <c r="BD7" s="96">
        <f t="shared" si="5"/>
        <v>413600.78</v>
      </c>
      <c r="BE7" s="96">
        <f t="shared" si="5"/>
        <v>3061046.01</v>
      </c>
      <c r="BF7" s="96">
        <f t="shared" si="5"/>
        <v>817481.59</v>
      </c>
      <c r="BG7" s="96">
        <f t="shared" ref="BG7:BG70" si="6">SUM(F7:BF7)</f>
        <v>96910512.700000018</v>
      </c>
      <c r="BH7" s="96">
        <f t="shared" si="2"/>
        <v>35174800.990000002</v>
      </c>
      <c r="BI7" s="96">
        <f t="shared" si="3"/>
        <v>30820453.960000001</v>
      </c>
      <c r="BJ7" s="96">
        <f t="shared" si="4"/>
        <v>30915257.749999996</v>
      </c>
    </row>
    <row r="8" spans="1:62" x14ac:dyDescent="0.25">
      <c r="D8" s="7">
        <v>1000</v>
      </c>
      <c r="E8" s="7" t="s">
        <v>310</v>
      </c>
      <c r="F8" s="12">
        <v>584</v>
      </c>
      <c r="G8" s="12">
        <v>1915.55</v>
      </c>
      <c r="H8" s="12">
        <v>266.60000000000002</v>
      </c>
      <c r="I8" s="12">
        <v>1019.92</v>
      </c>
      <c r="J8" s="12">
        <v>4191.3</v>
      </c>
      <c r="K8" s="12">
        <v>12487.35</v>
      </c>
      <c r="L8" s="12">
        <v>1594.6</v>
      </c>
      <c r="M8" s="12">
        <v>15131.65</v>
      </c>
      <c r="N8" s="12">
        <v>2772.86</v>
      </c>
      <c r="O8" s="12">
        <v>3807.25</v>
      </c>
      <c r="P8" s="12">
        <v>5960.65</v>
      </c>
      <c r="Q8" s="12">
        <v>1642.6</v>
      </c>
      <c r="R8" s="12">
        <v>435.2</v>
      </c>
      <c r="S8" s="12">
        <v>661.45</v>
      </c>
      <c r="T8" s="12">
        <v>1780.15</v>
      </c>
      <c r="U8" s="12">
        <v>387.3</v>
      </c>
      <c r="V8" s="12">
        <v>1427.5</v>
      </c>
      <c r="W8" s="12">
        <v>1154.5999999999999</v>
      </c>
      <c r="X8" s="12">
        <v>1367.2</v>
      </c>
      <c r="Y8" s="12">
        <v>1196.6600000000001</v>
      </c>
      <c r="Z8" s="12">
        <v>5019.1000000000004</v>
      </c>
      <c r="AA8" s="12">
        <v>2305.75</v>
      </c>
      <c r="AB8" s="12">
        <v>0</v>
      </c>
      <c r="AC8" s="12">
        <v>3220.4</v>
      </c>
      <c r="AD8" s="12">
        <v>626.35</v>
      </c>
      <c r="AE8" s="12">
        <v>5440.9</v>
      </c>
      <c r="AF8" s="12">
        <v>2559.65</v>
      </c>
      <c r="AG8" s="12">
        <v>2801.1</v>
      </c>
      <c r="AH8" s="12">
        <v>6271.65</v>
      </c>
      <c r="AI8" s="12">
        <v>20179.95</v>
      </c>
      <c r="AJ8" s="12">
        <v>1428.45</v>
      </c>
      <c r="AK8" s="12">
        <v>1845.65</v>
      </c>
      <c r="AL8" s="12">
        <v>4807.8999999999996</v>
      </c>
      <c r="AM8" s="12">
        <v>3697.5</v>
      </c>
      <c r="AN8" s="12">
        <v>329.65</v>
      </c>
      <c r="AO8" s="12">
        <v>73.650000000000006</v>
      </c>
      <c r="AP8" s="12">
        <v>1234.5</v>
      </c>
      <c r="AQ8" s="12">
        <v>1626.35</v>
      </c>
      <c r="AR8" s="12">
        <v>1360.95</v>
      </c>
      <c r="AS8" s="12">
        <v>5757.9</v>
      </c>
      <c r="AT8" s="12">
        <v>5925.65</v>
      </c>
      <c r="AU8" s="12">
        <v>236.45</v>
      </c>
      <c r="AV8" s="12">
        <v>565.25</v>
      </c>
      <c r="AW8" s="12">
        <v>705.8</v>
      </c>
      <c r="AX8" s="12">
        <v>1640.2</v>
      </c>
      <c r="AY8" s="12">
        <v>337.45</v>
      </c>
      <c r="AZ8" s="12">
        <v>65.05</v>
      </c>
      <c r="BA8" s="12">
        <v>1393.6</v>
      </c>
      <c r="BB8" s="12">
        <v>1001</v>
      </c>
      <c r="BC8" s="12">
        <v>8392.2999999999993</v>
      </c>
      <c r="BD8" s="12">
        <v>11608.25</v>
      </c>
      <c r="BE8" s="12">
        <v>9532.31</v>
      </c>
      <c r="BF8" s="12">
        <v>2615.3000000000002</v>
      </c>
      <c r="BG8" s="75">
        <f t="shared" si="6"/>
        <v>174390.34999999995</v>
      </c>
      <c r="BH8" s="75">
        <f t="shared" si="2"/>
        <v>58587.729999999996</v>
      </c>
      <c r="BI8" s="75">
        <f t="shared" si="3"/>
        <v>52895.609999999993</v>
      </c>
      <c r="BJ8" s="75">
        <f t="shared" si="4"/>
        <v>62907.01</v>
      </c>
    </row>
    <row r="9" spans="1:62" x14ac:dyDescent="0.25">
      <c r="D9" s="7">
        <v>1001</v>
      </c>
      <c r="E9" s="7" t="s">
        <v>311</v>
      </c>
      <c r="F9" s="12">
        <v>410263.07</v>
      </c>
      <c r="G9" s="12">
        <v>44664.3</v>
      </c>
      <c r="H9" s="12">
        <v>0</v>
      </c>
      <c r="I9" s="12">
        <v>337640.01</v>
      </c>
      <c r="J9" s="12">
        <v>608003.23</v>
      </c>
      <c r="K9" s="12">
        <v>193050.08</v>
      </c>
      <c r="L9" s="12">
        <v>118205.94</v>
      </c>
      <c r="M9" s="12">
        <v>9714393.9299999997</v>
      </c>
      <c r="N9" s="12">
        <v>215161.85</v>
      </c>
      <c r="O9" s="12">
        <v>74528.960000000006</v>
      </c>
      <c r="P9" s="12">
        <v>1177412.73</v>
      </c>
      <c r="Q9" s="12">
        <v>77820.37</v>
      </c>
      <c r="R9" s="12">
        <v>81730.14</v>
      </c>
      <c r="S9" s="12">
        <v>53619.96</v>
      </c>
      <c r="T9" s="12">
        <v>331806.5</v>
      </c>
      <c r="U9" s="12">
        <v>423289.26</v>
      </c>
      <c r="V9" s="12">
        <v>639.13</v>
      </c>
      <c r="W9" s="12">
        <v>54154.46</v>
      </c>
      <c r="X9" s="12">
        <v>90692.58</v>
      </c>
      <c r="Y9" s="12">
        <v>23158.82</v>
      </c>
      <c r="Z9" s="12">
        <v>1331935.82</v>
      </c>
      <c r="AA9" s="12">
        <v>450560.66</v>
      </c>
      <c r="AB9" s="12">
        <v>95162.36</v>
      </c>
      <c r="AC9" s="12">
        <v>29929.96</v>
      </c>
      <c r="AD9" s="12">
        <v>34196.720000000001</v>
      </c>
      <c r="AE9" s="12">
        <v>208984.9</v>
      </c>
      <c r="AF9" s="12">
        <v>114871.49</v>
      </c>
      <c r="AG9" s="12">
        <v>51758.17</v>
      </c>
      <c r="AH9" s="12">
        <v>1028752.21</v>
      </c>
      <c r="AI9" s="12">
        <v>1966483.37</v>
      </c>
      <c r="AJ9" s="12">
        <v>24168.62</v>
      </c>
      <c r="AK9" s="12">
        <v>7841.27</v>
      </c>
      <c r="AL9" s="12">
        <v>906024.42</v>
      </c>
      <c r="AM9" s="12">
        <v>43849.35</v>
      </c>
      <c r="AN9" s="12">
        <v>471002.59</v>
      </c>
      <c r="AO9" s="12">
        <v>2140.1799999999998</v>
      </c>
      <c r="AP9" s="12">
        <v>197324.83</v>
      </c>
      <c r="AQ9" s="12">
        <v>455524.11</v>
      </c>
      <c r="AR9" s="12">
        <v>16071.03</v>
      </c>
      <c r="AS9" s="12">
        <v>180353.2</v>
      </c>
      <c r="AT9" s="12">
        <v>202320.72</v>
      </c>
      <c r="AU9" s="12">
        <v>0</v>
      </c>
      <c r="AV9" s="12">
        <v>73524.08</v>
      </c>
      <c r="AW9" s="12">
        <v>244276.68</v>
      </c>
      <c r="AX9" s="12">
        <v>13824.65</v>
      </c>
      <c r="AY9" s="12">
        <v>48965.98</v>
      </c>
      <c r="AZ9" s="12">
        <v>30305.05</v>
      </c>
      <c r="BA9" s="12">
        <v>272523.77</v>
      </c>
      <c r="BB9" s="12">
        <v>395229.78</v>
      </c>
      <c r="BC9" s="12">
        <v>409558.93</v>
      </c>
      <c r="BD9" s="12">
        <v>53936.27</v>
      </c>
      <c r="BE9" s="12">
        <v>549198.74</v>
      </c>
      <c r="BF9" s="12">
        <v>44383.47</v>
      </c>
      <c r="BG9" s="75">
        <f t="shared" si="6"/>
        <v>23985218.699999999</v>
      </c>
      <c r="BH9" s="75">
        <f t="shared" si="2"/>
        <v>14007076.500000002</v>
      </c>
      <c r="BI9" s="75">
        <f t="shared" si="3"/>
        <v>5367804.37</v>
      </c>
      <c r="BJ9" s="75">
        <f t="shared" si="4"/>
        <v>4610337.83</v>
      </c>
    </row>
    <row r="10" spans="1:62" x14ac:dyDescent="0.25">
      <c r="D10" s="7">
        <v>1002</v>
      </c>
      <c r="E10" s="7" t="s">
        <v>319</v>
      </c>
      <c r="F10" s="12">
        <v>3923495.44</v>
      </c>
      <c r="G10" s="12">
        <v>231163.23</v>
      </c>
      <c r="H10" s="12">
        <v>385645.03</v>
      </c>
      <c r="I10" s="12">
        <v>1238408.05</v>
      </c>
      <c r="J10" s="12">
        <v>957060.02</v>
      </c>
      <c r="K10" s="12">
        <v>869928.54</v>
      </c>
      <c r="L10" s="12">
        <v>3418827.85</v>
      </c>
      <c r="M10" s="12">
        <v>798543.28</v>
      </c>
      <c r="N10" s="12">
        <v>359787.18</v>
      </c>
      <c r="O10" s="12">
        <v>55996.75</v>
      </c>
      <c r="P10" s="12">
        <v>4011223.04</v>
      </c>
      <c r="Q10" s="12">
        <v>328424.37</v>
      </c>
      <c r="R10" s="12">
        <v>101176.06</v>
      </c>
      <c r="S10" s="12">
        <v>345980.58</v>
      </c>
      <c r="T10" s="12">
        <v>1208601.19</v>
      </c>
      <c r="U10" s="12">
        <v>1615706.23</v>
      </c>
      <c r="V10" s="12">
        <v>35980.699999999997</v>
      </c>
      <c r="W10" s="12">
        <v>588269.65</v>
      </c>
      <c r="X10" s="12">
        <v>127994.57</v>
      </c>
      <c r="Y10" s="12">
        <v>1321075.17</v>
      </c>
      <c r="Z10" s="12">
        <v>1345749.07</v>
      </c>
      <c r="AA10" s="12">
        <v>5870143.0599999996</v>
      </c>
      <c r="AB10" s="12">
        <v>180418.82</v>
      </c>
      <c r="AC10" s="12">
        <v>1036383.9</v>
      </c>
      <c r="AD10" s="12">
        <v>601919.09</v>
      </c>
      <c r="AE10" s="12">
        <v>154662.07999999999</v>
      </c>
      <c r="AF10" s="12">
        <v>1621795.03</v>
      </c>
      <c r="AG10" s="12">
        <v>3455878.15</v>
      </c>
      <c r="AH10" s="12">
        <v>2952094.99</v>
      </c>
      <c r="AI10" s="12">
        <v>3729895.45</v>
      </c>
      <c r="AJ10" s="12">
        <v>866394.9</v>
      </c>
      <c r="AK10" s="12">
        <v>1263344.27</v>
      </c>
      <c r="AL10" s="12">
        <v>1345050.64</v>
      </c>
      <c r="AM10" s="12">
        <v>2468110.94</v>
      </c>
      <c r="AN10" s="12">
        <v>902321.63</v>
      </c>
      <c r="AO10" s="12">
        <v>549250.88</v>
      </c>
      <c r="AP10" s="12">
        <v>2913240.96</v>
      </c>
      <c r="AQ10" s="12">
        <v>1013150.06</v>
      </c>
      <c r="AR10" s="12">
        <v>1555545.39</v>
      </c>
      <c r="AS10" s="12">
        <v>768801.97</v>
      </c>
      <c r="AT10" s="12">
        <v>555338.27</v>
      </c>
      <c r="AU10" s="12">
        <v>1185884.06</v>
      </c>
      <c r="AV10" s="12">
        <v>2142727.64</v>
      </c>
      <c r="AW10" s="12">
        <v>1645510.02</v>
      </c>
      <c r="AX10" s="12">
        <v>1506994.67</v>
      </c>
      <c r="AY10" s="12">
        <v>362008.23</v>
      </c>
      <c r="AZ10" s="12">
        <v>1483616.5</v>
      </c>
      <c r="BA10" s="12">
        <v>366794.23999999999</v>
      </c>
      <c r="BB10" s="12">
        <v>1504924.14</v>
      </c>
      <c r="BC10" s="12">
        <v>282779.2</v>
      </c>
      <c r="BD10" s="12">
        <v>348056.26</v>
      </c>
      <c r="BE10" s="12">
        <v>2502314.96</v>
      </c>
      <c r="BF10" s="12">
        <v>770482.82</v>
      </c>
      <c r="BG10" s="75">
        <f t="shared" si="6"/>
        <v>71174869.220000014</v>
      </c>
      <c r="BH10" s="75">
        <f t="shared" si="2"/>
        <v>20602211.759999998</v>
      </c>
      <c r="BI10" s="75">
        <f t="shared" si="3"/>
        <v>24399753.979999997</v>
      </c>
      <c r="BJ10" s="75">
        <f t="shared" si="4"/>
        <v>26172903.480000004</v>
      </c>
    </row>
    <row r="11" spans="1:62" x14ac:dyDescent="0.25">
      <c r="D11" s="7">
        <v>1003</v>
      </c>
      <c r="E11" s="7" t="s">
        <v>312</v>
      </c>
      <c r="F11" s="12">
        <v>0</v>
      </c>
      <c r="G11" s="12">
        <v>0</v>
      </c>
      <c r="H11" s="12">
        <v>0</v>
      </c>
      <c r="I11" s="12">
        <v>0</v>
      </c>
      <c r="J11" s="12">
        <v>500000</v>
      </c>
      <c r="K11" s="12">
        <v>0</v>
      </c>
      <c r="L11" s="12">
        <v>0</v>
      </c>
      <c r="M11" s="12">
        <v>0</v>
      </c>
      <c r="N11" s="12">
        <v>0</v>
      </c>
      <c r="O11" s="12">
        <v>0</v>
      </c>
      <c r="P11" s="12">
        <v>0</v>
      </c>
      <c r="Q11" s="12">
        <v>0</v>
      </c>
      <c r="R11" s="12">
        <v>0</v>
      </c>
      <c r="S11" s="12">
        <v>0</v>
      </c>
      <c r="T11" s="12">
        <v>0</v>
      </c>
      <c r="U11" s="12">
        <v>0</v>
      </c>
      <c r="V11" s="12">
        <v>0</v>
      </c>
      <c r="W11" s="12">
        <v>0</v>
      </c>
      <c r="X11" s="12">
        <v>0</v>
      </c>
      <c r="Y11" s="12">
        <v>0</v>
      </c>
      <c r="Z11" s="12">
        <v>0</v>
      </c>
      <c r="AA11" s="12">
        <v>0</v>
      </c>
      <c r="AB11" s="12">
        <v>0</v>
      </c>
      <c r="AC11" s="12">
        <v>0</v>
      </c>
      <c r="AD11" s="12">
        <v>0</v>
      </c>
      <c r="AE11" s="12">
        <v>0</v>
      </c>
      <c r="AF11" s="12">
        <v>0</v>
      </c>
      <c r="AG11" s="12">
        <v>0</v>
      </c>
      <c r="AH11" s="12">
        <v>0</v>
      </c>
      <c r="AI11" s="12">
        <v>1000000</v>
      </c>
      <c r="AJ11" s="12">
        <v>0</v>
      </c>
      <c r="AK11" s="12">
        <v>0</v>
      </c>
      <c r="AL11" s="12">
        <v>0</v>
      </c>
      <c r="AM11" s="12">
        <v>60000</v>
      </c>
      <c r="AN11" s="12">
        <v>0</v>
      </c>
      <c r="AO11" s="12">
        <v>0</v>
      </c>
      <c r="AP11" s="12">
        <v>0</v>
      </c>
      <c r="AQ11" s="12">
        <v>0</v>
      </c>
      <c r="AR11" s="12">
        <v>0</v>
      </c>
      <c r="AS11" s="12">
        <v>0</v>
      </c>
      <c r="AT11" s="12">
        <v>0</v>
      </c>
      <c r="AU11" s="12">
        <v>0</v>
      </c>
      <c r="AV11" s="12">
        <v>0</v>
      </c>
      <c r="AW11" s="12">
        <v>0</v>
      </c>
      <c r="AX11" s="12">
        <v>0</v>
      </c>
      <c r="AY11" s="12">
        <v>0</v>
      </c>
      <c r="AZ11" s="12">
        <v>0</v>
      </c>
      <c r="BA11" s="12">
        <v>0</v>
      </c>
      <c r="BB11" s="12">
        <v>0</v>
      </c>
      <c r="BC11" s="12">
        <v>0</v>
      </c>
      <c r="BD11" s="12">
        <v>0</v>
      </c>
      <c r="BE11" s="12">
        <v>0</v>
      </c>
      <c r="BF11" s="12">
        <v>0</v>
      </c>
      <c r="BG11" s="75">
        <f t="shared" si="6"/>
        <v>1560000</v>
      </c>
      <c r="BH11" s="75">
        <f t="shared" si="2"/>
        <v>500000</v>
      </c>
      <c r="BI11" s="75">
        <f t="shared" si="3"/>
        <v>1000000</v>
      </c>
      <c r="BJ11" s="75">
        <f t="shared" si="4"/>
        <v>60000</v>
      </c>
    </row>
    <row r="12" spans="1:62" x14ac:dyDescent="0.25">
      <c r="D12" s="7">
        <v>1004</v>
      </c>
      <c r="E12" s="7" t="s">
        <v>313</v>
      </c>
      <c r="F12" s="12">
        <v>0</v>
      </c>
      <c r="G12" s="12">
        <v>0</v>
      </c>
      <c r="H12" s="12">
        <v>0</v>
      </c>
      <c r="I12" s="12">
        <v>0</v>
      </c>
      <c r="J12" s="12">
        <v>0</v>
      </c>
      <c r="K12" s="12">
        <v>0</v>
      </c>
      <c r="L12" s="12">
        <v>0</v>
      </c>
      <c r="M12" s="12">
        <v>0</v>
      </c>
      <c r="N12" s="12">
        <v>0</v>
      </c>
      <c r="O12" s="12">
        <v>0</v>
      </c>
      <c r="P12" s="12">
        <v>0</v>
      </c>
      <c r="Q12" s="12">
        <v>0</v>
      </c>
      <c r="R12" s="12">
        <v>0</v>
      </c>
      <c r="S12" s="12">
        <v>0</v>
      </c>
      <c r="T12" s="12">
        <v>0</v>
      </c>
      <c r="U12" s="12">
        <v>0</v>
      </c>
      <c r="V12" s="12">
        <v>0</v>
      </c>
      <c r="W12" s="12">
        <v>0</v>
      </c>
      <c r="X12" s="12">
        <v>0</v>
      </c>
      <c r="Y12" s="12">
        <v>0</v>
      </c>
      <c r="Z12" s="12">
        <v>0</v>
      </c>
      <c r="AA12" s="12">
        <v>0</v>
      </c>
      <c r="AB12" s="12">
        <v>0</v>
      </c>
      <c r="AC12" s="12">
        <v>0</v>
      </c>
      <c r="AD12" s="12">
        <v>0</v>
      </c>
      <c r="AE12" s="12">
        <v>0</v>
      </c>
      <c r="AF12" s="12">
        <v>0</v>
      </c>
      <c r="AG12" s="12">
        <v>0</v>
      </c>
      <c r="AH12" s="12">
        <v>0</v>
      </c>
      <c r="AI12" s="12">
        <v>0</v>
      </c>
      <c r="AJ12" s="12">
        <v>0</v>
      </c>
      <c r="AK12" s="12">
        <v>0</v>
      </c>
      <c r="AL12" s="12">
        <v>0</v>
      </c>
      <c r="AM12" s="12">
        <v>0</v>
      </c>
      <c r="AN12" s="12">
        <v>0</v>
      </c>
      <c r="AO12" s="12">
        <v>0</v>
      </c>
      <c r="AP12" s="12">
        <v>0</v>
      </c>
      <c r="AQ12" s="12">
        <v>0</v>
      </c>
      <c r="AR12" s="12">
        <v>0</v>
      </c>
      <c r="AS12" s="12">
        <v>5719.14</v>
      </c>
      <c r="AT12" s="12">
        <v>0</v>
      </c>
      <c r="AU12" s="12">
        <v>0</v>
      </c>
      <c r="AV12" s="12">
        <v>0</v>
      </c>
      <c r="AW12" s="12">
        <v>0</v>
      </c>
      <c r="AX12" s="12">
        <v>3390.29</v>
      </c>
      <c r="AY12" s="12">
        <v>0</v>
      </c>
      <c r="AZ12" s="12">
        <v>0</v>
      </c>
      <c r="BA12" s="12">
        <v>0</v>
      </c>
      <c r="BB12" s="12">
        <v>0</v>
      </c>
      <c r="BC12" s="12">
        <v>0</v>
      </c>
      <c r="BD12" s="12">
        <v>0</v>
      </c>
      <c r="BE12" s="12">
        <v>0</v>
      </c>
      <c r="BF12" s="12">
        <v>0</v>
      </c>
      <c r="BG12" s="75">
        <f t="shared" si="6"/>
        <v>9109.43</v>
      </c>
      <c r="BH12" s="75">
        <f t="shared" si="2"/>
        <v>0</v>
      </c>
      <c r="BI12" s="75">
        <f t="shared" si="3"/>
        <v>0</v>
      </c>
      <c r="BJ12" s="75">
        <f t="shared" si="4"/>
        <v>9109.43</v>
      </c>
    </row>
    <row r="13" spans="1:62" x14ac:dyDescent="0.25">
      <c r="D13" s="7">
        <v>1009</v>
      </c>
      <c r="E13" s="7" t="s">
        <v>314</v>
      </c>
      <c r="F13" s="12">
        <v>0</v>
      </c>
      <c r="G13" s="12">
        <v>0</v>
      </c>
      <c r="H13" s="12">
        <v>0</v>
      </c>
      <c r="I13" s="12">
        <v>0</v>
      </c>
      <c r="J13" s="12">
        <v>0</v>
      </c>
      <c r="K13" s="12">
        <v>0</v>
      </c>
      <c r="L13" s="12">
        <v>0</v>
      </c>
      <c r="M13" s="12">
        <v>0</v>
      </c>
      <c r="N13" s="12">
        <v>0</v>
      </c>
      <c r="O13" s="12">
        <v>0</v>
      </c>
      <c r="P13" s="12">
        <v>0</v>
      </c>
      <c r="Q13" s="12">
        <v>0</v>
      </c>
      <c r="R13" s="12">
        <v>0</v>
      </c>
      <c r="S13" s="12">
        <v>0</v>
      </c>
      <c r="T13" s="12">
        <v>0</v>
      </c>
      <c r="U13" s="12">
        <v>0</v>
      </c>
      <c r="V13" s="12">
        <v>0</v>
      </c>
      <c r="W13" s="12">
        <v>6875</v>
      </c>
      <c r="X13" s="12">
        <v>50</v>
      </c>
      <c r="Y13" s="12">
        <v>0</v>
      </c>
      <c r="Z13" s="12">
        <v>0</v>
      </c>
      <c r="AA13" s="12">
        <v>0</v>
      </c>
      <c r="AB13" s="12">
        <v>0</v>
      </c>
      <c r="AC13" s="12">
        <v>0</v>
      </c>
      <c r="AD13" s="12">
        <v>0</v>
      </c>
      <c r="AE13" s="12">
        <v>0</v>
      </c>
      <c r="AF13" s="12">
        <v>0</v>
      </c>
      <c r="AG13" s="12">
        <v>0</v>
      </c>
      <c r="AH13" s="12">
        <v>0</v>
      </c>
      <c r="AI13" s="12">
        <v>0</v>
      </c>
      <c r="AJ13" s="12">
        <v>0</v>
      </c>
      <c r="AK13" s="12">
        <v>0</v>
      </c>
      <c r="AL13" s="12">
        <v>0</v>
      </c>
      <c r="AM13" s="12">
        <v>0</v>
      </c>
      <c r="AN13" s="12">
        <v>0</v>
      </c>
      <c r="AO13" s="12">
        <v>0</v>
      </c>
      <c r="AP13" s="12">
        <v>0</v>
      </c>
      <c r="AQ13" s="12">
        <v>0</v>
      </c>
      <c r="AR13" s="12">
        <v>0</v>
      </c>
      <c r="AS13" s="12">
        <v>0</v>
      </c>
      <c r="AT13" s="12">
        <v>0</v>
      </c>
      <c r="AU13" s="12">
        <v>0</v>
      </c>
      <c r="AV13" s="12">
        <v>0</v>
      </c>
      <c r="AW13" s="12">
        <v>0</v>
      </c>
      <c r="AX13" s="12">
        <v>0</v>
      </c>
      <c r="AY13" s="12">
        <v>0</v>
      </c>
      <c r="AZ13" s="12">
        <v>0</v>
      </c>
      <c r="BA13" s="12">
        <v>0</v>
      </c>
      <c r="BB13" s="12">
        <v>0</v>
      </c>
      <c r="BC13" s="12">
        <v>0</v>
      </c>
      <c r="BD13" s="12">
        <v>0</v>
      </c>
      <c r="BE13" s="12">
        <v>0</v>
      </c>
      <c r="BF13" s="12">
        <v>0</v>
      </c>
      <c r="BG13" s="75">
        <f t="shared" si="6"/>
        <v>6925</v>
      </c>
      <c r="BH13" s="75">
        <f t="shared" si="2"/>
        <v>6925</v>
      </c>
      <c r="BI13" s="75">
        <f t="shared" si="3"/>
        <v>0</v>
      </c>
      <c r="BJ13" s="75">
        <f t="shared" si="4"/>
        <v>0</v>
      </c>
    </row>
    <row r="14" spans="1:62" x14ac:dyDescent="0.25">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75"/>
      <c r="BH14" s="75"/>
      <c r="BI14" s="75"/>
      <c r="BJ14" s="75"/>
    </row>
    <row r="15" spans="1:62" x14ac:dyDescent="0.25">
      <c r="C15" s="76">
        <v>101</v>
      </c>
      <c r="D15" s="76"/>
      <c r="E15" s="76" t="s">
        <v>241</v>
      </c>
      <c r="F15" s="96">
        <f>F16+F17+F18+F19+F20+F21+F22+F23</f>
        <v>1344175.98</v>
      </c>
      <c r="G15" s="96">
        <f t="shared" ref="G15:BF15" si="7">G16+G17+G18+G19+G20+G21+G22+G23</f>
        <v>123289.12000000001</v>
      </c>
      <c r="H15" s="96">
        <f t="shared" si="7"/>
        <v>414537.45999999996</v>
      </c>
      <c r="I15" s="96">
        <f t="shared" si="7"/>
        <v>430403.93</v>
      </c>
      <c r="J15" s="96">
        <f t="shared" si="7"/>
        <v>4321750.6399999997</v>
      </c>
      <c r="K15" s="96">
        <f t="shared" si="7"/>
        <v>2215648.7399999998</v>
      </c>
      <c r="L15" s="96">
        <f t="shared" si="7"/>
        <v>3335834.6100000003</v>
      </c>
      <c r="M15" s="96">
        <f t="shared" si="7"/>
        <v>16382303.039999999</v>
      </c>
      <c r="N15" s="96">
        <f t="shared" si="7"/>
        <v>1186825.6200000001</v>
      </c>
      <c r="O15" s="96">
        <f t="shared" si="7"/>
        <v>108895.64</v>
      </c>
      <c r="P15" s="96">
        <f t="shared" si="7"/>
        <v>6214125.1900000004</v>
      </c>
      <c r="Q15" s="96">
        <f t="shared" si="7"/>
        <v>842181.75</v>
      </c>
      <c r="R15" s="96">
        <f t="shared" si="7"/>
        <v>136413.55000000002</v>
      </c>
      <c r="S15" s="96">
        <f t="shared" si="7"/>
        <v>257558.08000000002</v>
      </c>
      <c r="T15" s="96">
        <f t="shared" si="7"/>
        <v>516895.14</v>
      </c>
      <c r="U15" s="96">
        <f t="shared" si="7"/>
        <v>1104935.92</v>
      </c>
      <c r="V15" s="96">
        <f t="shared" si="7"/>
        <v>243349.18</v>
      </c>
      <c r="W15" s="96">
        <f t="shared" si="7"/>
        <v>517833.56</v>
      </c>
      <c r="X15" s="96">
        <f t="shared" si="7"/>
        <v>3003389.2800000003</v>
      </c>
      <c r="Y15" s="96">
        <f t="shared" si="7"/>
        <v>151543.07</v>
      </c>
      <c r="Z15" s="96">
        <f t="shared" si="7"/>
        <v>1206526.3299999998</v>
      </c>
      <c r="AA15" s="96">
        <f t="shared" si="7"/>
        <v>2281883.5900000003</v>
      </c>
      <c r="AB15" s="96">
        <f t="shared" si="7"/>
        <v>126966.86</v>
      </c>
      <c r="AC15" s="96">
        <f t="shared" si="7"/>
        <v>114235.12999999999</v>
      </c>
      <c r="AD15" s="96">
        <f t="shared" si="7"/>
        <v>987707.94</v>
      </c>
      <c r="AE15" s="96">
        <f t="shared" si="7"/>
        <v>369654.18</v>
      </c>
      <c r="AF15" s="96">
        <f t="shared" si="7"/>
        <v>483520.64</v>
      </c>
      <c r="AG15" s="96">
        <f t="shared" si="7"/>
        <v>351618.79</v>
      </c>
      <c r="AH15" s="96">
        <f t="shared" si="7"/>
        <v>1385994.9300000002</v>
      </c>
      <c r="AI15" s="96">
        <f t="shared" si="7"/>
        <v>2083947.6399999997</v>
      </c>
      <c r="AJ15" s="96">
        <f t="shared" si="7"/>
        <v>1010965.3400000001</v>
      </c>
      <c r="AK15" s="96">
        <f t="shared" si="7"/>
        <v>109307.68</v>
      </c>
      <c r="AL15" s="96">
        <f t="shared" si="7"/>
        <v>2348597.6400000006</v>
      </c>
      <c r="AM15" s="96">
        <f t="shared" si="7"/>
        <v>1292889.07</v>
      </c>
      <c r="AN15" s="96">
        <f t="shared" si="7"/>
        <v>1771810.24</v>
      </c>
      <c r="AO15" s="96">
        <f t="shared" si="7"/>
        <v>283112.24</v>
      </c>
      <c r="AP15" s="96">
        <f t="shared" si="7"/>
        <v>1635218.1199999999</v>
      </c>
      <c r="AQ15" s="96">
        <f t="shared" si="7"/>
        <v>782252.83</v>
      </c>
      <c r="AR15" s="96">
        <f t="shared" si="7"/>
        <v>535125.17000000004</v>
      </c>
      <c r="AS15" s="96">
        <f t="shared" si="7"/>
        <v>1326409.8600000001</v>
      </c>
      <c r="AT15" s="96">
        <f t="shared" si="7"/>
        <v>856285.84</v>
      </c>
      <c r="AU15" s="96">
        <f t="shared" si="7"/>
        <v>1544821.76</v>
      </c>
      <c r="AV15" s="96">
        <f t="shared" si="7"/>
        <v>262030.61</v>
      </c>
      <c r="AW15" s="96">
        <f t="shared" si="7"/>
        <v>2948094.9400000004</v>
      </c>
      <c r="AX15" s="96">
        <f t="shared" si="7"/>
        <v>705011.32000000007</v>
      </c>
      <c r="AY15" s="96">
        <f t="shared" si="7"/>
        <v>91897.63</v>
      </c>
      <c r="AZ15" s="96">
        <f t="shared" si="7"/>
        <v>382284.71</v>
      </c>
      <c r="BA15" s="96">
        <f t="shared" si="7"/>
        <v>2653091.67</v>
      </c>
      <c r="BB15" s="96">
        <f t="shared" si="7"/>
        <v>537709.79</v>
      </c>
      <c r="BC15" s="96">
        <f t="shared" si="7"/>
        <v>1809930.75</v>
      </c>
      <c r="BD15" s="96">
        <f t="shared" si="7"/>
        <v>187554.53</v>
      </c>
      <c r="BE15" s="96">
        <f t="shared" si="7"/>
        <v>10953967.100000001</v>
      </c>
      <c r="BF15" s="96">
        <f t="shared" si="7"/>
        <v>506166.48</v>
      </c>
      <c r="BG15" s="96">
        <f t="shared" si="6"/>
        <v>86778480.850000009</v>
      </c>
      <c r="BH15" s="96">
        <f t="shared" si="2"/>
        <v>42700346.43</v>
      </c>
      <c r="BI15" s="96">
        <f t="shared" si="3"/>
        <v>10663872.119999997</v>
      </c>
      <c r="BJ15" s="96">
        <f t="shared" si="4"/>
        <v>33414262.300000004</v>
      </c>
    </row>
    <row r="16" spans="1:62" x14ac:dyDescent="0.25">
      <c r="D16" s="7">
        <v>1010</v>
      </c>
      <c r="E16" s="7" t="s">
        <v>315</v>
      </c>
      <c r="F16" s="12">
        <v>416528.05</v>
      </c>
      <c r="G16" s="12">
        <v>12791.35</v>
      </c>
      <c r="H16" s="12">
        <v>42011.22</v>
      </c>
      <c r="I16" s="12">
        <v>43632</v>
      </c>
      <c r="J16" s="12">
        <v>1576185.91</v>
      </c>
      <c r="K16" s="12">
        <v>1037258.99</v>
      </c>
      <c r="L16" s="12">
        <v>689914.9</v>
      </c>
      <c r="M16" s="12">
        <v>9227439.5299999993</v>
      </c>
      <c r="N16" s="12">
        <v>563069.56000000006</v>
      </c>
      <c r="O16" s="12">
        <v>6454.24</v>
      </c>
      <c r="P16" s="12">
        <v>1418179.93</v>
      </c>
      <c r="Q16" s="12">
        <v>126721.7</v>
      </c>
      <c r="R16" s="12">
        <v>10384.299999999999</v>
      </c>
      <c r="S16" s="12">
        <v>167270.85</v>
      </c>
      <c r="T16" s="12">
        <v>247758.6</v>
      </c>
      <c r="U16" s="12">
        <v>479852.2</v>
      </c>
      <c r="V16" s="12">
        <v>33146.199999999997</v>
      </c>
      <c r="W16" s="12">
        <v>152166.6</v>
      </c>
      <c r="X16" s="12">
        <v>1136239.57</v>
      </c>
      <c r="Y16" s="12">
        <v>33575.599999999999</v>
      </c>
      <c r="Z16" s="12">
        <v>574168.46</v>
      </c>
      <c r="AA16" s="12">
        <v>1791707.63</v>
      </c>
      <c r="AB16" s="12">
        <v>41084.9</v>
      </c>
      <c r="AC16" s="12">
        <v>43450.7</v>
      </c>
      <c r="AD16" s="12">
        <v>498275.7</v>
      </c>
      <c r="AE16" s="12">
        <v>215879.73</v>
      </c>
      <c r="AF16" s="12">
        <v>239908.75</v>
      </c>
      <c r="AG16" s="12">
        <v>134174.37</v>
      </c>
      <c r="AH16" s="12">
        <v>1563402.2</v>
      </c>
      <c r="AI16" s="12">
        <v>784619.2</v>
      </c>
      <c r="AJ16" s="12">
        <v>154280.5</v>
      </c>
      <c r="AK16" s="12">
        <v>30964.76</v>
      </c>
      <c r="AL16" s="12">
        <v>257618.97</v>
      </c>
      <c r="AM16" s="12">
        <v>358703.19</v>
      </c>
      <c r="AN16" s="12">
        <v>321030.26</v>
      </c>
      <c r="AO16" s="12">
        <v>45825.39</v>
      </c>
      <c r="AP16" s="12">
        <v>661390.64</v>
      </c>
      <c r="AQ16" s="12">
        <v>175957.18</v>
      </c>
      <c r="AR16" s="12">
        <v>150031.67000000001</v>
      </c>
      <c r="AS16" s="12">
        <v>344369.4</v>
      </c>
      <c r="AT16" s="12">
        <v>159039.20000000001</v>
      </c>
      <c r="AU16" s="12">
        <v>460685.05</v>
      </c>
      <c r="AV16" s="12">
        <v>95959.95</v>
      </c>
      <c r="AW16" s="12">
        <v>548026.36</v>
      </c>
      <c r="AX16" s="12">
        <v>83036.75</v>
      </c>
      <c r="AY16" s="12">
        <v>51652.85</v>
      </c>
      <c r="AZ16" s="12">
        <v>80834.95</v>
      </c>
      <c r="BA16" s="12">
        <v>587063.65</v>
      </c>
      <c r="BB16" s="12">
        <v>99577.85</v>
      </c>
      <c r="BC16" s="12">
        <v>431372.55</v>
      </c>
      <c r="BD16" s="12">
        <v>49962.9</v>
      </c>
      <c r="BE16" s="12">
        <v>3210668.65</v>
      </c>
      <c r="BF16" s="12">
        <v>81231.12</v>
      </c>
      <c r="BG16" s="75">
        <f t="shared" si="6"/>
        <v>31746536.729999997</v>
      </c>
      <c r="BH16" s="75">
        <f t="shared" si="2"/>
        <v>17387005.699999996</v>
      </c>
      <c r="BI16" s="75">
        <f t="shared" si="3"/>
        <v>6105492.5</v>
      </c>
      <c r="BJ16" s="75">
        <f t="shared" si="4"/>
        <v>8254038.5300000003</v>
      </c>
    </row>
    <row r="17" spans="3:62" x14ac:dyDescent="0.25">
      <c r="D17" s="7">
        <v>1011</v>
      </c>
      <c r="E17" s="7" t="s">
        <v>396</v>
      </c>
      <c r="F17" s="12">
        <v>0</v>
      </c>
      <c r="G17" s="12">
        <v>0</v>
      </c>
      <c r="H17" s="12">
        <v>0</v>
      </c>
      <c r="I17" s="12">
        <v>44446.69</v>
      </c>
      <c r="J17" s="12">
        <v>0</v>
      </c>
      <c r="K17" s="12">
        <v>100843.92</v>
      </c>
      <c r="L17" s="12">
        <v>1305060.76</v>
      </c>
      <c r="M17" s="12">
        <v>887283.48</v>
      </c>
      <c r="N17" s="12">
        <v>11442.54</v>
      </c>
      <c r="O17" s="12">
        <v>59290.71</v>
      </c>
      <c r="P17" s="12">
        <v>646810.16</v>
      </c>
      <c r="Q17" s="12">
        <v>451399.79</v>
      </c>
      <c r="R17" s="12">
        <v>32181.59</v>
      </c>
      <c r="S17" s="12">
        <v>21794.6</v>
      </c>
      <c r="T17" s="12">
        <v>0</v>
      </c>
      <c r="U17" s="12">
        <v>7778.74</v>
      </c>
      <c r="V17" s="12">
        <v>0</v>
      </c>
      <c r="W17" s="12">
        <v>147322.35</v>
      </c>
      <c r="X17" s="12">
        <v>0</v>
      </c>
      <c r="Y17" s="12">
        <v>0</v>
      </c>
      <c r="Z17" s="12">
        <v>34916.400000000001</v>
      </c>
      <c r="AA17" s="12">
        <v>72764.350000000006</v>
      </c>
      <c r="AB17" s="12">
        <v>0</v>
      </c>
      <c r="AC17" s="12">
        <v>21151.52</v>
      </c>
      <c r="AD17" s="12">
        <v>0</v>
      </c>
      <c r="AE17" s="12">
        <v>14533.9</v>
      </c>
      <c r="AF17" s="12">
        <v>4000</v>
      </c>
      <c r="AG17" s="12">
        <v>0</v>
      </c>
      <c r="AH17" s="12">
        <v>350264.05</v>
      </c>
      <c r="AI17" s="12">
        <v>-1446.9</v>
      </c>
      <c r="AJ17" s="12">
        <v>616020.9</v>
      </c>
      <c r="AK17" s="12">
        <v>11864.77</v>
      </c>
      <c r="AL17" s="12">
        <v>0</v>
      </c>
      <c r="AM17" s="12">
        <v>0</v>
      </c>
      <c r="AN17" s="12">
        <v>0</v>
      </c>
      <c r="AO17" s="12">
        <v>0</v>
      </c>
      <c r="AP17" s="12">
        <v>0</v>
      </c>
      <c r="AQ17" s="12">
        <v>0</v>
      </c>
      <c r="AR17" s="12">
        <v>0</v>
      </c>
      <c r="AS17" s="12">
        <v>0</v>
      </c>
      <c r="AT17" s="12">
        <v>0</v>
      </c>
      <c r="AU17" s="12">
        <v>110000.02</v>
      </c>
      <c r="AV17" s="12">
        <v>0</v>
      </c>
      <c r="AW17" s="12">
        <v>189962.52</v>
      </c>
      <c r="AX17" s="12">
        <v>0</v>
      </c>
      <c r="AY17" s="12">
        <v>0</v>
      </c>
      <c r="AZ17" s="12">
        <v>11600</v>
      </c>
      <c r="BA17" s="12">
        <v>28400</v>
      </c>
      <c r="BB17" s="12">
        <v>0</v>
      </c>
      <c r="BC17" s="12">
        <v>0</v>
      </c>
      <c r="BD17" s="12">
        <v>0</v>
      </c>
      <c r="BE17" s="12">
        <v>915149.2</v>
      </c>
      <c r="BF17" s="12">
        <v>0</v>
      </c>
      <c r="BG17" s="75">
        <f t="shared" si="6"/>
        <v>6094836.0599999996</v>
      </c>
      <c r="BH17" s="75">
        <f t="shared" si="2"/>
        <v>3715655.3300000005</v>
      </c>
      <c r="BI17" s="75">
        <f t="shared" si="3"/>
        <v>1124068.99</v>
      </c>
      <c r="BJ17" s="75">
        <f t="shared" si="4"/>
        <v>1255111.74</v>
      </c>
    </row>
    <row r="18" spans="3:62" x14ac:dyDescent="0.25">
      <c r="D18" s="7">
        <v>1012</v>
      </c>
      <c r="E18" s="7" t="s">
        <v>316</v>
      </c>
      <c r="F18" s="12">
        <v>979398.02</v>
      </c>
      <c r="G18" s="12">
        <v>110496.02</v>
      </c>
      <c r="H18" s="12">
        <v>372524.49</v>
      </c>
      <c r="I18" s="12">
        <v>342325.24</v>
      </c>
      <c r="J18" s="12">
        <v>2743294.98</v>
      </c>
      <c r="K18" s="12">
        <v>1026624.53</v>
      </c>
      <c r="L18" s="12">
        <v>1340217.2</v>
      </c>
      <c r="M18" s="12">
        <v>5254983.1900000004</v>
      </c>
      <c r="N18" s="12">
        <v>611296.48</v>
      </c>
      <c r="O18" s="12">
        <v>43250.69</v>
      </c>
      <c r="P18" s="12">
        <v>4140310.81</v>
      </c>
      <c r="Q18" s="12">
        <v>264060.26</v>
      </c>
      <c r="R18" s="12">
        <v>93840.31</v>
      </c>
      <c r="S18" s="12">
        <v>68487.38</v>
      </c>
      <c r="T18" s="12">
        <v>269136.53999999998</v>
      </c>
      <c r="U18" s="12">
        <v>515523.03</v>
      </c>
      <c r="V18" s="12">
        <v>210202.98</v>
      </c>
      <c r="W18" s="12">
        <v>218344.61</v>
      </c>
      <c r="X18" s="12">
        <v>1619647.88</v>
      </c>
      <c r="Y18" s="12">
        <v>117967.47</v>
      </c>
      <c r="Z18" s="12">
        <v>557515.09</v>
      </c>
      <c r="AA18" s="12">
        <v>411563.26</v>
      </c>
      <c r="AB18" s="12">
        <v>76688.100000000006</v>
      </c>
      <c r="AC18" s="12">
        <v>47466.71</v>
      </c>
      <c r="AD18" s="12">
        <v>402329.98</v>
      </c>
      <c r="AE18" s="12">
        <v>127216.36</v>
      </c>
      <c r="AF18" s="12">
        <v>210145.39</v>
      </c>
      <c r="AG18" s="12">
        <v>216939.82</v>
      </c>
      <c r="AH18" s="12">
        <v>-530721.56999999995</v>
      </c>
      <c r="AI18" s="12">
        <v>1299024.94</v>
      </c>
      <c r="AJ18" s="12">
        <v>240430.44</v>
      </c>
      <c r="AK18" s="12">
        <v>63846</v>
      </c>
      <c r="AL18" s="12">
        <v>1995682.1</v>
      </c>
      <c r="AM18" s="12">
        <v>934071.63</v>
      </c>
      <c r="AN18" s="12">
        <v>953855.97</v>
      </c>
      <c r="AO18" s="12">
        <v>195416.35</v>
      </c>
      <c r="AP18" s="12">
        <v>936858.83</v>
      </c>
      <c r="AQ18" s="12">
        <v>605796.05000000005</v>
      </c>
      <c r="AR18" s="12">
        <v>385097.7</v>
      </c>
      <c r="AS18" s="12">
        <v>938296.61</v>
      </c>
      <c r="AT18" s="12">
        <v>694867.79</v>
      </c>
      <c r="AU18" s="12">
        <v>897580.07</v>
      </c>
      <c r="AV18" s="12">
        <v>166039.26999999999</v>
      </c>
      <c r="AW18" s="12">
        <v>1992503.82</v>
      </c>
      <c r="AX18" s="12">
        <v>621203.53</v>
      </c>
      <c r="AY18" s="12">
        <v>40242.03</v>
      </c>
      <c r="AZ18" s="12">
        <v>289849.76</v>
      </c>
      <c r="BA18" s="12">
        <v>1781671.53</v>
      </c>
      <c r="BB18" s="12">
        <v>384288.45</v>
      </c>
      <c r="BC18" s="12">
        <v>1377546.15</v>
      </c>
      <c r="BD18" s="12">
        <v>137591.63</v>
      </c>
      <c r="BE18" s="12">
        <v>6051514.7300000004</v>
      </c>
      <c r="BF18" s="12">
        <v>424935.36</v>
      </c>
      <c r="BG18" s="75">
        <f t="shared" si="6"/>
        <v>45269285.99000001</v>
      </c>
      <c r="BH18" s="75">
        <f t="shared" si="2"/>
        <v>20223964.640000001</v>
      </c>
      <c r="BI18" s="75">
        <f t="shared" si="3"/>
        <v>3240411.9899999998</v>
      </c>
      <c r="BJ18" s="75">
        <f t="shared" si="4"/>
        <v>21804909.359999999</v>
      </c>
    </row>
    <row r="19" spans="3:62" x14ac:dyDescent="0.25">
      <c r="D19" s="7">
        <v>1013</v>
      </c>
      <c r="E19" s="7" t="s">
        <v>317</v>
      </c>
      <c r="F19" s="12">
        <v>0</v>
      </c>
      <c r="G19" s="12">
        <v>0</v>
      </c>
      <c r="H19" s="12">
        <v>0</v>
      </c>
      <c r="I19" s="12">
        <v>0</v>
      </c>
      <c r="J19" s="12">
        <v>0</v>
      </c>
      <c r="K19" s="12">
        <v>0</v>
      </c>
      <c r="L19" s="12">
        <v>0</v>
      </c>
      <c r="M19" s="12">
        <v>0</v>
      </c>
      <c r="N19" s="12">
        <v>0</v>
      </c>
      <c r="O19" s="12">
        <v>0</v>
      </c>
      <c r="P19" s="12">
        <v>0</v>
      </c>
      <c r="Q19" s="12">
        <v>0</v>
      </c>
      <c r="R19" s="12">
        <v>0</v>
      </c>
      <c r="S19" s="12">
        <v>0</v>
      </c>
      <c r="T19" s="12">
        <v>0</v>
      </c>
      <c r="U19" s="12">
        <v>0</v>
      </c>
      <c r="V19" s="12">
        <v>0</v>
      </c>
      <c r="W19" s="12">
        <v>0</v>
      </c>
      <c r="X19" s="12">
        <v>0</v>
      </c>
      <c r="Y19" s="12">
        <v>0</v>
      </c>
      <c r="Z19" s="12">
        <v>0</v>
      </c>
      <c r="AA19" s="12">
        <v>0</v>
      </c>
      <c r="AB19" s="12">
        <v>0</v>
      </c>
      <c r="AC19" s="12">
        <v>0</v>
      </c>
      <c r="AD19" s="12">
        <v>0</v>
      </c>
      <c r="AE19" s="12">
        <v>0</v>
      </c>
      <c r="AF19" s="12">
        <v>0</v>
      </c>
      <c r="AG19" s="12">
        <v>0</v>
      </c>
      <c r="AH19" s="12">
        <v>0</v>
      </c>
      <c r="AI19" s="12">
        <v>0</v>
      </c>
      <c r="AJ19" s="12">
        <v>0</v>
      </c>
      <c r="AK19" s="12">
        <v>740.25</v>
      </c>
      <c r="AL19" s="12">
        <v>0</v>
      </c>
      <c r="AM19" s="12">
        <v>0</v>
      </c>
      <c r="AN19" s="12">
        <v>0</v>
      </c>
      <c r="AO19" s="12">
        <v>41870.5</v>
      </c>
      <c r="AP19" s="12">
        <v>0</v>
      </c>
      <c r="AQ19" s="12">
        <v>0</v>
      </c>
      <c r="AR19" s="12">
        <v>0</v>
      </c>
      <c r="AS19" s="12">
        <v>0</v>
      </c>
      <c r="AT19" s="12">
        <v>0</v>
      </c>
      <c r="AU19" s="12">
        <v>0</v>
      </c>
      <c r="AV19" s="12">
        <v>0</v>
      </c>
      <c r="AW19" s="12">
        <v>0</v>
      </c>
      <c r="AX19" s="12">
        <v>0</v>
      </c>
      <c r="AY19" s="12">
        <v>0</v>
      </c>
      <c r="AZ19" s="12">
        <v>0</v>
      </c>
      <c r="BA19" s="12">
        <v>0</v>
      </c>
      <c r="BB19" s="12">
        <v>0</v>
      </c>
      <c r="BC19" s="12">
        <v>0</v>
      </c>
      <c r="BD19" s="12">
        <v>0</v>
      </c>
      <c r="BE19" s="12">
        <v>334948.05</v>
      </c>
      <c r="BF19" s="12">
        <v>0</v>
      </c>
      <c r="BG19" s="75">
        <f t="shared" si="6"/>
        <v>377558.8</v>
      </c>
      <c r="BH19" s="75">
        <f t="shared" si="2"/>
        <v>0</v>
      </c>
      <c r="BI19" s="75">
        <f t="shared" si="3"/>
        <v>740.25</v>
      </c>
      <c r="BJ19" s="75">
        <f t="shared" si="4"/>
        <v>376818.55</v>
      </c>
    </row>
    <row r="20" spans="3:62" x14ac:dyDescent="0.25">
      <c r="D20" s="7">
        <v>1014</v>
      </c>
      <c r="E20" s="7" t="s">
        <v>318</v>
      </c>
      <c r="F20" s="12">
        <v>0</v>
      </c>
      <c r="G20" s="12">
        <v>0</v>
      </c>
      <c r="H20" s="12">
        <v>0</v>
      </c>
      <c r="I20" s="12">
        <v>0</v>
      </c>
      <c r="J20" s="12">
        <v>0</v>
      </c>
      <c r="K20" s="12">
        <v>0</v>
      </c>
      <c r="L20" s="12">
        <v>0</v>
      </c>
      <c r="M20" s="12">
        <v>0</v>
      </c>
      <c r="N20" s="12">
        <v>0</v>
      </c>
      <c r="O20" s="12">
        <v>0</v>
      </c>
      <c r="P20" s="12">
        <v>0</v>
      </c>
      <c r="Q20" s="12">
        <v>0</v>
      </c>
      <c r="R20" s="12">
        <v>0</v>
      </c>
      <c r="S20" s="12">
        <v>0</v>
      </c>
      <c r="T20" s="12">
        <v>0</v>
      </c>
      <c r="U20" s="12">
        <v>0</v>
      </c>
      <c r="V20" s="12">
        <v>0</v>
      </c>
      <c r="W20" s="12">
        <v>0</v>
      </c>
      <c r="X20" s="12">
        <v>0</v>
      </c>
      <c r="Y20" s="12">
        <v>0</v>
      </c>
      <c r="Z20" s="12">
        <v>9963.3799999999992</v>
      </c>
      <c r="AA20" s="12">
        <v>0</v>
      </c>
      <c r="AB20" s="12">
        <v>0</v>
      </c>
      <c r="AC20" s="12">
        <v>1802.2</v>
      </c>
      <c r="AD20" s="12">
        <v>0</v>
      </c>
      <c r="AE20" s="12">
        <v>0</v>
      </c>
      <c r="AF20" s="12">
        <v>0</v>
      </c>
      <c r="AG20" s="12">
        <v>0</v>
      </c>
      <c r="AH20" s="12">
        <v>0</v>
      </c>
      <c r="AI20" s="12">
        <v>0</v>
      </c>
      <c r="AJ20" s="12">
        <v>0</v>
      </c>
      <c r="AK20" s="12">
        <v>0</v>
      </c>
      <c r="AL20" s="12">
        <v>0</v>
      </c>
      <c r="AM20" s="12">
        <v>0</v>
      </c>
      <c r="AN20" s="12">
        <v>496924.02</v>
      </c>
      <c r="AO20" s="12">
        <v>0</v>
      </c>
      <c r="AP20" s="12">
        <v>0</v>
      </c>
      <c r="AQ20" s="12">
        <v>0</v>
      </c>
      <c r="AR20" s="12">
        <v>0</v>
      </c>
      <c r="AS20" s="12">
        <v>0</v>
      </c>
      <c r="AT20" s="12">
        <v>0</v>
      </c>
      <c r="AU20" s="12">
        <v>0</v>
      </c>
      <c r="AV20" s="12">
        <v>0</v>
      </c>
      <c r="AW20" s="12">
        <v>0</v>
      </c>
      <c r="AX20" s="12">
        <v>0</v>
      </c>
      <c r="AY20" s="12">
        <v>0</v>
      </c>
      <c r="AZ20" s="12">
        <v>0</v>
      </c>
      <c r="BA20" s="12">
        <v>253022.59</v>
      </c>
      <c r="BB20" s="12">
        <v>0</v>
      </c>
      <c r="BC20" s="12">
        <v>0</v>
      </c>
      <c r="BD20" s="12">
        <v>0</v>
      </c>
      <c r="BE20" s="12">
        <v>0</v>
      </c>
      <c r="BF20" s="12">
        <v>0</v>
      </c>
      <c r="BG20" s="75">
        <f t="shared" si="6"/>
        <v>761712.19000000006</v>
      </c>
      <c r="BH20" s="75">
        <f t="shared" si="2"/>
        <v>0</v>
      </c>
      <c r="BI20" s="75">
        <f t="shared" si="3"/>
        <v>11765.58</v>
      </c>
      <c r="BJ20" s="75">
        <f t="shared" si="4"/>
        <v>749946.61</v>
      </c>
    </row>
    <row r="21" spans="3:62" x14ac:dyDescent="0.25">
      <c r="D21" s="7">
        <v>1015</v>
      </c>
      <c r="E21" s="7" t="s">
        <v>320</v>
      </c>
      <c r="F21" s="12">
        <v>0</v>
      </c>
      <c r="G21" s="12">
        <v>0</v>
      </c>
      <c r="H21" s="12">
        <v>0</v>
      </c>
      <c r="I21" s="12">
        <v>0</v>
      </c>
      <c r="J21" s="12">
        <v>0</v>
      </c>
      <c r="K21" s="12">
        <v>0</v>
      </c>
      <c r="L21" s="12">
        <v>0</v>
      </c>
      <c r="M21" s="12">
        <v>860090.83</v>
      </c>
      <c r="N21" s="12">
        <v>23.7</v>
      </c>
      <c r="O21" s="12">
        <v>-100</v>
      </c>
      <c r="P21" s="12">
        <v>0</v>
      </c>
      <c r="Q21" s="12">
        <v>0</v>
      </c>
      <c r="R21" s="12">
        <v>0</v>
      </c>
      <c r="S21" s="12">
        <v>0</v>
      </c>
      <c r="T21" s="12">
        <v>0</v>
      </c>
      <c r="U21" s="12">
        <v>101781.95</v>
      </c>
      <c r="V21" s="12">
        <v>0</v>
      </c>
      <c r="W21" s="12">
        <v>0</v>
      </c>
      <c r="X21" s="12">
        <v>247429.04</v>
      </c>
      <c r="Y21" s="12">
        <v>0</v>
      </c>
      <c r="Z21" s="12">
        <v>0</v>
      </c>
      <c r="AA21" s="12">
        <v>0</v>
      </c>
      <c r="AB21" s="12">
        <v>0</v>
      </c>
      <c r="AC21" s="12">
        <v>0</v>
      </c>
      <c r="AD21" s="12">
        <v>71258.95</v>
      </c>
      <c r="AE21" s="12">
        <v>0</v>
      </c>
      <c r="AF21" s="12">
        <v>0</v>
      </c>
      <c r="AG21" s="12">
        <v>0</v>
      </c>
      <c r="AH21" s="12">
        <v>0</v>
      </c>
      <c r="AI21" s="12">
        <v>0</v>
      </c>
      <c r="AJ21" s="12">
        <v>0</v>
      </c>
      <c r="AK21" s="12">
        <v>0</v>
      </c>
      <c r="AL21" s="12">
        <v>0</v>
      </c>
      <c r="AM21" s="12">
        <v>0</v>
      </c>
      <c r="AN21" s="12">
        <v>0</v>
      </c>
      <c r="AO21" s="12">
        <v>0</v>
      </c>
      <c r="AP21" s="12">
        <v>0</v>
      </c>
      <c r="AQ21" s="12">
        <v>494.35</v>
      </c>
      <c r="AR21" s="12">
        <v>0</v>
      </c>
      <c r="AS21" s="12">
        <v>0</v>
      </c>
      <c r="AT21" s="12">
        <v>0</v>
      </c>
      <c r="AU21" s="12">
        <v>76500</v>
      </c>
      <c r="AV21" s="12">
        <v>0</v>
      </c>
      <c r="AW21" s="12">
        <v>215369.14</v>
      </c>
      <c r="AX21" s="12">
        <v>0</v>
      </c>
      <c r="AY21" s="12">
        <v>0</v>
      </c>
      <c r="AZ21" s="12">
        <v>0</v>
      </c>
      <c r="BA21" s="12">
        <v>0</v>
      </c>
      <c r="BB21" s="12">
        <v>0</v>
      </c>
      <c r="BC21" s="12">
        <v>0</v>
      </c>
      <c r="BD21" s="12">
        <v>0</v>
      </c>
      <c r="BE21" s="12">
        <v>-12246.5</v>
      </c>
      <c r="BF21" s="12">
        <v>0</v>
      </c>
      <c r="BG21" s="75">
        <f t="shared" si="6"/>
        <v>1560601.46</v>
      </c>
      <c r="BH21" s="75">
        <f t="shared" si="2"/>
        <v>1209225.5199999998</v>
      </c>
      <c r="BI21" s="75">
        <f t="shared" si="3"/>
        <v>71258.95</v>
      </c>
      <c r="BJ21" s="75">
        <f t="shared" si="4"/>
        <v>280116.99</v>
      </c>
    </row>
    <row r="22" spans="3:62" x14ac:dyDescent="0.25">
      <c r="D22" s="7">
        <v>1016</v>
      </c>
      <c r="E22" s="7" t="s">
        <v>321</v>
      </c>
      <c r="F22" s="12">
        <v>0</v>
      </c>
      <c r="G22" s="12">
        <v>0</v>
      </c>
      <c r="H22" s="12">
        <v>0</v>
      </c>
      <c r="I22" s="12">
        <v>0</v>
      </c>
      <c r="J22" s="12">
        <v>0</v>
      </c>
      <c r="K22" s="12">
        <v>0</v>
      </c>
      <c r="L22" s="12">
        <v>0</v>
      </c>
      <c r="M22" s="12">
        <v>0</v>
      </c>
      <c r="N22" s="12">
        <v>0</v>
      </c>
      <c r="O22" s="12">
        <v>0</v>
      </c>
      <c r="P22" s="12">
        <v>0</v>
      </c>
      <c r="Q22" s="12">
        <v>0</v>
      </c>
      <c r="R22" s="12">
        <v>0</v>
      </c>
      <c r="S22" s="12">
        <v>0</v>
      </c>
      <c r="T22" s="12">
        <v>0</v>
      </c>
      <c r="U22" s="12">
        <v>0</v>
      </c>
      <c r="V22" s="12">
        <v>0</v>
      </c>
      <c r="W22" s="12">
        <v>0</v>
      </c>
      <c r="X22" s="12">
        <v>0</v>
      </c>
      <c r="Y22" s="12">
        <v>0</v>
      </c>
      <c r="Z22" s="12">
        <v>0</v>
      </c>
      <c r="AA22" s="12">
        <v>0</v>
      </c>
      <c r="AB22" s="12">
        <v>0</v>
      </c>
      <c r="AC22" s="12">
        <v>0</v>
      </c>
      <c r="AD22" s="12">
        <v>0</v>
      </c>
      <c r="AE22" s="12">
        <v>12000</v>
      </c>
      <c r="AF22" s="12">
        <v>0</v>
      </c>
      <c r="AG22" s="12">
        <v>0</v>
      </c>
      <c r="AH22" s="12">
        <v>0</v>
      </c>
      <c r="AI22" s="12">
        <v>0</v>
      </c>
      <c r="AJ22" s="12">
        <v>0</v>
      </c>
      <c r="AK22" s="12">
        <v>0</v>
      </c>
      <c r="AL22" s="12">
        <v>7953.95</v>
      </c>
      <c r="AM22" s="12">
        <v>0</v>
      </c>
      <c r="AN22" s="12">
        <v>0</v>
      </c>
      <c r="AO22" s="12">
        <v>0</v>
      </c>
      <c r="AP22" s="12">
        <v>0</v>
      </c>
      <c r="AQ22" s="12">
        <v>0</v>
      </c>
      <c r="AR22" s="12">
        <v>0</v>
      </c>
      <c r="AS22" s="12">
        <v>0</v>
      </c>
      <c r="AT22" s="12">
        <v>0</v>
      </c>
      <c r="AU22" s="12">
        <v>0</v>
      </c>
      <c r="AV22" s="12">
        <v>0</v>
      </c>
      <c r="AW22" s="12">
        <v>0</v>
      </c>
      <c r="AX22" s="12">
        <v>0</v>
      </c>
      <c r="AY22" s="12">
        <v>0</v>
      </c>
      <c r="AZ22" s="12">
        <v>0</v>
      </c>
      <c r="BA22" s="12">
        <v>0</v>
      </c>
      <c r="BB22" s="12">
        <v>0</v>
      </c>
      <c r="BC22" s="12">
        <v>0</v>
      </c>
      <c r="BD22" s="12">
        <v>0</v>
      </c>
      <c r="BE22" s="12">
        <v>0</v>
      </c>
      <c r="BF22" s="12">
        <v>0</v>
      </c>
      <c r="BG22" s="75">
        <f t="shared" si="6"/>
        <v>19953.95</v>
      </c>
      <c r="BH22" s="75">
        <f t="shared" si="2"/>
        <v>0</v>
      </c>
      <c r="BI22" s="75">
        <f t="shared" si="3"/>
        <v>12000</v>
      </c>
      <c r="BJ22" s="75">
        <f t="shared" si="4"/>
        <v>7953.95</v>
      </c>
    </row>
    <row r="23" spans="3:62" x14ac:dyDescent="0.25">
      <c r="D23" s="7">
        <v>1019</v>
      </c>
      <c r="E23" s="7" t="s">
        <v>322</v>
      </c>
      <c r="F23" s="12">
        <v>-51750.09</v>
      </c>
      <c r="G23" s="12">
        <v>1.75</v>
      </c>
      <c r="H23" s="12">
        <v>1.75</v>
      </c>
      <c r="I23" s="12">
        <v>0</v>
      </c>
      <c r="J23" s="12">
        <v>2269.75</v>
      </c>
      <c r="K23" s="12">
        <v>50921.3</v>
      </c>
      <c r="L23" s="12">
        <v>641.75</v>
      </c>
      <c r="M23" s="12">
        <v>152506.01</v>
      </c>
      <c r="N23" s="12">
        <v>993.34</v>
      </c>
      <c r="O23" s="12">
        <v>0</v>
      </c>
      <c r="P23" s="12">
        <v>8824.2900000000009</v>
      </c>
      <c r="Q23" s="12">
        <v>0</v>
      </c>
      <c r="R23" s="12">
        <v>7.35</v>
      </c>
      <c r="S23" s="12">
        <v>5.25</v>
      </c>
      <c r="T23" s="12">
        <v>0</v>
      </c>
      <c r="U23" s="12">
        <v>0</v>
      </c>
      <c r="V23" s="12">
        <v>0</v>
      </c>
      <c r="W23" s="12">
        <v>0</v>
      </c>
      <c r="X23" s="12">
        <v>72.790000000000006</v>
      </c>
      <c r="Y23" s="12">
        <v>0</v>
      </c>
      <c r="Z23" s="12">
        <v>29963</v>
      </c>
      <c r="AA23" s="12">
        <v>5848.35</v>
      </c>
      <c r="AB23" s="12">
        <v>9193.86</v>
      </c>
      <c r="AC23" s="12">
        <v>364</v>
      </c>
      <c r="AD23" s="12">
        <v>15843.31</v>
      </c>
      <c r="AE23" s="12">
        <v>24.19</v>
      </c>
      <c r="AF23" s="12">
        <v>29466.5</v>
      </c>
      <c r="AG23" s="12">
        <v>504.6</v>
      </c>
      <c r="AH23" s="12">
        <v>3050.25</v>
      </c>
      <c r="AI23" s="12">
        <v>1750.4</v>
      </c>
      <c r="AJ23" s="12">
        <v>233.5</v>
      </c>
      <c r="AK23" s="12">
        <v>1891.9</v>
      </c>
      <c r="AL23" s="12">
        <v>87342.62</v>
      </c>
      <c r="AM23" s="12">
        <v>114.25</v>
      </c>
      <c r="AN23" s="12">
        <v>-0.01</v>
      </c>
      <c r="AO23" s="12">
        <v>0</v>
      </c>
      <c r="AP23" s="12">
        <v>36968.65</v>
      </c>
      <c r="AQ23" s="12">
        <v>5.25</v>
      </c>
      <c r="AR23" s="12">
        <v>-4.2</v>
      </c>
      <c r="AS23" s="12">
        <v>43743.85</v>
      </c>
      <c r="AT23" s="12">
        <v>2378.85</v>
      </c>
      <c r="AU23" s="12">
        <v>56.62</v>
      </c>
      <c r="AV23" s="12">
        <v>31.39</v>
      </c>
      <c r="AW23" s="12">
        <v>2233.1</v>
      </c>
      <c r="AX23" s="12">
        <v>771.04</v>
      </c>
      <c r="AY23" s="12">
        <v>2.75</v>
      </c>
      <c r="AZ23" s="12">
        <v>0</v>
      </c>
      <c r="BA23" s="12">
        <v>2933.9</v>
      </c>
      <c r="BB23" s="12">
        <v>53843.49</v>
      </c>
      <c r="BC23" s="12">
        <v>1012.05</v>
      </c>
      <c r="BD23" s="12">
        <v>0</v>
      </c>
      <c r="BE23" s="12">
        <v>453932.97</v>
      </c>
      <c r="BF23" s="12">
        <v>0</v>
      </c>
      <c r="BG23" s="75">
        <f t="shared" si="6"/>
        <v>947995.66999999993</v>
      </c>
      <c r="BH23" s="75">
        <f t="shared" si="2"/>
        <v>164495.24000000005</v>
      </c>
      <c r="BI23" s="75">
        <f t="shared" si="3"/>
        <v>98133.859999999986</v>
      </c>
      <c r="BJ23" s="75">
        <f t="shared" si="4"/>
        <v>685366.57</v>
      </c>
    </row>
    <row r="24" spans="3:62" x14ac:dyDescent="0.25">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75"/>
      <c r="BH24" s="75"/>
      <c r="BI24" s="75">
        <f t="shared" si="3"/>
        <v>0</v>
      </c>
      <c r="BJ24" s="75"/>
    </row>
    <row r="25" spans="3:62" x14ac:dyDescent="0.25">
      <c r="C25" s="76">
        <v>102</v>
      </c>
      <c r="D25" s="76"/>
      <c r="E25" s="76" t="s">
        <v>242</v>
      </c>
      <c r="F25" s="96">
        <f>F26+F27+F28+F29</f>
        <v>0</v>
      </c>
      <c r="G25" s="96">
        <f t="shared" ref="G25:BF25" si="8">G26+G27+G28+G29</f>
        <v>0</v>
      </c>
      <c r="H25" s="96">
        <f t="shared" si="8"/>
        <v>0</v>
      </c>
      <c r="I25" s="96">
        <f t="shared" si="8"/>
        <v>0</v>
      </c>
      <c r="J25" s="96">
        <f>J26+J27+J28+J29</f>
        <v>0</v>
      </c>
      <c r="K25" s="96">
        <f t="shared" si="8"/>
        <v>0</v>
      </c>
      <c r="L25" s="96">
        <f t="shared" si="8"/>
        <v>0</v>
      </c>
      <c r="M25" s="96">
        <f t="shared" si="8"/>
        <v>0</v>
      </c>
      <c r="N25" s="96">
        <f t="shared" si="8"/>
        <v>0</v>
      </c>
      <c r="O25" s="96">
        <f t="shared" si="8"/>
        <v>0</v>
      </c>
      <c r="P25" s="96">
        <f t="shared" si="8"/>
        <v>0</v>
      </c>
      <c r="Q25" s="96">
        <f t="shared" si="8"/>
        <v>0</v>
      </c>
      <c r="R25" s="96">
        <f t="shared" si="8"/>
        <v>0</v>
      </c>
      <c r="S25" s="96">
        <f t="shared" si="8"/>
        <v>0</v>
      </c>
      <c r="T25" s="96">
        <f t="shared" si="8"/>
        <v>0</v>
      </c>
      <c r="U25" s="96">
        <f t="shared" si="8"/>
        <v>0</v>
      </c>
      <c r="V25" s="96">
        <f t="shared" si="8"/>
        <v>0</v>
      </c>
      <c r="W25" s="96">
        <f t="shared" si="8"/>
        <v>0</v>
      </c>
      <c r="X25" s="96">
        <f t="shared" si="8"/>
        <v>0</v>
      </c>
      <c r="Y25" s="96">
        <f t="shared" si="8"/>
        <v>0</v>
      </c>
      <c r="Z25" s="96">
        <f t="shared" si="8"/>
        <v>0</v>
      </c>
      <c r="AA25" s="96">
        <f t="shared" si="8"/>
        <v>0</v>
      </c>
      <c r="AB25" s="96">
        <f t="shared" si="8"/>
        <v>0</v>
      </c>
      <c r="AC25" s="96">
        <f t="shared" si="8"/>
        <v>0</v>
      </c>
      <c r="AD25" s="96">
        <f t="shared" si="8"/>
        <v>0</v>
      </c>
      <c r="AE25" s="96">
        <f t="shared" si="8"/>
        <v>0</v>
      </c>
      <c r="AF25" s="96">
        <f t="shared" si="8"/>
        <v>0</v>
      </c>
      <c r="AG25" s="96">
        <f t="shared" si="8"/>
        <v>0</v>
      </c>
      <c r="AH25" s="96">
        <f t="shared" si="8"/>
        <v>0</v>
      </c>
      <c r="AI25" s="96">
        <f t="shared" si="8"/>
        <v>0</v>
      </c>
      <c r="AJ25" s="96">
        <f t="shared" si="8"/>
        <v>0</v>
      </c>
      <c r="AK25" s="96">
        <f t="shared" si="8"/>
        <v>0</v>
      </c>
      <c r="AL25" s="96">
        <f t="shared" si="8"/>
        <v>0</v>
      </c>
      <c r="AM25" s="96">
        <f t="shared" si="8"/>
        <v>0</v>
      </c>
      <c r="AN25" s="96">
        <f t="shared" si="8"/>
        <v>0</v>
      </c>
      <c r="AO25" s="96">
        <f t="shared" si="8"/>
        <v>0</v>
      </c>
      <c r="AP25" s="96">
        <f t="shared" si="8"/>
        <v>0</v>
      </c>
      <c r="AQ25" s="96">
        <f t="shared" si="8"/>
        <v>0</v>
      </c>
      <c r="AR25" s="96">
        <f t="shared" si="8"/>
        <v>0</v>
      </c>
      <c r="AS25" s="96">
        <f t="shared" si="8"/>
        <v>0</v>
      </c>
      <c r="AT25" s="96">
        <f t="shared" si="8"/>
        <v>0</v>
      </c>
      <c r="AU25" s="96">
        <f t="shared" si="8"/>
        <v>0</v>
      </c>
      <c r="AV25" s="96">
        <f t="shared" si="8"/>
        <v>0</v>
      </c>
      <c r="AW25" s="96">
        <f t="shared" si="8"/>
        <v>0</v>
      </c>
      <c r="AX25" s="96">
        <f t="shared" si="8"/>
        <v>0</v>
      </c>
      <c r="AY25" s="96">
        <f t="shared" si="8"/>
        <v>0</v>
      </c>
      <c r="AZ25" s="96">
        <f t="shared" si="8"/>
        <v>0</v>
      </c>
      <c r="BA25" s="96">
        <f t="shared" si="8"/>
        <v>0</v>
      </c>
      <c r="BB25" s="96">
        <f t="shared" si="8"/>
        <v>0</v>
      </c>
      <c r="BC25" s="96">
        <f t="shared" si="8"/>
        <v>0</v>
      </c>
      <c r="BD25" s="96">
        <f t="shared" si="8"/>
        <v>0</v>
      </c>
      <c r="BE25" s="96">
        <f t="shared" si="8"/>
        <v>0</v>
      </c>
      <c r="BF25" s="96">
        <f t="shared" si="8"/>
        <v>0</v>
      </c>
      <c r="BG25" s="96">
        <f t="shared" si="6"/>
        <v>0</v>
      </c>
      <c r="BH25" s="96">
        <f t="shared" si="2"/>
        <v>0</v>
      </c>
      <c r="BI25" s="96">
        <f t="shared" si="3"/>
        <v>0</v>
      </c>
      <c r="BJ25" s="96">
        <f t="shared" si="4"/>
        <v>0</v>
      </c>
    </row>
    <row r="26" spans="3:62" x14ac:dyDescent="0.25">
      <c r="D26" s="7">
        <v>1020</v>
      </c>
      <c r="E26" s="7" t="s">
        <v>323</v>
      </c>
      <c r="F26" s="12">
        <v>0</v>
      </c>
      <c r="G26" s="12">
        <v>0</v>
      </c>
      <c r="H26" s="12">
        <v>0</v>
      </c>
      <c r="I26" s="12">
        <v>0</v>
      </c>
      <c r="J26" s="12">
        <v>0</v>
      </c>
      <c r="K26" s="12">
        <v>0</v>
      </c>
      <c r="L26" s="12">
        <v>0</v>
      </c>
      <c r="M26" s="12">
        <v>0</v>
      </c>
      <c r="N26" s="12">
        <v>0</v>
      </c>
      <c r="O26" s="12">
        <v>0</v>
      </c>
      <c r="P26" s="12">
        <v>0</v>
      </c>
      <c r="Q26" s="12">
        <v>0</v>
      </c>
      <c r="R26" s="12">
        <v>0</v>
      </c>
      <c r="S26" s="12">
        <v>0</v>
      </c>
      <c r="T26" s="12">
        <v>0</v>
      </c>
      <c r="U26" s="12">
        <v>0</v>
      </c>
      <c r="V26" s="12">
        <v>0</v>
      </c>
      <c r="W26" s="12">
        <v>0</v>
      </c>
      <c r="X26" s="12">
        <v>0</v>
      </c>
      <c r="Y26" s="12">
        <v>0</v>
      </c>
      <c r="Z26" s="12">
        <v>0</v>
      </c>
      <c r="AA26" s="12">
        <v>0</v>
      </c>
      <c r="AB26" s="12">
        <v>0</v>
      </c>
      <c r="AC26" s="12">
        <v>0</v>
      </c>
      <c r="AD26" s="12">
        <v>0</v>
      </c>
      <c r="AE26" s="12">
        <v>0</v>
      </c>
      <c r="AF26" s="12">
        <v>0</v>
      </c>
      <c r="AG26" s="12">
        <v>0</v>
      </c>
      <c r="AH26" s="12">
        <v>0</v>
      </c>
      <c r="AI26" s="12">
        <v>0</v>
      </c>
      <c r="AJ26" s="12">
        <v>0</v>
      </c>
      <c r="AK26" s="12">
        <v>0</v>
      </c>
      <c r="AL26" s="12">
        <v>0</v>
      </c>
      <c r="AM26" s="12">
        <v>0</v>
      </c>
      <c r="AN26" s="12">
        <v>0</v>
      </c>
      <c r="AO26" s="12">
        <v>0</v>
      </c>
      <c r="AP26" s="12">
        <v>0</v>
      </c>
      <c r="AQ26" s="12">
        <v>0</v>
      </c>
      <c r="AR26" s="12">
        <v>0</v>
      </c>
      <c r="AS26" s="12">
        <v>0</v>
      </c>
      <c r="AT26" s="12">
        <v>0</v>
      </c>
      <c r="AU26" s="12">
        <v>0</v>
      </c>
      <c r="AV26" s="12">
        <v>0</v>
      </c>
      <c r="AW26" s="12">
        <v>0</v>
      </c>
      <c r="AX26" s="12">
        <v>0</v>
      </c>
      <c r="AY26" s="12">
        <v>0</v>
      </c>
      <c r="AZ26" s="12">
        <v>0</v>
      </c>
      <c r="BA26" s="12">
        <v>0</v>
      </c>
      <c r="BB26" s="12">
        <v>0</v>
      </c>
      <c r="BC26" s="12">
        <v>0</v>
      </c>
      <c r="BD26" s="12">
        <v>0</v>
      </c>
      <c r="BE26" s="12">
        <v>0</v>
      </c>
      <c r="BF26" s="12">
        <v>0</v>
      </c>
      <c r="BG26" s="75">
        <f t="shared" si="6"/>
        <v>0</v>
      </c>
      <c r="BH26" s="75">
        <f t="shared" si="2"/>
        <v>0</v>
      </c>
      <c r="BI26" s="75">
        <f t="shared" si="3"/>
        <v>0</v>
      </c>
      <c r="BJ26" s="75">
        <f t="shared" si="4"/>
        <v>0</v>
      </c>
    </row>
    <row r="27" spans="3:62" x14ac:dyDescent="0.25">
      <c r="D27" s="7">
        <v>1022</v>
      </c>
      <c r="E27" s="7" t="s">
        <v>324</v>
      </c>
      <c r="F27" s="12">
        <v>0</v>
      </c>
      <c r="G27" s="12">
        <v>0</v>
      </c>
      <c r="H27" s="12">
        <v>0</v>
      </c>
      <c r="I27" s="12">
        <v>0</v>
      </c>
      <c r="J27" s="12">
        <v>0</v>
      </c>
      <c r="K27" s="12">
        <v>0</v>
      </c>
      <c r="L27" s="12">
        <v>0</v>
      </c>
      <c r="M27" s="12">
        <v>0</v>
      </c>
      <c r="N27" s="12">
        <v>0</v>
      </c>
      <c r="O27" s="12">
        <v>0</v>
      </c>
      <c r="P27" s="12">
        <v>0</v>
      </c>
      <c r="Q27" s="12">
        <v>0</v>
      </c>
      <c r="R27" s="12">
        <v>0</v>
      </c>
      <c r="S27" s="12">
        <v>0</v>
      </c>
      <c r="T27" s="12">
        <v>0</v>
      </c>
      <c r="U27" s="12">
        <v>0</v>
      </c>
      <c r="V27" s="12">
        <v>0</v>
      </c>
      <c r="W27" s="12">
        <v>0</v>
      </c>
      <c r="X27" s="12">
        <v>0</v>
      </c>
      <c r="Y27" s="12">
        <v>0</v>
      </c>
      <c r="Z27" s="12">
        <v>0</v>
      </c>
      <c r="AA27" s="12">
        <v>0</v>
      </c>
      <c r="AB27" s="12">
        <v>0</v>
      </c>
      <c r="AC27" s="12">
        <v>0</v>
      </c>
      <c r="AD27" s="12">
        <v>0</v>
      </c>
      <c r="AE27" s="12">
        <v>0</v>
      </c>
      <c r="AF27" s="12">
        <v>0</v>
      </c>
      <c r="AG27" s="12">
        <v>0</v>
      </c>
      <c r="AH27" s="12">
        <v>0</v>
      </c>
      <c r="AI27" s="12">
        <v>0</v>
      </c>
      <c r="AJ27" s="12">
        <v>0</v>
      </c>
      <c r="AK27" s="12">
        <v>0</v>
      </c>
      <c r="AL27" s="12">
        <v>0</v>
      </c>
      <c r="AM27" s="12">
        <v>0</v>
      </c>
      <c r="AN27" s="12">
        <v>0</v>
      </c>
      <c r="AO27" s="12">
        <v>0</v>
      </c>
      <c r="AP27" s="12">
        <v>0</v>
      </c>
      <c r="AQ27" s="12">
        <v>0</v>
      </c>
      <c r="AR27" s="12">
        <v>0</v>
      </c>
      <c r="AS27" s="12">
        <v>0</v>
      </c>
      <c r="AT27" s="12">
        <v>0</v>
      </c>
      <c r="AU27" s="12">
        <v>0</v>
      </c>
      <c r="AV27" s="12">
        <v>0</v>
      </c>
      <c r="AW27" s="12">
        <v>0</v>
      </c>
      <c r="AX27" s="12">
        <v>0</v>
      </c>
      <c r="AY27" s="12">
        <v>0</v>
      </c>
      <c r="AZ27" s="12">
        <v>0</v>
      </c>
      <c r="BA27" s="12">
        <v>0</v>
      </c>
      <c r="BB27" s="12">
        <v>0</v>
      </c>
      <c r="BC27" s="12">
        <v>0</v>
      </c>
      <c r="BD27" s="12">
        <v>0</v>
      </c>
      <c r="BE27" s="12">
        <v>0</v>
      </c>
      <c r="BF27" s="12">
        <v>0</v>
      </c>
      <c r="BG27" s="75">
        <f t="shared" si="6"/>
        <v>0</v>
      </c>
      <c r="BH27" s="75">
        <f t="shared" si="2"/>
        <v>0</v>
      </c>
      <c r="BI27" s="75">
        <f t="shared" si="3"/>
        <v>0</v>
      </c>
      <c r="BJ27" s="75">
        <f t="shared" si="4"/>
        <v>0</v>
      </c>
    </row>
    <row r="28" spans="3:62" x14ac:dyDescent="0.25">
      <c r="D28" s="7">
        <v>1023</v>
      </c>
      <c r="E28" s="7" t="s">
        <v>325</v>
      </c>
      <c r="F28" s="12">
        <v>0</v>
      </c>
      <c r="G28" s="12">
        <v>0</v>
      </c>
      <c r="H28" s="12">
        <v>0</v>
      </c>
      <c r="I28" s="12">
        <v>0</v>
      </c>
      <c r="J28" s="12">
        <v>0</v>
      </c>
      <c r="K28" s="12">
        <v>0</v>
      </c>
      <c r="L28" s="12">
        <v>0</v>
      </c>
      <c r="M28" s="12">
        <v>0</v>
      </c>
      <c r="N28" s="12">
        <v>0</v>
      </c>
      <c r="O28" s="12">
        <v>0</v>
      </c>
      <c r="P28" s="12">
        <v>0</v>
      </c>
      <c r="Q28" s="12">
        <v>0</v>
      </c>
      <c r="R28" s="12">
        <v>0</v>
      </c>
      <c r="S28" s="12">
        <v>0</v>
      </c>
      <c r="T28" s="12">
        <v>0</v>
      </c>
      <c r="U28" s="12">
        <v>0</v>
      </c>
      <c r="V28" s="12">
        <v>0</v>
      </c>
      <c r="W28" s="12">
        <v>0</v>
      </c>
      <c r="X28" s="12">
        <v>0</v>
      </c>
      <c r="Y28" s="12">
        <v>0</v>
      </c>
      <c r="Z28" s="12">
        <v>0</v>
      </c>
      <c r="AA28" s="12">
        <v>0</v>
      </c>
      <c r="AB28" s="12">
        <v>0</v>
      </c>
      <c r="AC28" s="12">
        <v>0</v>
      </c>
      <c r="AD28" s="12">
        <v>0</v>
      </c>
      <c r="AE28" s="12">
        <v>0</v>
      </c>
      <c r="AF28" s="12">
        <v>0</v>
      </c>
      <c r="AG28" s="12">
        <v>0</v>
      </c>
      <c r="AH28" s="12">
        <v>0</v>
      </c>
      <c r="AI28" s="12">
        <v>0</v>
      </c>
      <c r="AJ28" s="12">
        <v>0</v>
      </c>
      <c r="AK28" s="12">
        <v>0</v>
      </c>
      <c r="AL28" s="12">
        <v>0</v>
      </c>
      <c r="AM28" s="12">
        <v>0</v>
      </c>
      <c r="AN28" s="12">
        <v>0</v>
      </c>
      <c r="AO28" s="12">
        <v>0</v>
      </c>
      <c r="AP28" s="12">
        <v>0</v>
      </c>
      <c r="AQ28" s="12">
        <v>0</v>
      </c>
      <c r="AR28" s="12">
        <v>0</v>
      </c>
      <c r="AS28" s="12">
        <v>0</v>
      </c>
      <c r="AT28" s="12">
        <v>0</v>
      </c>
      <c r="AU28" s="12">
        <v>0</v>
      </c>
      <c r="AV28" s="12">
        <v>0</v>
      </c>
      <c r="AW28" s="12">
        <v>0</v>
      </c>
      <c r="AX28" s="12">
        <v>0</v>
      </c>
      <c r="AY28" s="12">
        <v>0</v>
      </c>
      <c r="AZ28" s="12">
        <v>0</v>
      </c>
      <c r="BA28" s="12">
        <v>0</v>
      </c>
      <c r="BB28" s="12">
        <v>0</v>
      </c>
      <c r="BC28" s="12">
        <v>0</v>
      </c>
      <c r="BD28" s="12">
        <v>0</v>
      </c>
      <c r="BE28" s="12">
        <v>0</v>
      </c>
      <c r="BF28" s="12">
        <v>0</v>
      </c>
      <c r="BG28" s="75">
        <f t="shared" si="6"/>
        <v>0</v>
      </c>
      <c r="BH28" s="75">
        <f t="shared" si="2"/>
        <v>0</v>
      </c>
      <c r="BI28" s="75">
        <f t="shared" si="3"/>
        <v>0</v>
      </c>
      <c r="BJ28" s="75">
        <f t="shared" si="4"/>
        <v>0</v>
      </c>
    </row>
    <row r="29" spans="3:62" x14ac:dyDescent="0.25">
      <c r="D29" s="7">
        <v>1029</v>
      </c>
      <c r="E29" s="7" t="s">
        <v>326</v>
      </c>
      <c r="F29" s="12">
        <v>0</v>
      </c>
      <c r="G29" s="12">
        <v>0</v>
      </c>
      <c r="H29" s="12">
        <v>0</v>
      </c>
      <c r="I29" s="12">
        <v>0</v>
      </c>
      <c r="J29" s="12">
        <v>0</v>
      </c>
      <c r="K29" s="12">
        <v>0</v>
      </c>
      <c r="L29" s="12">
        <v>0</v>
      </c>
      <c r="M29" s="12">
        <v>0</v>
      </c>
      <c r="N29" s="12">
        <v>0</v>
      </c>
      <c r="O29" s="12">
        <v>0</v>
      </c>
      <c r="P29" s="12">
        <v>0</v>
      </c>
      <c r="Q29" s="12">
        <v>0</v>
      </c>
      <c r="R29" s="12">
        <v>0</v>
      </c>
      <c r="S29" s="12">
        <v>0</v>
      </c>
      <c r="T29" s="12">
        <v>0</v>
      </c>
      <c r="U29" s="12">
        <v>0</v>
      </c>
      <c r="V29" s="12">
        <v>0</v>
      </c>
      <c r="W29" s="12">
        <v>0</v>
      </c>
      <c r="X29" s="12">
        <v>0</v>
      </c>
      <c r="Y29" s="12">
        <v>0</v>
      </c>
      <c r="Z29" s="12">
        <v>0</v>
      </c>
      <c r="AA29" s="12">
        <v>0</v>
      </c>
      <c r="AB29" s="12">
        <v>0</v>
      </c>
      <c r="AC29" s="12">
        <v>0</v>
      </c>
      <c r="AD29" s="12">
        <v>0</v>
      </c>
      <c r="AE29" s="12">
        <v>0</v>
      </c>
      <c r="AF29" s="12">
        <v>0</v>
      </c>
      <c r="AG29" s="12">
        <v>0</v>
      </c>
      <c r="AH29" s="12">
        <v>0</v>
      </c>
      <c r="AI29" s="12">
        <v>0</v>
      </c>
      <c r="AJ29" s="12">
        <v>0</v>
      </c>
      <c r="AK29" s="12">
        <v>0</v>
      </c>
      <c r="AL29" s="12">
        <v>0</v>
      </c>
      <c r="AM29" s="12">
        <v>0</v>
      </c>
      <c r="AN29" s="12">
        <v>0</v>
      </c>
      <c r="AO29" s="12">
        <v>0</v>
      </c>
      <c r="AP29" s="12">
        <v>0</v>
      </c>
      <c r="AQ29" s="12">
        <v>0</v>
      </c>
      <c r="AR29" s="12">
        <v>0</v>
      </c>
      <c r="AS29" s="12">
        <v>0</v>
      </c>
      <c r="AT29" s="12">
        <v>0</v>
      </c>
      <c r="AU29" s="12">
        <v>0</v>
      </c>
      <c r="AV29" s="12">
        <v>0</v>
      </c>
      <c r="AW29" s="12">
        <v>0</v>
      </c>
      <c r="AX29" s="12">
        <v>0</v>
      </c>
      <c r="AY29" s="12">
        <v>0</v>
      </c>
      <c r="AZ29" s="12">
        <v>0</v>
      </c>
      <c r="BA29" s="12">
        <v>0</v>
      </c>
      <c r="BB29" s="12">
        <v>0</v>
      </c>
      <c r="BC29" s="12">
        <v>0</v>
      </c>
      <c r="BD29" s="12">
        <v>0</v>
      </c>
      <c r="BE29" s="12">
        <v>0</v>
      </c>
      <c r="BF29" s="12">
        <v>0</v>
      </c>
      <c r="BG29" s="75">
        <f t="shared" si="6"/>
        <v>0</v>
      </c>
      <c r="BH29" s="75">
        <f t="shared" si="2"/>
        <v>0</v>
      </c>
      <c r="BI29" s="75">
        <f t="shared" si="3"/>
        <v>0</v>
      </c>
      <c r="BJ29" s="75">
        <f t="shared" si="4"/>
        <v>0</v>
      </c>
    </row>
    <row r="30" spans="3:62" x14ac:dyDescent="0.25">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75"/>
      <c r="BH30" s="75"/>
      <c r="BI30" s="75"/>
      <c r="BJ30" s="75"/>
    </row>
    <row r="31" spans="3:62" x14ac:dyDescent="0.25">
      <c r="C31" s="76">
        <v>104</v>
      </c>
      <c r="D31" s="76"/>
      <c r="E31" s="76" t="s">
        <v>243</v>
      </c>
      <c r="F31" s="96">
        <f>F32+F33+F34+F35+F36+F37+F38+F39</f>
        <v>94245.2</v>
      </c>
      <c r="G31" s="96">
        <f t="shared" ref="G31:BF31" si="9">G32+G33+G34+G35+G36+G37+G38+G39</f>
        <v>32178.48</v>
      </c>
      <c r="H31" s="96">
        <f t="shared" si="9"/>
        <v>834095.28</v>
      </c>
      <c r="I31" s="96">
        <f t="shared" si="9"/>
        <v>237039.09000000003</v>
      </c>
      <c r="J31" s="96">
        <f t="shared" si="9"/>
        <v>1874868.5</v>
      </c>
      <c r="K31" s="96">
        <f t="shared" si="9"/>
        <v>2014323.83</v>
      </c>
      <c r="L31" s="96">
        <f t="shared" si="9"/>
        <v>380936.24</v>
      </c>
      <c r="M31" s="96">
        <f t="shared" si="9"/>
        <v>10139134.900000002</v>
      </c>
      <c r="N31" s="96">
        <f t="shared" si="9"/>
        <v>791860.76</v>
      </c>
      <c r="O31" s="96">
        <f t="shared" si="9"/>
        <v>58487.72</v>
      </c>
      <c r="P31" s="96">
        <f t="shared" si="9"/>
        <v>1785905.0400000003</v>
      </c>
      <c r="Q31" s="96">
        <f t="shared" si="9"/>
        <v>40885.99</v>
      </c>
      <c r="R31" s="96">
        <f t="shared" si="9"/>
        <v>27968.11</v>
      </c>
      <c r="S31" s="96">
        <f t="shared" si="9"/>
        <v>360743.47000000003</v>
      </c>
      <c r="T31" s="96">
        <f t="shared" si="9"/>
        <v>62555.99</v>
      </c>
      <c r="U31" s="96">
        <f t="shared" si="9"/>
        <v>211216.06999999998</v>
      </c>
      <c r="V31" s="96">
        <f t="shared" si="9"/>
        <v>28058.36</v>
      </c>
      <c r="W31" s="96">
        <f t="shared" si="9"/>
        <v>444480.73</v>
      </c>
      <c r="X31" s="96">
        <f t="shared" si="9"/>
        <v>866536.95</v>
      </c>
      <c r="Y31" s="96">
        <f t="shared" si="9"/>
        <v>155443.94999999998</v>
      </c>
      <c r="Z31" s="96">
        <f t="shared" si="9"/>
        <v>394659.25</v>
      </c>
      <c r="AA31" s="96">
        <f t="shared" si="9"/>
        <v>953308.34</v>
      </c>
      <c r="AB31" s="96">
        <f t="shared" si="9"/>
        <v>11669.92</v>
      </c>
      <c r="AC31" s="96">
        <f t="shared" si="9"/>
        <v>25981.350000000002</v>
      </c>
      <c r="AD31" s="96">
        <f t="shared" si="9"/>
        <v>30782.95</v>
      </c>
      <c r="AE31" s="96">
        <f t="shared" si="9"/>
        <v>248313.33</v>
      </c>
      <c r="AF31" s="96">
        <f t="shared" si="9"/>
        <v>45729.26</v>
      </c>
      <c r="AG31" s="96">
        <f t="shared" si="9"/>
        <v>176592.32</v>
      </c>
      <c r="AH31" s="96">
        <f t="shared" si="9"/>
        <v>402075.2</v>
      </c>
      <c r="AI31" s="96">
        <f t="shared" si="9"/>
        <v>845065.08000000007</v>
      </c>
      <c r="AJ31" s="96">
        <f t="shared" si="9"/>
        <v>24462.74</v>
      </c>
      <c r="AK31" s="96">
        <f t="shared" si="9"/>
        <v>7346.9499999999989</v>
      </c>
      <c r="AL31" s="96">
        <f t="shared" si="9"/>
        <v>704656.74</v>
      </c>
      <c r="AM31" s="96">
        <f t="shared" si="9"/>
        <v>259617.8</v>
      </c>
      <c r="AN31" s="96">
        <f t="shared" si="9"/>
        <v>815061.58000000007</v>
      </c>
      <c r="AO31" s="96">
        <f t="shared" si="9"/>
        <v>47882.28</v>
      </c>
      <c r="AP31" s="96">
        <f t="shared" si="9"/>
        <v>626155.88</v>
      </c>
      <c r="AQ31" s="96">
        <f t="shared" si="9"/>
        <v>615219.49</v>
      </c>
      <c r="AR31" s="96">
        <f t="shared" si="9"/>
        <v>148735.65</v>
      </c>
      <c r="AS31" s="96">
        <f t="shared" si="9"/>
        <v>748868.66</v>
      </c>
      <c r="AT31" s="96">
        <f t="shared" si="9"/>
        <v>33480.199999999997</v>
      </c>
      <c r="AU31" s="96">
        <f t="shared" si="9"/>
        <v>392767.99</v>
      </c>
      <c r="AV31" s="96">
        <f t="shared" si="9"/>
        <v>84763.69</v>
      </c>
      <c r="AW31" s="96">
        <f t="shared" si="9"/>
        <v>635872.93000000005</v>
      </c>
      <c r="AX31" s="96">
        <f t="shared" si="9"/>
        <v>104900.1</v>
      </c>
      <c r="AY31" s="96">
        <f t="shared" si="9"/>
        <v>75100.87</v>
      </c>
      <c r="AZ31" s="96">
        <f t="shared" si="9"/>
        <v>165110.97999999998</v>
      </c>
      <c r="BA31" s="96">
        <f t="shared" si="9"/>
        <v>385197</v>
      </c>
      <c r="BB31" s="96">
        <f t="shared" si="9"/>
        <v>233639.57</v>
      </c>
      <c r="BC31" s="96">
        <f t="shared" si="9"/>
        <v>215807.6</v>
      </c>
      <c r="BD31" s="96">
        <f t="shared" si="9"/>
        <v>211484.53</v>
      </c>
      <c r="BE31" s="96">
        <f t="shared" si="9"/>
        <v>2921492.79</v>
      </c>
      <c r="BF31" s="96">
        <f t="shared" si="9"/>
        <v>195586.22999999998</v>
      </c>
      <c r="BG31" s="96">
        <f t="shared" si="6"/>
        <v>33228353.909999993</v>
      </c>
      <c r="BH31" s="96">
        <f t="shared" si="2"/>
        <v>20285520.709999997</v>
      </c>
      <c r="BI31" s="96">
        <f t="shared" si="3"/>
        <v>3321430.6400000006</v>
      </c>
      <c r="BJ31" s="96">
        <f t="shared" si="4"/>
        <v>9621402.5600000005</v>
      </c>
    </row>
    <row r="32" spans="3:62" x14ac:dyDescent="0.25">
      <c r="D32" s="7">
        <v>1040</v>
      </c>
      <c r="E32" s="7" t="s">
        <v>61</v>
      </c>
      <c r="F32" s="12">
        <v>0</v>
      </c>
      <c r="G32" s="12">
        <v>0</v>
      </c>
      <c r="H32" s="12">
        <v>0</v>
      </c>
      <c r="I32" s="12">
        <v>0</v>
      </c>
      <c r="J32" s="12">
        <v>0</v>
      </c>
      <c r="K32" s="12">
        <v>2723.65</v>
      </c>
      <c r="L32" s="12">
        <v>0</v>
      </c>
      <c r="M32" s="12">
        <v>0</v>
      </c>
      <c r="N32" s="12">
        <v>0</v>
      </c>
      <c r="O32" s="12">
        <v>0</v>
      </c>
      <c r="P32" s="12">
        <v>0</v>
      </c>
      <c r="Q32" s="12">
        <v>0</v>
      </c>
      <c r="R32" s="12">
        <v>104.1</v>
      </c>
      <c r="S32" s="12">
        <v>-357</v>
      </c>
      <c r="T32" s="12">
        <v>-1696.75</v>
      </c>
      <c r="U32" s="12">
        <v>0</v>
      </c>
      <c r="V32" s="12">
        <v>746.75</v>
      </c>
      <c r="W32" s="12">
        <v>10087.15</v>
      </c>
      <c r="X32" s="12">
        <v>0</v>
      </c>
      <c r="Y32" s="12">
        <v>-1774.8</v>
      </c>
      <c r="Z32" s="12">
        <v>0</v>
      </c>
      <c r="AA32" s="12">
        <v>0</v>
      </c>
      <c r="AB32" s="12">
        <v>0</v>
      </c>
      <c r="AC32" s="12">
        <v>128.15</v>
      </c>
      <c r="AD32" s="12">
        <v>0</v>
      </c>
      <c r="AE32" s="12">
        <v>5362.88</v>
      </c>
      <c r="AF32" s="12">
        <v>0</v>
      </c>
      <c r="AG32" s="12">
        <v>0</v>
      </c>
      <c r="AH32" s="12">
        <v>0</v>
      </c>
      <c r="AI32" s="12">
        <v>4760.2</v>
      </c>
      <c r="AJ32" s="12">
        <v>0</v>
      </c>
      <c r="AK32" s="12">
        <v>0</v>
      </c>
      <c r="AL32" s="12">
        <v>0</v>
      </c>
      <c r="AM32" s="12">
        <v>0</v>
      </c>
      <c r="AN32" s="12">
        <v>0</v>
      </c>
      <c r="AO32" s="12">
        <v>0</v>
      </c>
      <c r="AP32" s="12">
        <v>0</v>
      </c>
      <c r="AQ32" s="12">
        <v>0</v>
      </c>
      <c r="AR32" s="12">
        <v>0</v>
      </c>
      <c r="AS32" s="12">
        <v>0</v>
      </c>
      <c r="AT32" s="12">
        <v>0</v>
      </c>
      <c r="AU32" s="12">
        <v>1758.8</v>
      </c>
      <c r="AV32" s="12">
        <v>0</v>
      </c>
      <c r="AW32" s="12">
        <v>0</v>
      </c>
      <c r="AX32" s="12">
        <v>0</v>
      </c>
      <c r="AY32" s="12">
        <v>0</v>
      </c>
      <c r="AZ32" s="12">
        <v>0</v>
      </c>
      <c r="BA32" s="12">
        <v>0</v>
      </c>
      <c r="BB32" s="12">
        <v>0</v>
      </c>
      <c r="BC32" s="12">
        <v>0</v>
      </c>
      <c r="BD32" s="12">
        <v>0</v>
      </c>
      <c r="BE32" s="12">
        <v>0</v>
      </c>
      <c r="BF32" s="12">
        <v>0</v>
      </c>
      <c r="BG32" s="75">
        <f t="shared" si="6"/>
        <v>21843.13</v>
      </c>
      <c r="BH32" s="75">
        <f t="shared" si="2"/>
        <v>11607.9</v>
      </c>
      <c r="BI32" s="75">
        <f t="shared" si="3"/>
        <v>8476.43</v>
      </c>
      <c r="BJ32" s="75">
        <f t="shared" si="4"/>
        <v>1758.8</v>
      </c>
    </row>
    <row r="33" spans="3:62" x14ac:dyDescent="0.25">
      <c r="D33" s="7">
        <v>1041</v>
      </c>
      <c r="E33" s="7" t="s">
        <v>327</v>
      </c>
      <c r="F33" s="12">
        <v>80130.5</v>
      </c>
      <c r="G33" s="12">
        <v>27760.43</v>
      </c>
      <c r="H33" s="12">
        <v>36463.75</v>
      </c>
      <c r="I33" s="12">
        <v>13061.6</v>
      </c>
      <c r="J33" s="12">
        <v>100972.45</v>
      </c>
      <c r="K33" s="12">
        <v>130630.21</v>
      </c>
      <c r="L33" s="12">
        <v>363528.44</v>
      </c>
      <c r="M33" s="12">
        <v>3142737.39</v>
      </c>
      <c r="N33" s="12">
        <v>286642.09000000003</v>
      </c>
      <c r="O33" s="12">
        <v>58487.72</v>
      </c>
      <c r="P33" s="12">
        <v>171845.33</v>
      </c>
      <c r="Q33" s="12">
        <v>40885.99</v>
      </c>
      <c r="R33" s="12">
        <v>29883.45</v>
      </c>
      <c r="S33" s="12">
        <v>9706.2000000000007</v>
      </c>
      <c r="T33" s="12">
        <v>17778.150000000001</v>
      </c>
      <c r="U33" s="12">
        <v>19581.05</v>
      </c>
      <c r="V33" s="12">
        <v>14529.26</v>
      </c>
      <c r="W33" s="12">
        <v>95927</v>
      </c>
      <c r="X33" s="12">
        <v>118619.6</v>
      </c>
      <c r="Y33" s="12">
        <v>0</v>
      </c>
      <c r="Z33" s="12">
        <v>183018.65</v>
      </c>
      <c r="AA33" s="12">
        <v>953308.34</v>
      </c>
      <c r="AB33" s="12">
        <v>11669.92</v>
      </c>
      <c r="AC33" s="12">
        <v>1425.5</v>
      </c>
      <c r="AD33" s="12">
        <v>2625</v>
      </c>
      <c r="AE33" s="12">
        <v>171271.5</v>
      </c>
      <c r="AF33" s="12">
        <v>45722.26</v>
      </c>
      <c r="AG33" s="12">
        <v>176592.32</v>
      </c>
      <c r="AH33" s="12">
        <v>86770.75</v>
      </c>
      <c r="AI33" s="12">
        <v>6615.1</v>
      </c>
      <c r="AJ33" s="12">
        <v>24462.75</v>
      </c>
      <c r="AK33" s="12">
        <v>0</v>
      </c>
      <c r="AL33" s="12">
        <v>0</v>
      </c>
      <c r="AM33" s="12">
        <v>259617.8</v>
      </c>
      <c r="AN33" s="12">
        <v>376657.15</v>
      </c>
      <c r="AO33" s="12">
        <v>28539.38</v>
      </c>
      <c r="AP33" s="12">
        <v>165654.91</v>
      </c>
      <c r="AQ33" s="12">
        <v>604992.84</v>
      </c>
      <c r="AR33" s="12">
        <v>103217.55</v>
      </c>
      <c r="AS33" s="12">
        <v>0</v>
      </c>
      <c r="AT33" s="12">
        <v>33480.199999999997</v>
      </c>
      <c r="AU33" s="12">
        <v>149107.32</v>
      </c>
      <c r="AV33" s="12">
        <v>16804.62</v>
      </c>
      <c r="AW33" s="12">
        <v>105727.31</v>
      </c>
      <c r="AX33" s="12">
        <v>104900.1</v>
      </c>
      <c r="AY33" s="12">
        <v>75100.87</v>
      </c>
      <c r="AZ33" s="12">
        <v>18086.099999999999</v>
      </c>
      <c r="BA33" s="12">
        <v>385197</v>
      </c>
      <c r="BB33" s="12">
        <v>30138.15</v>
      </c>
      <c r="BC33" s="12">
        <v>154060.54999999999</v>
      </c>
      <c r="BD33" s="12">
        <v>194394.33</v>
      </c>
      <c r="BE33" s="12">
        <v>313460.78999999998</v>
      </c>
      <c r="BF33" s="12">
        <v>7324.8</v>
      </c>
      <c r="BG33" s="75">
        <f t="shared" si="6"/>
        <v>9549114.4700000007</v>
      </c>
      <c r="BH33" s="75">
        <f t="shared" si="2"/>
        <v>4759170.6100000003</v>
      </c>
      <c r="BI33" s="75">
        <f t="shared" si="3"/>
        <v>1663482.09</v>
      </c>
      <c r="BJ33" s="75">
        <f t="shared" si="4"/>
        <v>3126461.77</v>
      </c>
    </row>
    <row r="34" spans="3:62" x14ac:dyDescent="0.25">
      <c r="D34" s="7">
        <v>1042</v>
      </c>
      <c r="E34" s="7" t="s">
        <v>328</v>
      </c>
      <c r="F34" s="12">
        <v>14114.65</v>
      </c>
      <c r="G34" s="12">
        <v>751.1</v>
      </c>
      <c r="H34" s="12">
        <v>84503.18</v>
      </c>
      <c r="I34" s="12">
        <v>10160.200000000001</v>
      </c>
      <c r="J34" s="12">
        <v>39632.85</v>
      </c>
      <c r="K34" s="12">
        <v>679875.97</v>
      </c>
      <c r="L34" s="12">
        <v>0</v>
      </c>
      <c r="M34" s="12">
        <v>815226.55</v>
      </c>
      <c r="N34" s="12">
        <v>48993.3</v>
      </c>
      <c r="O34" s="12">
        <v>0</v>
      </c>
      <c r="P34" s="12">
        <v>1302531.96</v>
      </c>
      <c r="Q34" s="12">
        <v>0</v>
      </c>
      <c r="R34" s="12">
        <v>234.15</v>
      </c>
      <c r="S34" s="12">
        <v>351394.27</v>
      </c>
      <c r="T34" s="12">
        <v>46474.59</v>
      </c>
      <c r="U34" s="12">
        <v>191635.02</v>
      </c>
      <c r="V34" s="12">
        <v>8147.55</v>
      </c>
      <c r="W34" s="12">
        <v>89391.85</v>
      </c>
      <c r="X34" s="12">
        <v>634017.9</v>
      </c>
      <c r="Y34" s="12">
        <v>89763.199999999997</v>
      </c>
      <c r="Z34" s="12">
        <v>126800.85</v>
      </c>
      <c r="AA34" s="12">
        <v>0</v>
      </c>
      <c r="AB34" s="12">
        <v>0</v>
      </c>
      <c r="AC34" s="12">
        <v>15369.75</v>
      </c>
      <c r="AD34" s="12">
        <v>28157.95</v>
      </c>
      <c r="AE34" s="12">
        <v>36200.550000000003</v>
      </c>
      <c r="AF34" s="12">
        <v>7</v>
      </c>
      <c r="AG34" s="12">
        <v>0</v>
      </c>
      <c r="AH34" s="12">
        <v>35304.449999999997</v>
      </c>
      <c r="AI34" s="12">
        <v>655685.26</v>
      </c>
      <c r="AJ34" s="12">
        <v>0</v>
      </c>
      <c r="AK34" s="12">
        <v>4246.45</v>
      </c>
      <c r="AL34" s="12">
        <v>22981.45</v>
      </c>
      <c r="AM34" s="12">
        <v>0</v>
      </c>
      <c r="AN34" s="12">
        <v>0</v>
      </c>
      <c r="AO34" s="12">
        <v>19342.900000000001</v>
      </c>
      <c r="AP34" s="12">
        <v>460500.97</v>
      </c>
      <c r="AQ34" s="12">
        <v>10226.65</v>
      </c>
      <c r="AR34" s="12">
        <v>0</v>
      </c>
      <c r="AS34" s="12">
        <v>0</v>
      </c>
      <c r="AT34" s="12">
        <v>0</v>
      </c>
      <c r="AU34" s="12">
        <v>19508.599999999999</v>
      </c>
      <c r="AV34" s="12">
        <v>54779.68</v>
      </c>
      <c r="AW34" s="12">
        <v>522480.77</v>
      </c>
      <c r="AX34" s="12">
        <v>0</v>
      </c>
      <c r="AY34" s="12">
        <v>0</v>
      </c>
      <c r="AZ34" s="12">
        <v>0</v>
      </c>
      <c r="BA34" s="12">
        <v>0</v>
      </c>
      <c r="BB34" s="12">
        <v>0</v>
      </c>
      <c r="BC34" s="12">
        <v>30491.85</v>
      </c>
      <c r="BD34" s="12">
        <v>17090.2</v>
      </c>
      <c r="BE34" s="12">
        <v>0</v>
      </c>
      <c r="BF34" s="12">
        <v>75504.009999999995</v>
      </c>
      <c r="BG34" s="75">
        <f t="shared" si="6"/>
        <v>6541527.6299999999</v>
      </c>
      <c r="BH34" s="75">
        <f t="shared" si="2"/>
        <v>4317085.09</v>
      </c>
      <c r="BI34" s="75">
        <f t="shared" si="3"/>
        <v>991535.46</v>
      </c>
      <c r="BJ34" s="75">
        <f t="shared" si="4"/>
        <v>1232907.08</v>
      </c>
    </row>
    <row r="35" spans="3:62" x14ac:dyDescent="0.25">
      <c r="D35" s="7">
        <v>1043</v>
      </c>
      <c r="E35" s="7" t="s">
        <v>329</v>
      </c>
      <c r="F35" s="12">
        <v>0.05</v>
      </c>
      <c r="G35" s="12">
        <v>3666.95</v>
      </c>
      <c r="H35" s="12">
        <v>21059.35</v>
      </c>
      <c r="I35" s="12">
        <v>0</v>
      </c>
      <c r="J35" s="12">
        <v>934000</v>
      </c>
      <c r="K35" s="12">
        <v>1198600</v>
      </c>
      <c r="L35" s="12">
        <v>17407.8</v>
      </c>
      <c r="M35" s="12">
        <v>4884241</v>
      </c>
      <c r="N35" s="12">
        <v>456225.37</v>
      </c>
      <c r="O35" s="12">
        <v>0</v>
      </c>
      <c r="P35" s="12">
        <v>87844.3</v>
      </c>
      <c r="Q35" s="12">
        <v>0</v>
      </c>
      <c r="R35" s="12">
        <v>-2253.59</v>
      </c>
      <c r="S35" s="12">
        <v>0</v>
      </c>
      <c r="T35" s="12">
        <v>0</v>
      </c>
      <c r="U35" s="12">
        <v>0</v>
      </c>
      <c r="V35" s="12">
        <v>4634.8</v>
      </c>
      <c r="W35" s="12">
        <v>249074.73</v>
      </c>
      <c r="X35" s="12">
        <v>80930.350000000006</v>
      </c>
      <c r="Y35" s="12">
        <v>36838.65</v>
      </c>
      <c r="Z35" s="12">
        <v>84839.75</v>
      </c>
      <c r="AA35" s="12">
        <v>0</v>
      </c>
      <c r="AB35" s="12">
        <v>0</v>
      </c>
      <c r="AC35" s="12">
        <v>8651.75</v>
      </c>
      <c r="AD35" s="12">
        <v>0</v>
      </c>
      <c r="AE35" s="12">
        <v>35478.400000000001</v>
      </c>
      <c r="AF35" s="12">
        <v>0</v>
      </c>
      <c r="AG35" s="12">
        <v>0</v>
      </c>
      <c r="AH35" s="12">
        <v>280000</v>
      </c>
      <c r="AI35" s="12">
        <v>151239.82</v>
      </c>
      <c r="AJ35" s="12">
        <v>-0.01</v>
      </c>
      <c r="AK35" s="12">
        <v>3076.35</v>
      </c>
      <c r="AL35" s="12">
        <v>681675.29</v>
      </c>
      <c r="AM35" s="12">
        <v>0</v>
      </c>
      <c r="AN35" s="12">
        <v>438404.43</v>
      </c>
      <c r="AO35" s="12">
        <v>0</v>
      </c>
      <c r="AP35" s="12">
        <v>0</v>
      </c>
      <c r="AQ35" s="12">
        <v>0</v>
      </c>
      <c r="AR35" s="12">
        <v>0</v>
      </c>
      <c r="AS35" s="12">
        <v>0</v>
      </c>
      <c r="AT35" s="12">
        <v>0</v>
      </c>
      <c r="AU35" s="12">
        <v>222393.27</v>
      </c>
      <c r="AV35" s="12">
        <v>12421.49</v>
      </c>
      <c r="AW35" s="12">
        <v>7664.85</v>
      </c>
      <c r="AX35" s="12">
        <v>0</v>
      </c>
      <c r="AY35" s="12">
        <v>0</v>
      </c>
      <c r="AZ35" s="12">
        <v>9688.0499999999993</v>
      </c>
      <c r="BA35" s="12">
        <v>0</v>
      </c>
      <c r="BB35" s="12">
        <v>0</v>
      </c>
      <c r="BC35" s="12">
        <v>31255.200000000001</v>
      </c>
      <c r="BD35" s="12">
        <v>0</v>
      </c>
      <c r="BE35" s="12">
        <v>2608032</v>
      </c>
      <c r="BF35" s="12">
        <v>112757.42</v>
      </c>
      <c r="BG35" s="75">
        <f t="shared" si="6"/>
        <v>12659847.819999998</v>
      </c>
      <c r="BH35" s="75">
        <f t="shared" si="2"/>
        <v>7935431.1100000003</v>
      </c>
      <c r="BI35" s="75">
        <f t="shared" si="3"/>
        <v>600124.71</v>
      </c>
      <c r="BJ35" s="75">
        <f t="shared" si="4"/>
        <v>4124292</v>
      </c>
    </row>
    <row r="36" spans="3:62" x14ac:dyDescent="0.25">
      <c r="D36" s="7">
        <v>1044</v>
      </c>
      <c r="E36" s="7" t="s">
        <v>330</v>
      </c>
      <c r="F36" s="12">
        <v>0</v>
      </c>
      <c r="G36" s="12">
        <v>0</v>
      </c>
      <c r="H36" s="12">
        <v>0</v>
      </c>
      <c r="I36" s="12">
        <v>0</v>
      </c>
      <c r="J36" s="12">
        <v>5683.35</v>
      </c>
      <c r="K36" s="12">
        <v>2494</v>
      </c>
      <c r="L36" s="12">
        <v>0</v>
      </c>
      <c r="M36" s="12">
        <v>0</v>
      </c>
      <c r="N36" s="12">
        <v>0</v>
      </c>
      <c r="O36" s="12">
        <v>0</v>
      </c>
      <c r="P36" s="12">
        <v>0</v>
      </c>
      <c r="Q36" s="12">
        <v>0</v>
      </c>
      <c r="R36" s="12">
        <v>0</v>
      </c>
      <c r="S36" s="12">
        <v>0</v>
      </c>
      <c r="T36" s="12">
        <v>0</v>
      </c>
      <c r="U36" s="12">
        <v>0</v>
      </c>
      <c r="V36" s="12">
        <v>0</v>
      </c>
      <c r="W36" s="12">
        <v>0</v>
      </c>
      <c r="X36" s="12">
        <v>32969.1</v>
      </c>
      <c r="Y36" s="12">
        <v>1.75</v>
      </c>
      <c r="Z36" s="12">
        <v>0</v>
      </c>
      <c r="AA36" s="12">
        <v>0</v>
      </c>
      <c r="AB36" s="12">
        <v>0</v>
      </c>
      <c r="AC36" s="12">
        <v>0</v>
      </c>
      <c r="AD36" s="12">
        <v>0</v>
      </c>
      <c r="AE36" s="12">
        <v>0</v>
      </c>
      <c r="AF36" s="12">
        <v>0</v>
      </c>
      <c r="AG36" s="12">
        <v>0</v>
      </c>
      <c r="AH36" s="12">
        <v>0</v>
      </c>
      <c r="AI36" s="12">
        <v>0</v>
      </c>
      <c r="AJ36" s="12">
        <v>0</v>
      </c>
      <c r="AK36" s="12">
        <v>0</v>
      </c>
      <c r="AL36" s="12">
        <v>0</v>
      </c>
      <c r="AM36" s="12">
        <v>0</v>
      </c>
      <c r="AN36" s="12">
        <v>0</v>
      </c>
      <c r="AO36" s="12">
        <v>0</v>
      </c>
      <c r="AP36" s="12">
        <v>0</v>
      </c>
      <c r="AQ36" s="12">
        <v>0</v>
      </c>
      <c r="AR36" s="12">
        <v>45518.1</v>
      </c>
      <c r="AS36" s="12">
        <v>0</v>
      </c>
      <c r="AT36" s="12">
        <v>0</v>
      </c>
      <c r="AU36" s="12">
        <v>0</v>
      </c>
      <c r="AV36" s="12">
        <v>0</v>
      </c>
      <c r="AW36" s="12">
        <v>0</v>
      </c>
      <c r="AX36" s="12">
        <v>0</v>
      </c>
      <c r="AY36" s="12">
        <v>0</v>
      </c>
      <c r="AZ36" s="12">
        <v>137336.82999999999</v>
      </c>
      <c r="BA36" s="12">
        <v>0</v>
      </c>
      <c r="BB36" s="12">
        <v>0</v>
      </c>
      <c r="BC36" s="12">
        <v>0</v>
      </c>
      <c r="BD36" s="12">
        <v>0</v>
      </c>
      <c r="BE36" s="12">
        <v>0</v>
      </c>
      <c r="BF36" s="12">
        <v>0</v>
      </c>
      <c r="BG36" s="75">
        <f t="shared" si="6"/>
        <v>224003.12999999998</v>
      </c>
      <c r="BH36" s="75">
        <f t="shared" si="2"/>
        <v>41146.449999999997</v>
      </c>
      <c r="BI36" s="75">
        <f t="shared" si="3"/>
        <v>1.75</v>
      </c>
      <c r="BJ36" s="75">
        <f t="shared" si="4"/>
        <v>182854.93</v>
      </c>
    </row>
    <row r="37" spans="3:62" x14ac:dyDescent="0.25">
      <c r="D37" s="7">
        <v>1045</v>
      </c>
      <c r="E37" s="7" t="s">
        <v>331</v>
      </c>
      <c r="F37" s="12">
        <v>0</v>
      </c>
      <c r="G37" s="12">
        <v>0</v>
      </c>
      <c r="H37" s="12">
        <v>0</v>
      </c>
      <c r="I37" s="12">
        <v>213817.29</v>
      </c>
      <c r="J37" s="12">
        <v>0</v>
      </c>
      <c r="K37" s="12">
        <v>0</v>
      </c>
      <c r="L37" s="12">
        <v>0</v>
      </c>
      <c r="M37" s="12">
        <v>1296929.96</v>
      </c>
      <c r="N37" s="12">
        <v>0</v>
      </c>
      <c r="O37" s="12">
        <v>0</v>
      </c>
      <c r="P37" s="12">
        <v>36670.85</v>
      </c>
      <c r="Q37" s="12">
        <v>0</v>
      </c>
      <c r="R37" s="12">
        <v>0</v>
      </c>
      <c r="S37" s="12">
        <v>0</v>
      </c>
      <c r="T37" s="12">
        <v>0</v>
      </c>
      <c r="U37" s="12">
        <v>0</v>
      </c>
      <c r="V37" s="12">
        <v>0</v>
      </c>
      <c r="W37" s="12">
        <v>0</v>
      </c>
      <c r="X37" s="12">
        <v>0</v>
      </c>
      <c r="Y37" s="12">
        <v>30615.15</v>
      </c>
      <c r="Z37" s="12">
        <v>0</v>
      </c>
      <c r="AA37" s="12">
        <v>0</v>
      </c>
      <c r="AB37" s="12">
        <v>0</v>
      </c>
      <c r="AC37" s="12">
        <v>406.2</v>
      </c>
      <c r="AD37" s="12">
        <v>0</v>
      </c>
      <c r="AE37" s="12">
        <v>0</v>
      </c>
      <c r="AF37" s="12">
        <v>0</v>
      </c>
      <c r="AG37" s="12">
        <v>0</v>
      </c>
      <c r="AH37" s="12">
        <v>0</v>
      </c>
      <c r="AI37" s="12">
        <v>15812.7</v>
      </c>
      <c r="AJ37" s="12">
        <v>0</v>
      </c>
      <c r="AK37" s="12">
        <v>24.15</v>
      </c>
      <c r="AL37" s="12">
        <v>0</v>
      </c>
      <c r="AM37" s="12">
        <v>0</v>
      </c>
      <c r="AN37" s="12">
        <v>0</v>
      </c>
      <c r="AO37" s="12">
        <v>0</v>
      </c>
      <c r="AP37" s="12">
        <v>0</v>
      </c>
      <c r="AQ37" s="12">
        <v>0</v>
      </c>
      <c r="AR37" s="12">
        <v>0</v>
      </c>
      <c r="AS37" s="12">
        <v>748815.61</v>
      </c>
      <c r="AT37" s="12">
        <v>0</v>
      </c>
      <c r="AU37" s="12">
        <v>0</v>
      </c>
      <c r="AV37" s="12">
        <v>757.9</v>
      </c>
      <c r="AW37" s="12">
        <v>0</v>
      </c>
      <c r="AX37" s="12">
        <v>0</v>
      </c>
      <c r="AY37" s="12">
        <v>0</v>
      </c>
      <c r="AZ37" s="12">
        <v>0</v>
      </c>
      <c r="BA37" s="12">
        <v>0</v>
      </c>
      <c r="BB37" s="12">
        <v>0</v>
      </c>
      <c r="BC37" s="12">
        <v>0</v>
      </c>
      <c r="BD37" s="12">
        <v>0</v>
      </c>
      <c r="BE37" s="12">
        <v>0</v>
      </c>
      <c r="BF37" s="12">
        <v>0</v>
      </c>
      <c r="BG37" s="75">
        <f t="shared" si="6"/>
        <v>2343849.8099999996</v>
      </c>
      <c r="BH37" s="75">
        <f t="shared" si="2"/>
        <v>1547418.1</v>
      </c>
      <c r="BI37" s="75">
        <f t="shared" si="3"/>
        <v>46858.200000000004</v>
      </c>
      <c r="BJ37" s="75">
        <f t="shared" si="4"/>
        <v>749573.51</v>
      </c>
    </row>
    <row r="38" spans="3:62" x14ac:dyDescent="0.25">
      <c r="D38" s="7">
        <v>1046</v>
      </c>
      <c r="E38" s="7" t="s">
        <v>332</v>
      </c>
      <c r="F38" s="12">
        <v>0</v>
      </c>
      <c r="G38" s="12">
        <v>0</v>
      </c>
      <c r="H38" s="12">
        <v>692069</v>
      </c>
      <c r="I38" s="12">
        <v>0</v>
      </c>
      <c r="J38" s="12">
        <v>0</v>
      </c>
      <c r="K38" s="12">
        <v>0</v>
      </c>
      <c r="L38" s="12">
        <v>0</v>
      </c>
      <c r="M38" s="12">
        <v>0</v>
      </c>
      <c r="N38" s="12">
        <v>0</v>
      </c>
      <c r="O38" s="12">
        <v>0</v>
      </c>
      <c r="P38" s="12">
        <v>187012.6</v>
      </c>
      <c r="Q38" s="12">
        <v>0</v>
      </c>
      <c r="R38" s="12">
        <v>0</v>
      </c>
      <c r="S38" s="12">
        <v>0</v>
      </c>
      <c r="T38" s="12">
        <v>0</v>
      </c>
      <c r="U38" s="12">
        <v>0</v>
      </c>
      <c r="V38" s="12">
        <v>0</v>
      </c>
      <c r="W38" s="12">
        <v>0</v>
      </c>
      <c r="X38" s="12">
        <v>0</v>
      </c>
      <c r="Y38" s="12">
        <v>0</v>
      </c>
      <c r="Z38" s="12">
        <v>0</v>
      </c>
      <c r="AA38" s="12">
        <v>0</v>
      </c>
      <c r="AB38" s="12">
        <v>0</v>
      </c>
      <c r="AC38" s="12">
        <v>0</v>
      </c>
      <c r="AD38" s="12">
        <v>0</v>
      </c>
      <c r="AE38" s="12">
        <v>0</v>
      </c>
      <c r="AF38" s="12">
        <v>0</v>
      </c>
      <c r="AG38" s="12">
        <v>0</v>
      </c>
      <c r="AH38" s="12">
        <v>0</v>
      </c>
      <c r="AI38" s="12">
        <v>10952</v>
      </c>
      <c r="AJ38" s="12">
        <v>0</v>
      </c>
      <c r="AK38" s="12">
        <v>0</v>
      </c>
      <c r="AL38" s="12">
        <v>0</v>
      </c>
      <c r="AM38" s="12">
        <v>0</v>
      </c>
      <c r="AN38" s="12">
        <v>0</v>
      </c>
      <c r="AO38" s="12">
        <v>0</v>
      </c>
      <c r="AP38" s="12">
        <v>0</v>
      </c>
      <c r="AQ38" s="12">
        <v>0</v>
      </c>
      <c r="AR38" s="12">
        <v>0</v>
      </c>
      <c r="AS38" s="12">
        <v>0</v>
      </c>
      <c r="AT38" s="12">
        <v>0</v>
      </c>
      <c r="AU38" s="12">
        <v>0</v>
      </c>
      <c r="AV38" s="12">
        <v>0</v>
      </c>
      <c r="AW38" s="12">
        <v>0</v>
      </c>
      <c r="AX38" s="12">
        <v>0</v>
      </c>
      <c r="AY38" s="12">
        <v>0</v>
      </c>
      <c r="AZ38" s="12">
        <v>0</v>
      </c>
      <c r="BA38" s="12">
        <v>0</v>
      </c>
      <c r="BB38" s="12">
        <v>0</v>
      </c>
      <c r="BC38" s="12">
        <v>0</v>
      </c>
      <c r="BD38" s="12">
        <v>0</v>
      </c>
      <c r="BE38" s="12">
        <v>0</v>
      </c>
      <c r="BF38" s="12">
        <v>0</v>
      </c>
      <c r="BG38" s="75">
        <f t="shared" si="6"/>
        <v>890033.6</v>
      </c>
      <c r="BH38" s="75">
        <f t="shared" si="2"/>
        <v>879081.6</v>
      </c>
      <c r="BI38" s="75">
        <f t="shared" si="3"/>
        <v>10952</v>
      </c>
      <c r="BJ38" s="75">
        <f t="shared" si="4"/>
        <v>0</v>
      </c>
    </row>
    <row r="39" spans="3:62" x14ac:dyDescent="0.25">
      <c r="D39" s="7">
        <v>1049</v>
      </c>
      <c r="E39" s="7" t="s">
        <v>333</v>
      </c>
      <c r="F39" s="12">
        <v>0</v>
      </c>
      <c r="G39" s="12">
        <v>0</v>
      </c>
      <c r="H39" s="12">
        <v>0</v>
      </c>
      <c r="I39" s="12">
        <v>0</v>
      </c>
      <c r="J39" s="12">
        <v>794579.85</v>
      </c>
      <c r="K39" s="12">
        <v>0</v>
      </c>
      <c r="L39" s="12">
        <v>0</v>
      </c>
      <c r="M39" s="12">
        <v>0</v>
      </c>
      <c r="N39" s="12">
        <v>0</v>
      </c>
      <c r="O39" s="12">
        <v>0</v>
      </c>
      <c r="P39" s="12">
        <v>0</v>
      </c>
      <c r="Q39" s="12">
        <v>0</v>
      </c>
      <c r="R39" s="12">
        <v>0</v>
      </c>
      <c r="S39" s="12">
        <v>0</v>
      </c>
      <c r="T39" s="12">
        <v>0</v>
      </c>
      <c r="U39" s="12">
        <v>0</v>
      </c>
      <c r="V39" s="12">
        <v>0</v>
      </c>
      <c r="W39" s="12">
        <v>0</v>
      </c>
      <c r="X39" s="12">
        <v>0</v>
      </c>
      <c r="Y39" s="12">
        <v>0</v>
      </c>
      <c r="Z39" s="12">
        <v>0</v>
      </c>
      <c r="AA39" s="12">
        <v>0</v>
      </c>
      <c r="AB39" s="12">
        <v>0</v>
      </c>
      <c r="AC39" s="12">
        <v>0</v>
      </c>
      <c r="AD39" s="12">
        <v>0</v>
      </c>
      <c r="AE39" s="12">
        <v>0</v>
      </c>
      <c r="AF39" s="12">
        <v>0</v>
      </c>
      <c r="AG39" s="12">
        <v>0</v>
      </c>
      <c r="AH39" s="12">
        <v>0</v>
      </c>
      <c r="AI39" s="12">
        <v>0</v>
      </c>
      <c r="AJ39" s="12">
        <v>0</v>
      </c>
      <c r="AK39" s="12">
        <v>0</v>
      </c>
      <c r="AL39" s="12">
        <v>0</v>
      </c>
      <c r="AM39" s="12">
        <v>0</v>
      </c>
      <c r="AN39" s="12">
        <v>0</v>
      </c>
      <c r="AO39" s="12">
        <v>0</v>
      </c>
      <c r="AP39" s="12">
        <v>0</v>
      </c>
      <c r="AQ39" s="12">
        <v>0</v>
      </c>
      <c r="AR39" s="12">
        <v>0</v>
      </c>
      <c r="AS39" s="12">
        <v>53.05</v>
      </c>
      <c r="AT39" s="12">
        <v>0</v>
      </c>
      <c r="AU39" s="12">
        <v>0</v>
      </c>
      <c r="AV39" s="12">
        <v>0</v>
      </c>
      <c r="AW39" s="12">
        <v>0</v>
      </c>
      <c r="AX39" s="12">
        <v>0</v>
      </c>
      <c r="AY39" s="12">
        <v>0</v>
      </c>
      <c r="AZ39" s="12">
        <v>0</v>
      </c>
      <c r="BA39" s="12">
        <v>0</v>
      </c>
      <c r="BB39" s="12">
        <v>203501.42</v>
      </c>
      <c r="BC39" s="12">
        <v>0</v>
      </c>
      <c r="BD39" s="12">
        <v>0</v>
      </c>
      <c r="BE39" s="12">
        <v>0</v>
      </c>
      <c r="BF39" s="12">
        <v>0</v>
      </c>
      <c r="BG39" s="75">
        <f t="shared" si="6"/>
        <v>998134.32000000007</v>
      </c>
      <c r="BH39" s="75">
        <f t="shared" si="2"/>
        <v>794579.85</v>
      </c>
      <c r="BI39" s="75">
        <f t="shared" si="3"/>
        <v>0</v>
      </c>
      <c r="BJ39" s="75">
        <f t="shared" si="4"/>
        <v>203554.47</v>
      </c>
    </row>
    <row r="40" spans="3:62" x14ac:dyDescent="0.25">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75"/>
      <c r="BH40" s="75"/>
      <c r="BI40" s="75"/>
      <c r="BJ40" s="75"/>
    </row>
    <row r="41" spans="3:62" x14ac:dyDescent="0.25">
      <c r="C41" s="76">
        <v>106</v>
      </c>
      <c r="D41" s="76"/>
      <c r="E41" s="76" t="s">
        <v>244</v>
      </c>
      <c r="F41" s="96">
        <f>F42+F43+F44+F45+F46</f>
        <v>0</v>
      </c>
      <c r="G41" s="96">
        <f t="shared" ref="G41:BF41" si="10">G42+G43+G44+G45+G46</f>
        <v>0</v>
      </c>
      <c r="H41" s="96">
        <f t="shared" si="10"/>
        <v>0</v>
      </c>
      <c r="I41" s="96">
        <f t="shared" si="10"/>
        <v>0</v>
      </c>
      <c r="J41" s="96">
        <f t="shared" si="10"/>
        <v>0</v>
      </c>
      <c r="K41" s="96">
        <f t="shared" si="10"/>
        <v>0</v>
      </c>
      <c r="L41" s="96">
        <f t="shared" si="10"/>
        <v>0</v>
      </c>
      <c r="M41" s="96">
        <f t="shared" si="10"/>
        <v>398887.21</v>
      </c>
      <c r="N41" s="96">
        <f t="shared" si="10"/>
        <v>0</v>
      </c>
      <c r="O41" s="96">
        <f t="shared" si="10"/>
        <v>0</v>
      </c>
      <c r="P41" s="96">
        <f t="shared" si="10"/>
        <v>248120</v>
      </c>
      <c r="Q41" s="96">
        <f t="shared" si="10"/>
        <v>0</v>
      </c>
      <c r="R41" s="96">
        <f t="shared" si="10"/>
        <v>0</v>
      </c>
      <c r="S41" s="96">
        <f t="shared" si="10"/>
        <v>0</v>
      </c>
      <c r="T41" s="96">
        <f t="shared" si="10"/>
        <v>0</v>
      </c>
      <c r="U41" s="96">
        <f t="shared" si="10"/>
        <v>0</v>
      </c>
      <c r="V41" s="96">
        <f t="shared" si="10"/>
        <v>0</v>
      </c>
      <c r="W41" s="96">
        <f t="shared" si="10"/>
        <v>1746.9</v>
      </c>
      <c r="X41" s="96">
        <f t="shared" si="10"/>
        <v>0</v>
      </c>
      <c r="Y41" s="96">
        <f t="shared" si="10"/>
        <v>0</v>
      </c>
      <c r="Z41" s="96">
        <f t="shared" si="10"/>
        <v>33307.65</v>
      </c>
      <c r="AA41" s="96">
        <f t="shared" si="10"/>
        <v>0</v>
      </c>
      <c r="AB41" s="96">
        <f t="shared" si="10"/>
        <v>0</v>
      </c>
      <c r="AC41" s="96">
        <f t="shared" si="10"/>
        <v>11553.2</v>
      </c>
      <c r="AD41" s="96">
        <f t="shared" si="10"/>
        <v>0</v>
      </c>
      <c r="AE41" s="96">
        <f t="shared" si="10"/>
        <v>3259.56</v>
      </c>
      <c r="AF41" s="96">
        <f t="shared" si="10"/>
        <v>0</v>
      </c>
      <c r="AG41" s="96">
        <f t="shared" si="10"/>
        <v>0</v>
      </c>
      <c r="AH41" s="96">
        <f t="shared" si="10"/>
        <v>89845.150000000009</v>
      </c>
      <c r="AI41" s="96">
        <f t="shared" si="10"/>
        <v>0</v>
      </c>
      <c r="AJ41" s="96">
        <f t="shared" si="10"/>
        <v>0</v>
      </c>
      <c r="AK41" s="96">
        <f t="shared" si="10"/>
        <v>20088.05</v>
      </c>
      <c r="AL41" s="96">
        <f t="shared" si="10"/>
        <v>0</v>
      </c>
      <c r="AM41" s="96">
        <f t="shared" si="10"/>
        <v>0</v>
      </c>
      <c r="AN41" s="96">
        <f t="shared" si="10"/>
        <v>2098.33</v>
      </c>
      <c r="AO41" s="96">
        <f t="shared" si="10"/>
        <v>0</v>
      </c>
      <c r="AP41" s="96">
        <f t="shared" si="10"/>
        <v>0</v>
      </c>
      <c r="AQ41" s="96">
        <f t="shared" si="10"/>
        <v>0</v>
      </c>
      <c r="AR41" s="96">
        <f t="shared" si="10"/>
        <v>0</v>
      </c>
      <c r="AS41" s="96">
        <f t="shared" si="10"/>
        <v>0</v>
      </c>
      <c r="AT41" s="96">
        <f t="shared" si="10"/>
        <v>0</v>
      </c>
      <c r="AU41" s="96">
        <f t="shared" si="10"/>
        <v>0</v>
      </c>
      <c r="AV41" s="96">
        <f t="shared" si="10"/>
        <v>0</v>
      </c>
      <c r="AW41" s="96">
        <f t="shared" si="10"/>
        <v>0</v>
      </c>
      <c r="AX41" s="96">
        <f t="shared" si="10"/>
        <v>0</v>
      </c>
      <c r="AY41" s="96">
        <f t="shared" si="10"/>
        <v>0</v>
      </c>
      <c r="AZ41" s="96">
        <f t="shared" si="10"/>
        <v>0</v>
      </c>
      <c r="BA41" s="96">
        <f t="shared" si="10"/>
        <v>0</v>
      </c>
      <c r="BB41" s="96">
        <f t="shared" si="10"/>
        <v>0</v>
      </c>
      <c r="BC41" s="96">
        <f t="shared" si="10"/>
        <v>57903.7</v>
      </c>
      <c r="BD41" s="96">
        <f t="shared" si="10"/>
        <v>0</v>
      </c>
      <c r="BE41" s="96">
        <f t="shared" si="10"/>
        <v>22980.2</v>
      </c>
      <c r="BF41" s="96">
        <f t="shared" si="10"/>
        <v>0</v>
      </c>
      <c r="BG41" s="96">
        <f t="shared" si="6"/>
        <v>889789.95</v>
      </c>
      <c r="BH41" s="96">
        <f t="shared" si="2"/>
        <v>648754.11</v>
      </c>
      <c r="BI41" s="96">
        <f t="shared" si="3"/>
        <v>158053.60999999999</v>
      </c>
      <c r="BJ41" s="96">
        <f t="shared" si="4"/>
        <v>82982.23</v>
      </c>
    </row>
    <row r="42" spans="3:62" x14ac:dyDescent="0.25">
      <c r="D42" s="7">
        <v>1060</v>
      </c>
      <c r="E42" s="7" t="s">
        <v>334</v>
      </c>
      <c r="F42" s="12">
        <v>0</v>
      </c>
      <c r="G42" s="12">
        <v>0</v>
      </c>
      <c r="H42" s="12">
        <v>0</v>
      </c>
      <c r="I42" s="12">
        <v>0</v>
      </c>
      <c r="J42" s="12">
        <v>0</v>
      </c>
      <c r="K42" s="12">
        <v>0</v>
      </c>
      <c r="L42" s="12">
        <v>0</v>
      </c>
      <c r="M42" s="12">
        <v>0</v>
      </c>
      <c r="N42" s="12">
        <v>0</v>
      </c>
      <c r="O42" s="12">
        <v>0</v>
      </c>
      <c r="P42" s="12">
        <v>0</v>
      </c>
      <c r="Q42" s="12">
        <v>0</v>
      </c>
      <c r="R42" s="12">
        <v>0</v>
      </c>
      <c r="S42" s="12">
        <v>0</v>
      </c>
      <c r="T42" s="12">
        <v>0</v>
      </c>
      <c r="U42" s="12">
        <v>0</v>
      </c>
      <c r="V42" s="12">
        <v>0</v>
      </c>
      <c r="W42" s="12">
        <v>1746.9</v>
      </c>
      <c r="X42" s="12">
        <v>0</v>
      </c>
      <c r="Y42" s="12">
        <v>0</v>
      </c>
      <c r="Z42" s="12">
        <v>33307.65</v>
      </c>
      <c r="AA42" s="12">
        <v>0</v>
      </c>
      <c r="AB42" s="12">
        <v>0</v>
      </c>
      <c r="AC42" s="12">
        <v>4913.3500000000004</v>
      </c>
      <c r="AD42" s="12">
        <v>0</v>
      </c>
      <c r="AE42" s="12">
        <v>3259.56</v>
      </c>
      <c r="AF42" s="12">
        <v>0</v>
      </c>
      <c r="AG42" s="12">
        <v>0</v>
      </c>
      <c r="AH42" s="12">
        <v>1593.8</v>
      </c>
      <c r="AI42" s="12">
        <v>0</v>
      </c>
      <c r="AJ42" s="12">
        <v>0</v>
      </c>
      <c r="AK42" s="12">
        <v>6288.05</v>
      </c>
      <c r="AL42" s="12">
        <v>0</v>
      </c>
      <c r="AM42" s="12">
        <v>0</v>
      </c>
      <c r="AN42" s="12">
        <v>2098.33</v>
      </c>
      <c r="AO42" s="12">
        <v>0</v>
      </c>
      <c r="AP42" s="12">
        <v>0</v>
      </c>
      <c r="AQ42" s="12">
        <v>0</v>
      </c>
      <c r="AR42" s="12">
        <v>0</v>
      </c>
      <c r="AS42" s="12">
        <v>0</v>
      </c>
      <c r="AT42" s="12">
        <v>0</v>
      </c>
      <c r="AU42" s="12">
        <v>0</v>
      </c>
      <c r="AV42" s="12">
        <v>0</v>
      </c>
      <c r="AW42" s="12">
        <v>0</v>
      </c>
      <c r="AX42" s="12">
        <v>0</v>
      </c>
      <c r="AY42" s="12">
        <v>0</v>
      </c>
      <c r="AZ42" s="12">
        <v>0</v>
      </c>
      <c r="BA42" s="12">
        <v>0</v>
      </c>
      <c r="BB42" s="12">
        <v>0</v>
      </c>
      <c r="BC42" s="12">
        <v>0</v>
      </c>
      <c r="BD42" s="12">
        <v>0</v>
      </c>
      <c r="BE42" s="12">
        <v>22980.2</v>
      </c>
      <c r="BF42" s="12">
        <v>0</v>
      </c>
      <c r="BG42" s="75">
        <f t="shared" si="6"/>
        <v>76187.840000000011</v>
      </c>
      <c r="BH42" s="75">
        <f t="shared" si="2"/>
        <v>1746.9</v>
      </c>
      <c r="BI42" s="75">
        <f t="shared" si="3"/>
        <v>49362.41</v>
      </c>
      <c r="BJ42" s="75">
        <f t="shared" si="4"/>
        <v>25078.53</v>
      </c>
    </row>
    <row r="43" spans="3:62" x14ac:dyDescent="0.25">
      <c r="D43" s="7">
        <v>1061</v>
      </c>
      <c r="E43" s="7" t="s">
        <v>335</v>
      </c>
      <c r="F43" s="12">
        <v>0</v>
      </c>
      <c r="G43" s="12">
        <v>0</v>
      </c>
      <c r="H43" s="12">
        <v>0</v>
      </c>
      <c r="I43" s="12">
        <v>0</v>
      </c>
      <c r="J43" s="12">
        <v>0</v>
      </c>
      <c r="K43" s="12">
        <v>0</v>
      </c>
      <c r="L43" s="12">
        <v>0</v>
      </c>
      <c r="M43" s="12">
        <v>398887.21</v>
      </c>
      <c r="N43" s="12">
        <v>0</v>
      </c>
      <c r="O43" s="12">
        <v>0</v>
      </c>
      <c r="P43" s="12">
        <v>199120</v>
      </c>
      <c r="Q43" s="12">
        <v>0</v>
      </c>
      <c r="R43" s="12">
        <v>0</v>
      </c>
      <c r="S43" s="12">
        <v>0</v>
      </c>
      <c r="T43" s="12">
        <v>0</v>
      </c>
      <c r="U43" s="12">
        <v>0</v>
      </c>
      <c r="V43" s="12">
        <v>0</v>
      </c>
      <c r="W43" s="12">
        <v>0</v>
      </c>
      <c r="X43" s="12">
        <v>0</v>
      </c>
      <c r="Y43" s="12">
        <v>0</v>
      </c>
      <c r="Z43" s="12">
        <v>0</v>
      </c>
      <c r="AA43" s="12">
        <v>0</v>
      </c>
      <c r="AB43" s="12">
        <v>0</v>
      </c>
      <c r="AC43" s="12">
        <v>6639.85</v>
      </c>
      <c r="AD43" s="12">
        <v>0</v>
      </c>
      <c r="AE43" s="12">
        <v>0</v>
      </c>
      <c r="AF43" s="12">
        <v>0</v>
      </c>
      <c r="AG43" s="12">
        <v>0</v>
      </c>
      <c r="AH43" s="12">
        <v>0</v>
      </c>
      <c r="AI43" s="12">
        <v>0</v>
      </c>
      <c r="AJ43" s="12">
        <v>0</v>
      </c>
      <c r="AK43" s="12">
        <v>13800</v>
      </c>
      <c r="AL43" s="12">
        <v>0</v>
      </c>
      <c r="AM43" s="12">
        <v>0</v>
      </c>
      <c r="AN43" s="12">
        <v>0</v>
      </c>
      <c r="AO43" s="12">
        <v>0</v>
      </c>
      <c r="AP43" s="12">
        <v>0</v>
      </c>
      <c r="AQ43" s="12">
        <v>0</v>
      </c>
      <c r="AR43" s="12">
        <v>0</v>
      </c>
      <c r="AS43" s="12">
        <v>0</v>
      </c>
      <c r="AT43" s="12">
        <v>0</v>
      </c>
      <c r="AU43" s="12">
        <v>0</v>
      </c>
      <c r="AV43" s="12">
        <v>0</v>
      </c>
      <c r="AW43" s="12">
        <v>0</v>
      </c>
      <c r="AX43" s="12">
        <v>0</v>
      </c>
      <c r="AY43" s="12">
        <v>0</v>
      </c>
      <c r="AZ43" s="12">
        <v>0</v>
      </c>
      <c r="BA43" s="12">
        <v>0</v>
      </c>
      <c r="BB43" s="12">
        <v>0</v>
      </c>
      <c r="BC43" s="12">
        <v>57903.7</v>
      </c>
      <c r="BD43" s="12">
        <v>0</v>
      </c>
      <c r="BE43" s="12">
        <v>0</v>
      </c>
      <c r="BF43" s="12">
        <v>0</v>
      </c>
      <c r="BG43" s="75">
        <f t="shared" si="6"/>
        <v>676350.75999999989</v>
      </c>
      <c r="BH43" s="75">
        <f t="shared" si="2"/>
        <v>598007.21</v>
      </c>
      <c r="BI43" s="75">
        <f t="shared" si="3"/>
        <v>20439.849999999999</v>
      </c>
      <c r="BJ43" s="75">
        <f t="shared" si="4"/>
        <v>57903.7</v>
      </c>
    </row>
    <row r="44" spans="3:62" x14ac:dyDescent="0.25">
      <c r="D44" s="7">
        <v>1062</v>
      </c>
      <c r="E44" s="7" t="s">
        <v>336</v>
      </c>
      <c r="F44" s="12">
        <v>0</v>
      </c>
      <c r="G44" s="12">
        <v>0</v>
      </c>
      <c r="H44" s="12">
        <v>0</v>
      </c>
      <c r="I44" s="12">
        <v>0</v>
      </c>
      <c r="J44" s="12">
        <v>0</v>
      </c>
      <c r="K44" s="12">
        <v>0</v>
      </c>
      <c r="L44" s="12">
        <v>0</v>
      </c>
      <c r="M44" s="12">
        <v>0</v>
      </c>
      <c r="N44" s="12">
        <v>0</v>
      </c>
      <c r="O44" s="12">
        <v>0</v>
      </c>
      <c r="P44" s="12">
        <v>0</v>
      </c>
      <c r="Q44" s="12">
        <v>0</v>
      </c>
      <c r="R44" s="12">
        <v>0</v>
      </c>
      <c r="S44" s="12">
        <v>0</v>
      </c>
      <c r="T44" s="12">
        <v>0</v>
      </c>
      <c r="U44" s="12">
        <v>0</v>
      </c>
      <c r="V44" s="12">
        <v>0</v>
      </c>
      <c r="W44" s="12">
        <v>0</v>
      </c>
      <c r="X44" s="12">
        <v>0</v>
      </c>
      <c r="Y44" s="12">
        <v>0</v>
      </c>
      <c r="Z44" s="12">
        <v>0</v>
      </c>
      <c r="AA44" s="12">
        <v>0</v>
      </c>
      <c r="AB44" s="12">
        <v>0</v>
      </c>
      <c r="AC44" s="12">
        <v>0</v>
      </c>
      <c r="AD44" s="12">
        <v>0</v>
      </c>
      <c r="AE44" s="12">
        <v>0</v>
      </c>
      <c r="AF44" s="12">
        <v>0</v>
      </c>
      <c r="AG44" s="12">
        <v>0</v>
      </c>
      <c r="AH44" s="12">
        <v>0</v>
      </c>
      <c r="AI44" s="12">
        <v>0</v>
      </c>
      <c r="AJ44" s="12">
        <v>0</v>
      </c>
      <c r="AK44" s="12">
        <v>0</v>
      </c>
      <c r="AL44" s="12">
        <v>0</v>
      </c>
      <c r="AM44" s="12">
        <v>0</v>
      </c>
      <c r="AN44" s="12">
        <v>0</v>
      </c>
      <c r="AO44" s="12">
        <v>0</v>
      </c>
      <c r="AP44" s="12">
        <v>0</v>
      </c>
      <c r="AQ44" s="12">
        <v>0</v>
      </c>
      <c r="AR44" s="12">
        <v>0</v>
      </c>
      <c r="AS44" s="12">
        <v>0</v>
      </c>
      <c r="AT44" s="12">
        <v>0</v>
      </c>
      <c r="AU44" s="12">
        <v>0</v>
      </c>
      <c r="AV44" s="12">
        <v>0</v>
      </c>
      <c r="AW44" s="12">
        <v>0</v>
      </c>
      <c r="AX44" s="12">
        <v>0</v>
      </c>
      <c r="AY44" s="12">
        <v>0</v>
      </c>
      <c r="AZ44" s="12">
        <v>0</v>
      </c>
      <c r="BA44" s="12">
        <v>0</v>
      </c>
      <c r="BB44" s="12">
        <v>0</v>
      </c>
      <c r="BC44" s="12">
        <v>0</v>
      </c>
      <c r="BD44" s="12">
        <v>0</v>
      </c>
      <c r="BE44" s="12">
        <v>0</v>
      </c>
      <c r="BF44" s="12">
        <v>0</v>
      </c>
      <c r="BG44" s="75">
        <f t="shared" si="6"/>
        <v>0</v>
      </c>
      <c r="BH44" s="75">
        <f t="shared" si="2"/>
        <v>0</v>
      </c>
      <c r="BI44" s="75">
        <f t="shared" si="3"/>
        <v>0</v>
      </c>
      <c r="BJ44" s="75">
        <f t="shared" si="4"/>
        <v>0</v>
      </c>
    </row>
    <row r="45" spans="3:62" x14ac:dyDescent="0.25">
      <c r="D45" s="7">
        <v>1063</v>
      </c>
      <c r="E45" s="7" t="s">
        <v>337</v>
      </c>
      <c r="F45" s="12">
        <v>0</v>
      </c>
      <c r="G45" s="12">
        <v>0</v>
      </c>
      <c r="H45" s="12">
        <v>0</v>
      </c>
      <c r="I45" s="12">
        <v>0</v>
      </c>
      <c r="J45" s="12">
        <v>0</v>
      </c>
      <c r="K45" s="12">
        <v>0</v>
      </c>
      <c r="L45" s="12">
        <v>0</v>
      </c>
      <c r="M45" s="12">
        <v>0</v>
      </c>
      <c r="N45" s="12">
        <v>0</v>
      </c>
      <c r="O45" s="12">
        <v>0</v>
      </c>
      <c r="P45" s="12">
        <v>49000</v>
      </c>
      <c r="Q45" s="12">
        <v>0</v>
      </c>
      <c r="R45" s="12">
        <v>0</v>
      </c>
      <c r="S45" s="12">
        <v>0</v>
      </c>
      <c r="T45" s="12">
        <v>0</v>
      </c>
      <c r="U45" s="12">
        <v>0</v>
      </c>
      <c r="V45" s="12">
        <v>0</v>
      </c>
      <c r="W45" s="12">
        <v>0</v>
      </c>
      <c r="X45" s="12">
        <v>0</v>
      </c>
      <c r="Y45" s="12">
        <v>0</v>
      </c>
      <c r="Z45" s="12">
        <v>0</v>
      </c>
      <c r="AA45" s="12">
        <v>0</v>
      </c>
      <c r="AB45" s="12">
        <v>0</v>
      </c>
      <c r="AC45" s="12">
        <v>0</v>
      </c>
      <c r="AD45" s="12">
        <v>0</v>
      </c>
      <c r="AE45" s="12">
        <v>0</v>
      </c>
      <c r="AF45" s="12">
        <v>0</v>
      </c>
      <c r="AG45" s="12">
        <v>0</v>
      </c>
      <c r="AH45" s="12">
        <v>88251.35</v>
      </c>
      <c r="AI45" s="12">
        <v>0</v>
      </c>
      <c r="AJ45" s="12">
        <v>0</v>
      </c>
      <c r="AK45" s="12">
        <v>0</v>
      </c>
      <c r="AL45" s="12">
        <v>0</v>
      </c>
      <c r="AM45" s="12">
        <v>0</v>
      </c>
      <c r="AN45" s="12">
        <v>0</v>
      </c>
      <c r="AO45" s="12">
        <v>0</v>
      </c>
      <c r="AP45" s="12">
        <v>0</v>
      </c>
      <c r="AQ45" s="12">
        <v>0</v>
      </c>
      <c r="AR45" s="12">
        <v>0</v>
      </c>
      <c r="AS45" s="12">
        <v>0</v>
      </c>
      <c r="AT45" s="12">
        <v>0</v>
      </c>
      <c r="AU45" s="12">
        <v>0</v>
      </c>
      <c r="AV45" s="12">
        <v>0</v>
      </c>
      <c r="AW45" s="12">
        <v>0</v>
      </c>
      <c r="AX45" s="12">
        <v>0</v>
      </c>
      <c r="AY45" s="12">
        <v>0</v>
      </c>
      <c r="AZ45" s="12">
        <v>0</v>
      </c>
      <c r="BA45" s="12">
        <v>0</v>
      </c>
      <c r="BB45" s="12">
        <v>0</v>
      </c>
      <c r="BC45" s="12">
        <v>0</v>
      </c>
      <c r="BD45" s="12">
        <v>0</v>
      </c>
      <c r="BE45" s="12">
        <v>0</v>
      </c>
      <c r="BF45" s="12">
        <v>0</v>
      </c>
      <c r="BG45" s="75">
        <f t="shared" si="6"/>
        <v>137251.35</v>
      </c>
      <c r="BH45" s="75">
        <f t="shared" si="2"/>
        <v>49000</v>
      </c>
      <c r="BI45" s="75">
        <f t="shared" si="3"/>
        <v>88251.35</v>
      </c>
      <c r="BJ45" s="75">
        <f t="shared" si="4"/>
        <v>0</v>
      </c>
    </row>
    <row r="46" spans="3:62" x14ac:dyDescent="0.25">
      <c r="D46" s="7">
        <v>1068</v>
      </c>
      <c r="E46" s="7" t="s">
        <v>338</v>
      </c>
      <c r="F46" s="12">
        <v>0</v>
      </c>
      <c r="G46" s="12">
        <v>0</v>
      </c>
      <c r="H46" s="12">
        <v>0</v>
      </c>
      <c r="I46" s="12">
        <v>0</v>
      </c>
      <c r="J46" s="12">
        <v>0</v>
      </c>
      <c r="K46" s="12">
        <v>0</v>
      </c>
      <c r="L46" s="12">
        <v>0</v>
      </c>
      <c r="M46" s="12">
        <v>0</v>
      </c>
      <c r="N46" s="12">
        <v>0</v>
      </c>
      <c r="O46" s="12">
        <v>0</v>
      </c>
      <c r="P46" s="12">
        <v>0</v>
      </c>
      <c r="Q46" s="12">
        <v>0</v>
      </c>
      <c r="R46" s="12">
        <v>0</v>
      </c>
      <c r="S46" s="12">
        <v>0</v>
      </c>
      <c r="T46" s="12">
        <v>0</v>
      </c>
      <c r="U46" s="12">
        <v>0</v>
      </c>
      <c r="V46" s="12">
        <v>0</v>
      </c>
      <c r="W46" s="12">
        <v>0</v>
      </c>
      <c r="X46" s="12">
        <v>0</v>
      </c>
      <c r="Y46" s="12">
        <v>0</v>
      </c>
      <c r="Z46" s="12">
        <v>0</v>
      </c>
      <c r="AA46" s="12">
        <v>0</v>
      </c>
      <c r="AB46" s="12">
        <v>0</v>
      </c>
      <c r="AC46" s="12">
        <v>0</v>
      </c>
      <c r="AD46" s="12">
        <v>0</v>
      </c>
      <c r="AE46" s="12">
        <v>0</v>
      </c>
      <c r="AF46" s="12">
        <v>0</v>
      </c>
      <c r="AG46" s="12">
        <v>0</v>
      </c>
      <c r="AH46" s="12">
        <v>0</v>
      </c>
      <c r="AI46" s="12">
        <v>0</v>
      </c>
      <c r="AJ46" s="12">
        <v>0</v>
      </c>
      <c r="AK46" s="12">
        <v>0</v>
      </c>
      <c r="AL46" s="12">
        <v>0</v>
      </c>
      <c r="AM46" s="12">
        <v>0</v>
      </c>
      <c r="AN46" s="12">
        <v>0</v>
      </c>
      <c r="AO46" s="12">
        <v>0</v>
      </c>
      <c r="AP46" s="12">
        <v>0</v>
      </c>
      <c r="AQ46" s="12">
        <v>0</v>
      </c>
      <c r="AR46" s="12">
        <v>0</v>
      </c>
      <c r="AS46" s="12">
        <v>0</v>
      </c>
      <c r="AT46" s="12">
        <v>0</v>
      </c>
      <c r="AU46" s="12">
        <v>0</v>
      </c>
      <c r="AV46" s="12">
        <v>0</v>
      </c>
      <c r="AW46" s="12">
        <v>0</v>
      </c>
      <c r="AX46" s="12">
        <v>0</v>
      </c>
      <c r="AY46" s="12">
        <v>0</v>
      </c>
      <c r="AZ46" s="12">
        <v>0</v>
      </c>
      <c r="BA46" s="12">
        <v>0</v>
      </c>
      <c r="BB46" s="12">
        <v>0</v>
      </c>
      <c r="BC46" s="12">
        <v>0</v>
      </c>
      <c r="BD46" s="12">
        <v>0</v>
      </c>
      <c r="BE46" s="12">
        <v>0</v>
      </c>
      <c r="BF46" s="12">
        <v>0</v>
      </c>
      <c r="BG46" s="75">
        <f t="shared" si="6"/>
        <v>0</v>
      </c>
      <c r="BH46" s="75">
        <f t="shared" si="2"/>
        <v>0</v>
      </c>
      <c r="BI46" s="75">
        <f t="shared" si="3"/>
        <v>0</v>
      </c>
      <c r="BJ46" s="75">
        <f t="shared" si="4"/>
        <v>0</v>
      </c>
    </row>
    <row r="47" spans="3:62" x14ac:dyDescent="0.25">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75"/>
      <c r="BH47" s="75"/>
      <c r="BI47" s="75"/>
      <c r="BJ47" s="75"/>
    </row>
    <row r="48" spans="3:62" x14ac:dyDescent="0.25">
      <c r="C48" s="76">
        <v>107</v>
      </c>
      <c r="D48" s="76"/>
      <c r="E48" s="76" t="s">
        <v>343</v>
      </c>
      <c r="F48" s="96">
        <f>F49+F50+F51+F52</f>
        <v>2726</v>
      </c>
      <c r="G48" s="96">
        <f t="shared" ref="G48:BF48" si="11">G49+G50+G51+G52</f>
        <v>200</v>
      </c>
      <c r="H48" s="96">
        <f t="shared" si="11"/>
        <v>0</v>
      </c>
      <c r="I48" s="96">
        <f t="shared" si="11"/>
        <v>2695</v>
      </c>
      <c r="J48" s="96">
        <f t="shared" si="11"/>
        <v>340272</v>
      </c>
      <c r="K48" s="96">
        <f t="shared" si="11"/>
        <v>1290</v>
      </c>
      <c r="L48" s="96">
        <f t="shared" si="11"/>
        <v>21400</v>
      </c>
      <c r="M48" s="96">
        <f t="shared" si="11"/>
        <v>2029838.55</v>
      </c>
      <c r="N48" s="96">
        <f t="shared" si="11"/>
        <v>1290</v>
      </c>
      <c r="O48" s="96">
        <f t="shared" si="11"/>
        <v>0</v>
      </c>
      <c r="P48" s="96">
        <f t="shared" si="11"/>
        <v>284034.5</v>
      </c>
      <c r="Q48" s="96">
        <f t="shared" si="11"/>
        <v>2102</v>
      </c>
      <c r="R48" s="96">
        <f t="shared" si="11"/>
        <v>13245</v>
      </c>
      <c r="S48" s="96">
        <f t="shared" si="11"/>
        <v>200</v>
      </c>
      <c r="T48" s="96">
        <f t="shared" si="11"/>
        <v>200</v>
      </c>
      <c r="U48" s="96">
        <f t="shared" si="11"/>
        <v>20800</v>
      </c>
      <c r="V48" s="96">
        <f t="shared" si="11"/>
        <v>0</v>
      </c>
      <c r="W48" s="96">
        <f t="shared" si="11"/>
        <v>950.55</v>
      </c>
      <c r="X48" s="96">
        <f t="shared" si="11"/>
        <v>8006</v>
      </c>
      <c r="Y48" s="96">
        <f t="shared" si="11"/>
        <v>0</v>
      </c>
      <c r="Z48" s="96">
        <f t="shared" si="11"/>
        <v>2511</v>
      </c>
      <c r="AA48" s="96">
        <f t="shared" si="11"/>
        <v>14650884.550000001</v>
      </c>
      <c r="AB48" s="96">
        <f t="shared" si="11"/>
        <v>249631.94</v>
      </c>
      <c r="AC48" s="96">
        <f t="shared" si="11"/>
        <v>77893.5</v>
      </c>
      <c r="AD48" s="96">
        <f t="shared" si="11"/>
        <v>50600</v>
      </c>
      <c r="AE48" s="96">
        <f t="shared" si="11"/>
        <v>767</v>
      </c>
      <c r="AF48" s="96">
        <f t="shared" si="11"/>
        <v>2725</v>
      </c>
      <c r="AG48" s="96">
        <f t="shared" si="11"/>
        <v>0</v>
      </c>
      <c r="AH48" s="96">
        <f t="shared" si="11"/>
        <v>432300</v>
      </c>
      <c r="AI48" s="96">
        <f t="shared" si="11"/>
        <v>135035</v>
      </c>
      <c r="AJ48" s="96">
        <f t="shared" si="11"/>
        <v>4160</v>
      </c>
      <c r="AK48" s="96">
        <f t="shared" si="11"/>
        <v>34832</v>
      </c>
      <c r="AL48" s="96">
        <f t="shared" si="11"/>
        <v>1109400</v>
      </c>
      <c r="AM48" s="96">
        <f t="shared" si="11"/>
        <v>76106</v>
      </c>
      <c r="AN48" s="96">
        <f t="shared" si="11"/>
        <v>0</v>
      </c>
      <c r="AO48" s="96">
        <f t="shared" si="11"/>
        <v>200</v>
      </c>
      <c r="AP48" s="96">
        <f t="shared" si="11"/>
        <v>2000</v>
      </c>
      <c r="AQ48" s="96">
        <f t="shared" si="11"/>
        <v>200</v>
      </c>
      <c r="AR48" s="96">
        <f t="shared" si="11"/>
        <v>200</v>
      </c>
      <c r="AS48" s="96">
        <f t="shared" si="11"/>
        <v>7080</v>
      </c>
      <c r="AT48" s="96">
        <f t="shared" si="11"/>
        <v>316250</v>
      </c>
      <c r="AU48" s="96">
        <f t="shared" si="11"/>
        <v>0</v>
      </c>
      <c r="AV48" s="96">
        <f t="shared" si="11"/>
        <v>1</v>
      </c>
      <c r="AW48" s="96">
        <f t="shared" si="11"/>
        <v>9</v>
      </c>
      <c r="AX48" s="96">
        <f t="shared" si="11"/>
        <v>101200</v>
      </c>
      <c r="AY48" s="96">
        <f t="shared" si="11"/>
        <v>1</v>
      </c>
      <c r="AZ48" s="96">
        <f t="shared" si="11"/>
        <v>1505</v>
      </c>
      <c r="BA48" s="96">
        <f t="shared" si="11"/>
        <v>140325</v>
      </c>
      <c r="BB48" s="96">
        <f t="shared" si="11"/>
        <v>1200</v>
      </c>
      <c r="BC48" s="96">
        <f t="shared" si="11"/>
        <v>65315</v>
      </c>
      <c r="BD48" s="96">
        <f t="shared" si="11"/>
        <v>504</v>
      </c>
      <c r="BE48" s="96">
        <f t="shared" si="11"/>
        <v>755126</v>
      </c>
      <c r="BF48" s="96">
        <f t="shared" si="11"/>
        <v>5</v>
      </c>
      <c r="BG48" s="96">
        <f t="shared" si="6"/>
        <v>20947216.59</v>
      </c>
      <c r="BH48" s="96">
        <f t="shared" si="2"/>
        <v>2729249.5999999996</v>
      </c>
      <c r="BI48" s="96">
        <f t="shared" si="3"/>
        <v>15641339.99</v>
      </c>
      <c r="BJ48" s="96">
        <f t="shared" si="4"/>
        <v>2576627</v>
      </c>
    </row>
    <row r="49" spans="3:62" x14ac:dyDescent="0.25">
      <c r="D49" s="7">
        <v>1070</v>
      </c>
      <c r="E49" s="7" t="s">
        <v>339</v>
      </c>
      <c r="F49" s="12">
        <v>2726</v>
      </c>
      <c r="G49" s="12">
        <v>200</v>
      </c>
      <c r="H49" s="12">
        <v>0</v>
      </c>
      <c r="I49" s="12">
        <v>2695</v>
      </c>
      <c r="J49" s="12">
        <v>297772</v>
      </c>
      <c r="K49" s="12">
        <v>1290</v>
      </c>
      <c r="L49" s="12">
        <v>21400</v>
      </c>
      <c r="M49" s="12">
        <v>818975</v>
      </c>
      <c r="N49" s="12">
        <v>1290</v>
      </c>
      <c r="O49" s="12">
        <v>0</v>
      </c>
      <c r="P49" s="12">
        <v>284034.5</v>
      </c>
      <c r="Q49" s="12">
        <v>2102</v>
      </c>
      <c r="R49" s="12">
        <v>13245</v>
      </c>
      <c r="S49" s="12">
        <v>200</v>
      </c>
      <c r="T49" s="12">
        <v>200</v>
      </c>
      <c r="U49" s="12">
        <v>20800</v>
      </c>
      <c r="V49" s="12">
        <v>0</v>
      </c>
      <c r="W49" s="12">
        <v>950.55</v>
      </c>
      <c r="X49" s="12">
        <v>8006</v>
      </c>
      <c r="Y49" s="12">
        <v>0</v>
      </c>
      <c r="Z49" s="12">
        <v>2511</v>
      </c>
      <c r="AA49" s="12">
        <v>993256</v>
      </c>
      <c r="AB49" s="12">
        <v>201</v>
      </c>
      <c r="AC49" s="12">
        <v>75587</v>
      </c>
      <c r="AD49" s="12">
        <v>50600</v>
      </c>
      <c r="AE49" s="12">
        <v>767</v>
      </c>
      <c r="AF49" s="12">
        <v>2725</v>
      </c>
      <c r="AG49" s="12">
        <v>0</v>
      </c>
      <c r="AH49" s="12">
        <v>432300</v>
      </c>
      <c r="AI49" s="12">
        <v>135035</v>
      </c>
      <c r="AJ49" s="12">
        <v>4160</v>
      </c>
      <c r="AK49" s="12">
        <v>34832</v>
      </c>
      <c r="AL49" s="12">
        <v>17400</v>
      </c>
      <c r="AM49" s="12">
        <v>76106</v>
      </c>
      <c r="AN49" s="12">
        <v>0</v>
      </c>
      <c r="AO49" s="12">
        <v>200</v>
      </c>
      <c r="AP49" s="12">
        <v>2000</v>
      </c>
      <c r="AQ49" s="12">
        <v>200</v>
      </c>
      <c r="AR49" s="12">
        <v>200</v>
      </c>
      <c r="AS49" s="12">
        <v>7080</v>
      </c>
      <c r="AT49" s="12">
        <v>316250</v>
      </c>
      <c r="AU49" s="12">
        <v>0</v>
      </c>
      <c r="AV49" s="12">
        <v>1</v>
      </c>
      <c r="AW49" s="12">
        <v>9</v>
      </c>
      <c r="AX49" s="12">
        <v>101200</v>
      </c>
      <c r="AY49" s="12">
        <v>1</v>
      </c>
      <c r="AZ49" s="12">
        <v>1505</v>
      </c>
      <c r="BA49" s="12">
        <v>140325</v>
      </c>
      <c r="BB49" s="12">
        <v>1200</v>
      </c>
      <c r="BC49" s="12">
        <v>65315</v>
      </c>
      <c r="BD49" s="12">
        <v>504</v>
      </c>
      <c r="BE49" s="12">
        <v>755126</v>
      </c>
      <c r="BF49" s="12">
        <v>5</v>
      </c>
      <c r="BG49" s="75">
        <f t="shared" si="6"/>
        <v>4692487.05</v>
      </c>
      <c r="BH49" s="75">
        <f t="shared" si="2"/>
        <v>1475886.05</v>
      </c>
      <c r="BI49" s="75">
        <f t="shared" si="3"/>
        <v>1731974</v>
      </c>
      <c r="BJ49" s="75">
        <f t="shared" si="4"/>
        <v>1484627</v>
      </c>
    </row>
    <row r="50" spans="3:62" x14ac:dyDescent="0.25">
      <c r="D50" s="7">
        <v>1071</v>
      </c>
      <c r="E50" s="7" t="s">
        <v>340</v>
      </c>
      <c r="F50" s="12">
        <v>0</v>
      </c>
      <c r="G50" s="12">
        <v>0</v>
      </c>
      <c r="H50" s="12">
        <v>0</v>
      </c>
      <c r="I50" s="12">
        <v>0</v>
      </c>
      <c r="J50" s="12">
        <v>42500</v>
      </c>
      <c r="K50" s="12">
        <v>0</v>
      </c>
      <c r="L50" s="12">
        <v>0</v>
      </c>
      <c r="M50" s="12">
        <v>1210863.55</v>
      </c>
      <c r="N50" s="12">
        <v>0</v>
      </c>
      <c r="O50" s="12">
        <v>0</v>
      </c>
      <c r="P50" s="12">
        <v>0</v>
      </c>
      <c r="Q50" s="12">
        <v>0</v>
      </c>
      <c r="R50" s="12">
        <v>0</v>
      </c>
      <c r="S50" s="12">
        <v>0</v>
      </c>
      <c r="T50" s="12">
        <v>0</v>
      </c>
      <c r="U50" s="12">
        <v>0</v>
      </c>
      <c r="V50" s="12">
        <v>0</v>
      </c>
      <c r="W50" s="12">
        <v>0</v>
      </c>
      <c r="X50" s="12">
        <v>0</v>
      </c>
      <c r="Y50" s="12">
        <v>0</v>
      </c>
      <c r="Z50" s="12">
        <v>0</v>
      </c>
      <c r="AA50" s="12">
        <v>13657628.550000001</v>
      </c>
      <c r="AB50" s="12">
        <v>249430.94</v>
      </c>
      <c r="AC50" s="12">
        <v>2306.5</v>
      </c>
      <c r="AD50" s="12">
        <v>0</v>
      </c>
      <c r="AE50" s="12">
        <v>0</v>
      </c>
      <c r="AF50" s="12">
        <v>0</v>
      </c>
      <c r="AG50" s="12">
        <v>0</v>
      </c>
      <c r="AH50" s="12">
        <v>0</v>
      </c>
      <c r="AI50" s="12">
        <v>0</v>
      </c>
      <c r="AJ50" s="12">
        <v>0</v>
      </c>
      <c r="AK50" s="12">
        <v>0</v>
      </c>
      <c r="AL50" s="12">
        <v>1092000</v>
      </c>
      <c r="AM50" s="12">
        <v>0</v>
      </c>
      <c r="AN50" s="12">
        <v>0</v>
      </c>
      <c r="AO50" s="12">
        <v>0</v>
      </c>
      <c r="AP50" s="12">
        <v>0</v>
      </c>
      <c r="AQ50" s="12">
        <v>0</v>
      </c>
      <c r="AR50" s="12">
        <v>0</v>
      </c>
      <c r="AS50" s="12">
        <v>0</v>
      </c>
      <c r="AT50" s="12">
        <v>0</v>
      </c>
      <c r="AU50" s="12">
        <v>0</v>
      </c>
      <c r="AV50" s="12">
        <v>0</v>
      </c>
      <c r="AW50" s="12">
        <v>0</v>
      </c>
      <c r="AX50" s="12">
        <v>0</v>
      </c>
      <c r="AY50" s="12">
        <v>0</v>
      </c>
      <c r="AZ50" s="12">
        <v>0</v>
      </c>
      <c r="BA50" s="12">
        <v>0</v>
      </c>
      <c r="BB50" s="12">
        <v>0</v>
      </c>
      <c r="BC50" s="12">
        <v>0</v>
      </c>
      <c r="BD50" s="12">
        <v>0</v>
      </c>
      <c r="BE50" s="12">
        <v>0</v>
      </c>
      <c r="BF50" s="12">
        <v>0</v>
      </c>
      <c r="BG50" s="75">
        <f t="shared" si="6"/>
        <v>16254729.540000001</v>
      </c>
      <c r="BH50" s="75">
        <f t="shared" si="2"/>
        <v>1253363.55</v>
      </c>
      <c r="BI50" s="75">
        <f t="shared" si="3"/>
        <v>13909365.99</v>
      </c>
      <c r="BJ50" s="75">
        <f t="shared" si="4"/>
        <v>1092000</v>
      </c>
    </row>
    <row r="51" spans="3:62" x14ac:dyDescent="0.25">
      <c r="D51" s="7">
        <v>1072</v>
      </c>
      <c r="E51" s="7" t="s">
        <v>341</v>
      </c>
      <c r="F51" s="12">
        <v>0</v>
      </c>
      <c r="G51" s="12">
        <v>0</v>
      </c>
      <c r="H51" s="12">
        <v>0</v>
      </c>
      <c r="I51" s="12">
        <v>0</v>
      </c>
      <c r="J51" s="12">
        <v>0</v>
      </c>
      <c r="K51" s="12">
        <v>0</v>
      </c>
      <c r="L51" s="12">
        <v>0</v>
      </c>
      <c r="M51" s="12">
        <v>0</v>
      </c>
      <c r="N51" s="12">
        <v>0</v>
      </c>
      <c r="O51" s="12">
        <v>0</v>
      </c>
      <c r="P51" s="12">
        <v>0</v>
      </c>
      <c r="Q51" s="12">
        <v>0</v>
      </c>
      <c r="R51" s="12">
        <v>0</v>
      </c>
      <c r="S51" s="12">
        <v>0</v>
      </c>
      <c r="T51" s="12">
        <v>0</v>
      </c>
      <c r="U51" s="12">
        <v>0</v>
      </c>
      <c r="V51" s="12">
        <v>0</v>
      </c>
      <c r="W51" s="12">
        <v>0</v>
      </c>
      <c r="X51" s="12">
        <v>0</v>
      </c>
      <c r="Y51" s="12">
        <v>0</v>
      </c>
      <c r="Z51" s="12">
        <v>0</v>
      </c>
      <c r="AA51" s="12">
        <v>0</v>
      </c>
      <c r="AB51" s="12">
        <v>0</v>
      </c>
      <c r="AC51" s="12">
        <v>0</v>
      </c>
      <c r="AD51" s="12">
        <v>0</v>
      </c>
      <c r="AE51" s="12">
        <v>0</v>
      </c>
      <c r="AF51" s="12">
        <v>0</v>
      </c>
      <c r="AG51" s="12">
        <v>0</v>
      </c>
      <c r="AH51" s="12">
        <v>0</v>
      </c>
      <c r="AI51" s="12">
        <v>0</v>
      </c>
      <c r="AJ51" s="12">
        <v>0</v>
      </c>
      <c r="AK51" s="12">
        <v>0</v>
      </c>
      <c r="AL51" s="12">
        <v>0</v>
      </c>
      <c r="AM51" s="12">
        <v>0</v>
      </c>
      <c r="AN51" s="12">
        <v>0</v>
      </c>
      <c r="AO51" s="12">
        <v>0</v>
      </c>
      <c r="AP51" s="12">
        <v>0</v>
      </c>
      <c r="AQ51" s="12">
        <v>0</v>
      </c>
      <c r="AR51" s="12">
        <v>0</v>
      </c>
      <c r="AS51" s="12">
        <v>0</v>
      </c>
      <c r="AT51" s="12">
        <v>0</v>
      </c>
      <c r="AU51" s="12">
        <v>0</v>
      </c>
      <c r="AV51" s="12">
        <v>0</v>
      </c>
      <c r="AW51" s="12">
        <v>0</v>
      </c>
      <c r="AX51" s="12">
        <v>0</v>
      </c>
      <c r="AY51" s="12">
        <v>0</v>
      </c>
      <c r="AZ51" s="12">
        <v>0</v>
      </c>
      <c r="BA51" s="12">
        <v>0</v>
      </c>
      <c r="BB51" s="12">
        <v>0</v>
      </c>
      <c r="BC51" s="12">
        <v>0</v>
      </c>
      <c r="BD51" s="12">
        <v>0</v>
      </c>
      <c r="BE51" s="12">
        <v>0</v>
      </c>
      <c r="BF51" s="12">
        <v>0</v>
      </c>
      <c r="BG51" s="75">
        <f t="shared" si="6"/>
        <v>0</v>
      </c>
      <c r="BH51" s="75">
        <f t="shared" si="2"/>
        <v>0</v>
      </c>
      <c r="BI51" s="75">
        <f t="shared" si="3"/>
        <v>0</v>
      </c>
      <c r="BJ51" s="75">
        <f t="shared" si="4"/>
        <v>0</v>
      </c>
    </row>
    <row r="52" spans="3:62" x14ac:dyDescent="0.25">
      <c r="D52" s="7">
        <v>1079</v>
      </c>
      <c r="E52" s="7" t="s">
        <v>342</v>
      </c>
      <c r="F52" s="12">
        <v>0</v>
      </c>
      <c r="G52" s="12">
        <v>0</v>
      </c>
      <c r="H52" s="12">
        <v>0</v>
      </c>
      <c r="I52" s="12">
        <v>0</v>
      </c>
      <c r="J52" s="12">
        <v>0</v>
      </c>
      <c r="K52" s="12">
        <v>0</v>
      </c>
      <c r="L52" s="12">
        <v>0</v>
      </c>
      <c r="M52" s="12">
        <v>0</v>
      </c>
      <c r="N52" s="12">
        <v>0</v>
      </c>
      <c r="O52" s="12">
        <v>0</v>
      </c>
      <c r="P52" s="12">
        <v>0</v>
      </c>
      <c r="Q52" s="12">
        <v>0</v>
      </c>
      <c r="R52" s="12">
        <v>0</v>
      </c>
      <c r="S52" s="12">
        <v>0</v>
      </c>
      <c r="T52" s="12">
        <v>0</v>
      </c>
      <c r="U52" s="12">
        <v>0</v>
      </c>
      <c r="V52" s="12">
        <v>0</v>
      </c>
      <c r="W52" s="12">
        <v>0</v>
      </c>
      <c r="X52" s="12">
        <v>0</v>
      </c>
      <c r="Y52" s="12">
        <v>0</v>
      </c>
      <c r="Z52" s="12">
        <v>0</v>
      </c>
      <c r="AA52" s="12">
        <v>0</v>
      </c>
      <c r="AB52" s="12">
        <v>0</v>
      </c>
      <c r="AC52" s="12">
        <v>0</v>
      </c>
      <c r="AD52" s="12">
        <v>0</v>
      </c>
      <c r="AE52" s="12">
        <v>0</v>
      </c>
      <c r="AF52" s="12">
        <v>0</v>
      </c>
      <c r="AG52" s="12">
        <v>0</v>
      </c>
      <c r="AH52" s="12">
        <v>0</v>
      </c>
      <c r="AI52" s="12">
        <v>0</v>
      </c>
      <c r="AJ52" s="12">
        <v>0</v>
      </c>
      <c r="AK52" s="12">
        <v>0</v>
      </c>
      <c r="AL52" s="12">
        <v>0</v>
      </c>
      <c r="AM52" s="12">
        <v>0</v>
      </c>
      <c r="AN52" s="12">
        <v>0</v>
      </c>
      <c r="AO52" s="12">
        <v>0</v>
      </c>
      <c r="AP52" s="12">
        <v>0</v>
      </c>
      <c r="AQ52" s="12">
        <v>0</v>
      </c>
      <c r="AR52" s="12">
        <v>0</v>
      </c>
      <c r="AS52" s="12">
        <v>0</v>
      </c>
      <c r="AT52" s="12">
        <v>0</v>
      </c>
      <c r="AU52" s="12">
        <v>0</v>
      </c>
      <c r="AV52" s="12">
        <v>0</v>
      </c>
      <c r="AW52" s="12">
        <v>0</v>
      </c>
      <c r="AX52" s="12">
        <v>0</v>
      </c>
      <c r="AY52" s="12">
        <v>0</v>
      </c>
      <c r="AZ52" s="12">
        <v>0</v>
      </c>
      <c r="BA52" s="12">
        <v>0</v>
      </c>
      <c r="BB52" s="12">
        <v>0</v>
      </c>
      <c r="BC52" s="12">
        <v>0</v>
      </c>
      <c r="BD52" s="12">
        <v>0</v>
      </c>
      <c r="BE52" s="12">
        <v>0</v>
      </c>
      <c r="BF52" s="12">
        <v>0</v>
      </c>
      <c r="BG52" s="75">
        <f t="shared" si="6"/>
        <v>0</v>
      </c>
      <c r="BH52" s="75">
        <f t="shared" si="2"/>
        <v>0</v>
      </c>
      <c r="BI52" s="75">
        <f t="shared" si="3"/>
        <v>0</v>
      </c>
      <c r="BJ52" s="75">
        <f t="shared" si="4"/>
        <v>0</v>
      </c>
    </row>
    <row r="53" spans="3:62" x14ac:dyDescent="0.25">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75"/>
      <c r="BH53" s="75"/>
      <c r="BI53" s="75"/>
      <c r="BJ53" s="75"/>
    </row>
    <row r="54" spans="3:62" x14ac:dyDescent="0.25">
      <c r="C54" s="76">
        <v>108</v>
      </c>
      <c r="D54" s="76"/>
      <c r="E54" s="76" t="s">
        <v>245</v>
      </c>
      <c r="F54" s="96">
        <f>F55+F56+F57+F58+F59+F60</f>
        <v>262154.7</v>
      </c>
      <c r="G54" s="96">
        <f t="shared" ref="G54:BF54" si="12">G55+G56+G57+G58+G59+G60</f>
        <v>674656.2</v>
      </c>
      <c r="H54" s="96">
        <f t="shared" si="12"/>
        <v>1718695.14</v>
      </c>
      <c r="I54" s="96">
        <f t="shared" si="12"/>
        <v>2336889.15</v>
      </c>
      <c r="J54" s="96">
        <f t="shared" si="12"/>
        <v>7418070</v>
      </c>
      <c r="K54" s="96">
        <f t="shared" si="12"/>
        <v>3017950</v>
      </c>
      <c r="L54" s="96">
        <f t="shared" si="12"/>
        <v>4472753</v>
      </c>
      <c r="M54" s="96">
        <f t="shared" si="12"/>
        <v>29075534.649999999</v>
      </c>
      <c r="N54" s="96">
        <f t="shared" si="12"/>
        <v>1032168</v>
      </c>
      <c r="O54" s="96">
        <f t="shared" si="12"/>
        <v>0</v>
      </c>
      <c r="P54" s="96">
        <f t="shared" si="12"/>
        <v>4501189.16</v>
      </c>
      <c r="Q54" s="96">
        <f t="shared" si="12"/>
        <v>662385.84</v>
      </c>
      <c r="R54" s="96">
        <f t="shared" si="12"/>
        <v>173100</v>
      </c>
      <c r="S54" s="96">
        <f t="shared" si="12"/>
        <v>544800</v>
      </c>
      <c r="T54" s="96">
        <f t="shared" si="12"/>
        <v>562927.01</v>
      </c>
      <c r="U54" s="96">
        <f t="shared" si="12"/>
        <v>2819335.6500000004</v>
      </c>
      <c r="V54" s="96">
        <f t="shared" si="12"/>
        <v>618814.93000000005</v>
      </c>
      <c r="W54" s="96">
        <f t="shared" si="12"/>
        <v>320000</v>
      </c>
      <c r="X54" s="96">
        <f t="shared" si="12"/>
        <v>1029501</v>
      </c>
      <c r="Y54" s="96">
        <f t="shared" si="12"/>
        <v>0</v>
      </c>
      <c r="Z54" s="96">
        <f t="shared" si="12"/>
        <v>0</v>
      </c>
      <c r="AA54" s="96">
        <f t="shared" si="12"/>
        <v>1126602.6499999999</v>
      </c>
      <c r="AB54" s="96">
        <f t="shared" si="12"/>
        <v>381000</v>
      </c>
      <c r="AC54" s="96">
        <f t="shared" si="12"/>
        <v>367599.95</v>
      </c>
      <c r="AD54" s="96">
        <f t="shared" si="12"/>
        <v>1676461</v>
      </c>
      <c r="AE54" s="96">
        <f t="shared" si="12"/>
        <v>1401560</v>
      </c>
      <c r="AF54" s="96">
        <f t="shared" si="12"/>
        <v>0</v>
      </c>
      <c r="AG54" s="96">
        <f t="shared" si="12"/>
        <v>560878.15</v>
      </c>
      <c r="AH54" s="96">
        <f t="shared" si="12"/>
        <v>2213262.25</v>
      </c>
      <c r="AI54" s="96">
        <f t="shared" si="12"/>
        <v>600000</v>
      </c>
      <c r="AJ54" s="96">
        <f t="shared" si="12"/>
        <v>0</v>
      </c>
      <c r="AK54" s="96">
        <f t="shared" si="12"/>
        <v>689770</v>
      </c>
      <c r="AL54" s="96">
        <f t="shared" si="12"/>
        <v>420000</v>
      </c>
      <c r="AM54" s="96">
        <f t="shared" si="12"/>
        <v>1192545.8</v>
      </c>
      <c r="AN54" s="96">
        <f t="shared" si="12"/>
        <v>1732424</v>
      </c>
      <c r="AO54" s="96">
        <f t="shared" si="12"/>
        <v>631637.14</v>
      </c>
      <c r="AP54" s="96">
        <f t="shared" si="12"/>
        <v>9747285</v>
      </c>
      <c r="AQ54" s="96">
        <f t="shared" si="12"/>
        <v>470870</v>
      </c>
      <c r="AR54" s="96">
        <f t="shared" si="12"/>
        <v>219171</v>
      </c>
      <c r="AS54" s="96">
        <f t="shared" si="12"/>
        <v>7232168.3499999996</v>
      </c>
      <c r="AT54" s="96">
        <f t="shared" si="12"/>
        <v>614944.30000000005</v>
      </c>
      <c r="AU54" s="96">
        <f t="shared" si="12"/>
        <v>723170</v>
      </c>
      <c r="AV54" s="96">
        <f t="shared" si="12"/>
        <v>94935.7</v>
      </c>
      <c r="AW54" s="96">
        <f t="shared" si="12"/>
        <v>0</v>
      </c>
      <c r="AX54" s="96">
        <f t="shared" si="12"/>
        <v>1054581.05</v>
      </c>
      <c r="AY54" s="96">
        <f t="shared" si="12"/>
        <v>75486</v>
      </c>
      <c r="AZ54" s="96">
        <f t="shared" si="12"/>
        <v>207450</v>
      </c>
      <c r="BA54" s="96">
        <f t="shared" si="12"/>
        <v>838521</v>
      </c>
      <c r="BB54" s="96">
        <f t="shared" si="12"/>
        <v>398785</v>
      </c>
      <c r="BC54" s="96">
        <f t="shared" si="12"/>
        <v>2578618.85</v>
      </c>
      <c r="BD54" s="96">
        <f t="shared" si="12"/>
        <v>5340</v>
      </c>
      <c r="BE54" s="96">
        <f t="shared" si="12"/>
        <v>9081075.3900000006</v>
      </c>
      <c r="BF54" s="96">
        <f t="shared" si="12"/>
        <v>894415</v>
      </c>
      <c r="BG54" s="96">
        <f t="shared" si="6"/>
        <v>108471482.00999999</v>
      </c>
      <c r="BH54" s="96">
        <f t="shared" si="2"/>
        <v>61240924.43</v>
      </c>
      <c r="BI54" s="96">
        <f t="shared" si="3"/>
        <v>9017134</v>
      </c>
      <c r="BJ54" s="96">
        <f t="shared" si="4"/>
        <v>38213423.579999998</v>
      </c>
    </row>
    <row r="55" spans="3:62" x14ac:dyDescent="0.25">
      <c r="D55" s="7">
        <v>1080</v>
      </c>
      <c r="E55" s="7" t="s">
        <v>344</v>
      </c>
      <c r="F55" s="12">
        <v>0</v>
      </c>
      <c r="G55" s="12">
        <v>87280</v>
      </c>
      <c r="H55" s="12">
        <v>169116</v>
      </c>
      <c r="I55" s="12">
        <v>67925</v>
      </c>
      <c r="J55" s="12">
        <v>784520</v>
      </c>
      <c r="K55" s="12">
        <v>257950</v>
      </c>
      <c r="L55" s="12">
        <v>971953</v>
      </c>
      <c r="M55" s="12">
        <v>10813326.6</v>
      </c>
      <c r="N55" s="12">
        <v>581618</v>
      </c>
      <c r="O55" s="12">
        <v>0</v>
      </c>
      <c r="P55" s="12">
        <v>2236396.37</v>
      </c>
      <c r="Q55" s="12">
        <v>68385.84</v>
      </c>
      <c r="R55" s="12">
        <v>0</v>
      </c>
      <c r="S55" s="12">
        <v>0</v>
      </c>
      <c r="T55" s="12">
        <v>555027.01</v>
      </c>
      <c r="U55" s="12">
        <v>2262826.4500000002</v>
      </c>
      <c r="V55" s="12">
        <v>0</v>
      </c>
      <c r="W55" s="12">
        <v>0</v>
      </c>
      <c r="X55" s="12">
        <v>471600</v>
      </c>
      <c r="Y55" s="12">
        <v>0</v>
      </c>
      <c r="Z55" s="12">
        <v>0</v>
      </c>
      <c r="AA55" s="12">
        <v>888502.65</v>
      </c>
      <c r="AB55" s="12">
        <v>0</v>
      </c>
      <c r="AC55" s="12">
        <v>30</v>
      </c>
      <c r="AD55" s="12">
        <v>1338316.6000000001</v>
      </c>
      <c r="AE55" s="12">
        <v>136700</v>
      </c>
      <c r="AF55" s="12">
        <v>0</v>
      </c>
      <c r="AG55" s="12">
        <v>0</v>
      </c>
      <c r="AH55" s="12">
        <v>658262.25</v>
      </c>
      <c r="AI55" s="12">
        <v>0</v>
      </c>
      <c r="AJ55" s="12">
        <v>0</v>
      </c>
      <c r="AK55" s="12">
        <v>8770</v>
      </c>
      <c r="AL55" s="12">
        <v>0</v>
      </c>
      <c r="AM55" s="12">
        <v>419375</v>
      </c>
      <c r="AN55" s="12">
        <v>467807</v>
      </c>
      <c r="AO55" s="12">
        <v>631637.14</v>
      </c>
      <c r="AP55" s="12">
        <v>7209095</v>
      </c>
      <c r="AQ55" s="12">
        <v>83490</v>
      </c>
      <c r="AR55" s="12">
        <v>219171</v>
      </c>
      <c r="AS55" s="12">
        <v>132735</v>
      </c>
      <c r="AT55" s="12">
        <v>55797</v>
      </c>
      <c r="AU55" s="12">
        <v>3680</v>
      </c>
      <c r="AV55" s="12">
        <v>94935.7</v>
      </c>
      <c r="AW55" s="12">
        <v>0</v>
      </c>
      <c r="AX55" s="12">
        <v>594692.15</v>
      </c>
      <c r="AY55" s="12">
        <v>75486</v>
      </c>
      <c r="AZ55" s="12">
        <v>49450</v>
      </c>
      <c r="BA55" s="12">
        <v>719691</v>
      </c>
      <c r="BB55" s="12">
        <v>158785</v>
      </c>
      <c r="BC55" s="12">
        <v>888072</v>
      </c>
      <c r="BD55" s="12">
        <v>5340</v>
      </c>
      <c r="BE55" s="12">
        <v>5563559.4400000004</v>
      </c>
      <c r="BF55" s="12">
        <v>184415</v>
      </c>
      <c r="BG55" s="75">
        <f t="shared" si="6"/>
        <v>39915719.199999996</v>
      </c>
      <c r="BH55" s="75">
        <f t="shared" si="2"/>
        <v>19327924.27</v>
      </c>
      <c r="BI55" s="75">
        <f t="shared" si="3"/>
        <v>3030581.5</v>
      </c>
      <c r="BJ55" s="75">
        <f t="shared" si="4"/>
        <v>17557213.43</v>
      </c>
    </row>
    <row r="56" spans="3:62" x14ac:dyDescent="0.25">
      <c r="D56" s="7">
        <v>1084</v>
      </c>
      <c r="E56" s="7" t="s">
        <v>345</v>
      </c>
      <c r="F56" s="12">
        <v>262154.7</v>
      </c>
      <c r="G56" s="12">
        <v>565900</v>
      </c>
      <c r="H56" s="12">
        <v>1549579.14</v>
      </c>
      <c r="I56" s="12">
        <v>2268964.15</v>
      </c>
      <c r="J56" s="12">
        <v>6633550</v>
      </c>
      <c r="K56" s="12">
        <v>2760000</v>
      </c>
      <c r="L56" s="12">
        <v>3500800</v>
      </c>
      <c r="M56" s="12">
        <v>18262208.050000001</v>
      </c>
      <c r="N56" s="12">
        <v>450550</v>
      </c>
      <c r="O56" s="12">
        <v>0</v>
      </c>
      <c r="P56" s="12">
        <v>1124850</v>
      </c>
      <c r="Q56" s="12">
        <v>594000</v>
      </c>
      <c r="R56" s="12">
        <v>173100</v>
      </c>
      <c r="S56" s="12">
        <v>544800</v>
      </c>
      <c r="T56" s="12">
        <v>7900</v>
      </c>
      <c r="U56" s="12">
        <v>556509.19999999995</v>
      </c>
      <c r="V56" s="12">
        <v>618814.93000000005</v>
      </c>
      <c r="W56" s="12">
        <v>320000</v>
      </c>
      <c r="X56" s="12">
        <v>557901</v>
      </c>
      <c r="Y56" s="12">
        <v>0</v>
      </c>
      <c r="Z56" s="12">
        <v>0</v>
      </c>
      <c r="AA56" s="12">
        <v>238100</v>
      </c>
      <c r="AB56" s="12">
        <v>0</v>
      </c>
      <c r="AC56" s="12">
        <v>367569.95</v>
      </c>
      <c r="AD56" s="12">
        <v>0</v>
      </c>
      <c r="AE56" s="12">
        <v>1264860</v>
      </c>
      <c r="AF56" s="12">
        <v>0</v>
      </c>
      <c r="AG56" s="12">
        <v>560878.15</v>
      </c>
      <c r="AH56" s="12">
        <v>1555000</v>
      </c>
      <c r="AI56" s="12">
        <v>600000</v>
      </c>
      <c r="AJ56" s="12">
        <v>0</v>
      </c>
      <c r="AK56" s="12">
        <v>681000</v>
      </c>
      <c r="AL56" s="12">
        <v>420000</v>
      </c>
      <c r="AM56" s="12">
        <v>773170.8</v>
      </c>
      <c r="AN56" s="12">
        <v>1264617</v>
      </c>
      <c r="AO56" s="12">
        <v>0</v>
      </c>
      <c r="AP56" s="12">
        <v>2538190</v>
      </c>
      <c r="AQ56" s="12">
        <v>387380</v>
      </c>
      <c r="AR56" s="12">
        <v>0</v>
      </c>
      <c r="AS56" s="12">
        <v>6211325.8499999996</v>
      </c>
      <c r="AT56" s="12">
        <v>559147.30000000005</v>
      </c>
      <c r="AU56" s="12">
        <v>719490</v>
      </c>
      <c r="AV56" s="12">
        <v>0</v>
      </c>
      <c r="AW56" s="12">
        <v>0</v>
      </c>
      <c r="AX56" s="12">
        <v>416600</v>
      </c>
      <c r="AY56" s="12">
        <v>0</v>
      </c>
      <c r="AZ56" s="12">
        <v>158000</v>
      </c>
      <c r="BA56" s="12">
        <v>118830</v>
      </c>
      <c r="BB56" s="12">
        <v>240000</v>
      </c>
      <c r="BC56" s="12">
        <v>1690546.85</v>
      </c>
      <c r="BD56" s="12">
        <v>0</v>
      </c>
      <c r="BE56" s="12">
        <v>3517515.95</v>
      </c>
      <c r="BF56" s="12">
        <v>710000</v>
      </c>
      <c r="BG56" s="75">
        <f t="shared" si="6"/>
        <v>65743803.020000011</v>
      </c>
      <c r="BH56" s="75">
        <f t="shared" si="2"/>
        <v>40751581.170000009</v>
      </c>
      <c r="BI56" s="75">
        <f t="shared" si="3"/>
        <v>5267408.0999999996</v>
      </c>
      <c r="BJ56" s="75">
        <f t="shared" si="4"/>
        <v>19724813.75</v>
      </c>
    </row>
    <row r="57" spans="3:62" x14ac:dyDescent="0.25">
      <c r="D57" s="7">
        <v>1086</v>
      </c>
      <c r="E57" s="7" t="s">
        <v>346</v>
      </c>
      <c r="F57" s="12">
        <v>0</v>
      </c>
      <c r="G57" s="12">
        <v>0</v>
      </c>
      <c r="H57" s="12">
        <v>0</v>
      </c>
      <c r="I57" s="12">
        <v>0</v>
      </c>
      <c r="J57" s="12">
        <v>0</v>
      </c>
      <c r="K57" s="12">
        <v>0</v>
      </c>
      <c r="L57" s="12">
        <v>0</v>
      </c>
      <c r="M57" s="12">
        <v>0</v>
      </c>
      <c r="N57" s="12">
        <v>0</v>
      </c>
      <c r="O57" s="12">
        <v>0</v>
      </c>
      <c r="P57" s="12">
        <v>0</v>
      </c>
      <c r="Q57" s="12">
        <v>0</v>
      </c>
      <c r="R57" s="12">
        <v>0</v>
      </c>
      <c r="S57" s="12">
        <v>0</v>
      </c>
      <c r="T57" s="12">
        <v>0</v>
      </c>
      <c r="U57" s="12">
        <v>0</v>
      </c>
      <c r="V57" s="12">
        <v>0</v>
      </c>
      <c r="W57" s="12">
        <v>0</v>
      </c>
      <c r="X57" s="12">
        <v>0</v>
      </c>
      <c r="Y57" s="12">
        <v>0</v>
      </c>
      <c r="Z57" s="12">
        <v>0</v>
      </c>
      <c r="AA57" s="12">
        <v>0</v>
      </c>
      <c r="AB57" s="12">
        <v>0</v>
      </c>
      <c r="AC57" s="12">
        <v>0</v>
      </c>
      <c r="AD57" s="12">
        <v>0</v>
      </c>
      <c r="AE57" s="12">
        <v>0</v>
      </c>
      <c r="AF57" s="12">
        <v>0</v>
      </c>
      <c r="AG57" s="12">
        <v>0</v>
      </c>
      <c r="AH57" s="12">
        <v>0</v>
      </c>
      <c r="AI57" s="12">
        <v>0</v>
      </c>
      <c r="AJ57" s="12">
        <v>0</v>
      </c>
      <c r="AK57" s="12">
        <v>0</v>
      </c>
      <c r="AL57" s="12">
        <v>0</v>
      </c>
      <c r="AM57" s="12">
        <v>0</v>
      </c>
      <c r="AN57" s="12">
        <v>0</v>
      </c>
      <c r="AO57" s="12">
        <v>0</v>
      </c>
      <c r="AP57" s="12">
        <v>0</v>
      </c>
      <c r="AQ57" s="12">
        <v>0</v>
      </c>
      <c r="AR57" s="12">
        <v>0</v>
      </c>
      <c r="AS57" s="12">
        <v>0</v>
      </c>
      <c r="AT57" s="12">
        <v>0</v>
      </c>
      <c r="AU57" s="12">
        <v>0</v>
      </c>
      <c r="AV57" s="12">
        <v>0</v>
      </c>
      <c r="AW57" s="12">
        <v>0</v>
      </c>
      <c r="AX57" s="12">
        <v>0</v>
      </c>
      <c r="AY57" s="12">
        <v>0</v>
      </c>
      <c r="AZ57" s="12">
        <v>0</v>
      </c>
      <c r="BA57" s="12">
        <v>0</v>
      </c>
      <c r="BB57" s="12">
        <v>0</v>
      </c>
      <c r="BC57" s="12">
        <v>0</v>
      </c>
      <c r="BD57" s="12">
        <v>0</v>
      </c>
      <c r="BE57" s="12">
        <v>0</v>
      </c>
      <c r="BF57" s="12">
        <v>0</v>
      </c>
      <c r="BG57" s="75">
        <f t="shared" si="6"/>
        <v>0</v>
      </c>
      <c r="BH57" s="75">
        <f t="shared" si="2"/>
        <v>0</v>
      </c>
      <c r="BI57" s="75">
        <f t="shared" si="3"/>
        <v>0</v>
      </c>
      <c r="BJ57" s="75">
        <f t="shared" si="4"/>
        <v>0</v>
      </c>
    </row>
    <row r="58" spans="3:62" x14ac:dyDescent="0.25">
      <c r="D58" s="7">
        <v>1087</v>
      </c>
      <c r="E58" s="7" t="s">
        <v>347</v>
      </c>
      <c r="F58" s="12">
        <v>0</v>
      </c>
      <c r="G58" s="12">
        <v>21476.2</v>
      </c>
      <c r="H58" s="12">
        <v>0</v>
      </c>
      <c r="I58" s="12">
        <v>0</v>
      </c>
      <c r="J58" s="12">
        <v>0</v>
      </c>
      <c r="K58" s="12">
        <v>0</v>
      </c>
      <c r="L58" s="12">
        <v>0</v>
      </c>
      <c r="M58" s="12">
        <v>0</v>
      </c>
      <c r="N58" s="12">
        <v>0</v>
      </c>
      <c r="O58" s="12">
        <v>0</v>
      </c>
      <c r="P58" s="12">
        <v>1139942.79</v>
      </c>
      <c r="Q58" s="12">
        <v>0</v>
      </c>
      <c r="R58" s="12">
        <v>0</v>
      </c>
      <c r="S58" s="12">
        <v>0</v>
      </c>
      <c r="T58" s="12">
        <v>0</v>
      </c>
      <c r="U58" s="12">
        <v>0</v>
      </c>
      <c r="V58" s="12">
        <v>0</v>
      </c>
      <c r="W58" s="12">
        <v>0</v>
      </c>
      <c r="X58" s="12">
        <v>0</v>
      </c>
      <c r="Y58" s="12">
        <v>0</v>
      </c>
      <c r="Z58" s="12">
        <v>0</v>
      </c>
      <c r="AA58" s="12">
        <v>0</v>
      </c>
      <c r="AB58" s="12">
        <v>207000</v>
      </c>
      <c r="AC58" s="12">
        <v>0</v>
      </c>
      <c r="AD58" s="12">
        <v>338144.4</v>
      </c>
      <c r="AE58" s="12">
        <v>0</v>
      </c>
      <c r="AF58" s="12">
        <v>0</v>
      </c>
      <c r="AG58" s="12">
        <v>0</v>
      </c>
      <c r="AH58" s="12">
        <v>0</v>
      </c>
      <c r="AI58" s="12">
        <v>0</v>
      </c>
      <c r="AJ58" s="12">
        <v>0</v>
      </c>
      <c r="AK58" s="12">
        <v>0</v>
      </c>
      <c r="AL58" s="12">
        <v>0</v>
      </c>
      <c r="AM58" s="12">
        <v>0</v>
      </c>
      <c r="AN58" s="12">
        <v>0</v>
      </c>
      <c r="AO58" s="12">
        <v>0</v>
      </c>
      <c r="AP58" s="12">
        <v>0</v>
      </c>
      <c r="AQ58" s="12">
        <v>0</v>
      </c>
      <c r="AR58" s="12">
        <v>0</v>
      </c>
      <c r="AS58" s="12">
        <v>888107.5</v>
      </c>
      <c r="AT58" s="12">
        <v>0</v>
      </c>
      <c r="AU58" s="12">
        <v>0</v>
      </c>
      <c r="AV58" s="12">
        <v>0</v>
      </c>
      <c r="AW58" s="12">
        <v>0</v>
      </c>
      <c r="AX58" s="12">
        <v>43288.9</v>
      </c>
      <c r="AY58" s="12">
        <v>0</v>
      </c>
      <c r="AZ58" s="12">
        <v>0</v>
      </c>
      <c r="BA58" s="12">
        <v>0</v>
      </c>
      <c r="BB58" s="12">
        <v>0</v>
      </c>
      <c r="BC58" s="12">
        <v>0</v>
      </c>
      <c r="BD58" s="12">
        <v>0</v>
      </c>
      <c r="BE58" s="12">
        <v>0</v>
      </c>
      <c r="BF58" s="12">
        <v>0</v>
      </c>
      <c r="BG58" s="75">
        <f t="shared" si="6"/>
        <v>2637959.79</v>
      </c>
      <c r="BH58" s="75">
        <f t="shared" si="2"/>
        <v>1161418.99</v>
      </c>
      <c r="BI58" s="75">
        <f t="shared" si="3"/>
        <v>545144.4</v>
      </c>
      <c r="BJ58" s="75">
        <f t="shared" si="4"/>
        <v>931396.4</v>
      </c>
    </row>
    <row r="59" spans="3:62" x14ac:dyDescent="0.25">
      <c r="D59" s="7">
        <v>1088</v>
      </c>
      <c r="E59" s="7" t="s">
        <v>348</v>
      </c>
      <c r="F59" s="12">
        <v>0</v>
      </c>
      <c r="G59" s="12">
        <v>0</v>
      </c>
      <c r="H59" s="12">
        <v>0</v>
      </c>
      <c r="I59" s="12">
        <v>0</v>
      </c>
      <c r="J59" s="12">
        <v>0</v>
      </c>
      <c r="K59" s="12">
        <v>0</v>
      </c>
      <c r="L59" s="12">
        <v>0</v>
      </c>
      <c r="M59" s="12">
        <v>0</v>
      </c>
      <c r="N59" s="12">
        <v>0</v>
      </c>
      <c r="O59" s="12">
        <v>0</v>
      </c>
      <c r="P59" s="12">
        <v>0</v>
      </c>
      <c r="Q59" s="12">
        <v>0</v>
      </c>
      <c r="R59" s="12">
        <v>0</v>
      </c>
      <c r="S59" s="12">
        <v>0</v>
      </c>
      <c r="T59" s="12">
        <v>0</v>
      </c>
      <c r="U59" s="12">
        <v>0</v>
      </c>
      <c r="V59" s="12">
        <v>0</v>
      </c>
      <c r="W59" s="12">
        <v>0</v>
      </c>
      <c r="X59" s="12">
        <v>0</v>
      </c>
      <c r="Y59" s="12">
        <v>0</v>
      </c>
      <c r="Z59" s="12">
        <v>0</v>
      </c>
      <c r="AA59" s="12">
        <v>0</v>
      </c>
      <c r="AB59" s="12">
        <v>0</v>
      </c>
      <c r="AC59" s="12">
        <v>0</v>
      </c>
      <c r="AD59" s="12">
        <v>0</v>
      </c>
      <c r="AE59" s="12">
        <v>0</v>
      </c>
      <c r="AF59" s="12">
        <v>0</v>
      </c>
      <c r="AG59" s="12">
        <v>0</v>
      </c>
      <c r="AH59" s="12">
        <v>0</v>
      </c>
      <c r="AI59" s="12">
        <v>0</v>
      </c>
      <c r="AJ59" s="12">
        <v>0</v>
      </c>
      <c r="AK59" s="12">
        <v>0</v>
      </c>
      <c r="AL59" s="12">
        <v>0</v>
      </c>
      <c r="AM59" s="12">
        <v>0</v>
      </c>
      <c r="AN59" s="12">
        <v>0</v>
      </c>
      <c r="AO59" s="12">
        <v>0</v>
      </c>
      <c r="AP59" s="12">
        <v>0</v>
      </c>
      <c r="AQ59" s="12">
        <v>0</v>
      </c>
      <c r="AR59" s="12">
        <v>0</v>
      </c>
      <c r="AS59" s="12">
        <v>0</v>
      </c>
      <c r="AT59" s="12">
        <v>0</v>
      </c>
      <c r="AU59" s="12">
        <v>0</v>
      </c>
      <c r="AV59" s="12">
        <v>0</v>
      </c>
      <c r="AW59" s="12">
        <v>0</v>
      </c>
      <c r="AX59" s="12">
        <v>0</v>
      </c>
      <c r="AY59" s="12">
        <v>0</v>
      </c>
      <c r="AZ59" s="12">
        <v>0</v>
      </c>
      <c r="BA59" s="12">
        <v>0</v>
      </c>
      <c r="BB59" s="12">
        <v>0</v>
      </c>
      <c r="BC59" s="12">
        <v>0</v>
      </c>
      <c r="BD59" s="12">
        <v>0</v>
      </c>
      <c r="BE59" s="12">
        <v>0</v>
      </c>
      <c r="BF59" s="12">
        <v>0</v>
      </c>
      <c r="BG59" s="75">
        <f t="shared" si="6"/>
        <v>0</v>
      </c>
      <c r="BH59" s="75">
        <f t="shared" si="2"/>
        <v>0</v>
      </c>
      <c r="BI59" s="75">
        <f t="shared" si="3"/>
        <v>0</v>
      </c>
      <c r="BJ59" s="75">
        <f t="shared" si="4"/>
        <v>0</v>
      </c>
    </row>
    <row r="60" spans="3:62" x14ac:dyDescent="0.25">
      <c r="D60" s="7">
        <v>1089</v>
      </c>
      <c r="E60" s="7" t="s">
        <v>349</v>
      </c>
      <c r="F60" s="12">
        <v>0</v>
      </c>
      <c r="G60" s="12">
        <v>0</v>
      </c>
      <c r="H60" s="12">
        <v>0</v>
      </c>
      <c r="I60" s="12">
        <v>0</v>
      </c>
      <c r="J60" s="12">
        <v>0</v>
      </c>
      <c r="K60" s="12">
        <v>0</v>
      </c>
      <c r="L60" s="12">
        <v>0</v>
      </c>
      <c r="M60" s="12">
        <v>0</v>
      </c>
      <c r="N60" s="12">
        <v>0</v>
      </c>
      <c r="O60" s="12">
        <v>0</v>
      </c>
      <c r="P60" s="12">
        <v>0</v>
      </c>
      <c r="Q60" s="12">
        <v>0</v>
      </c>
      <c r="R60" s="12">
        <v>0</v>
      </c>
      <c r="S60" s="12">
        <v>0</v>
      </c>
      <c r="T60" s="12">
        <v>0</v>
      </c>
      <c r="U60" s="12">
        <v>0</v>
      </c>
      <c r="V60" s="12">
        <v>0</v>
      </c>
      <c r="W60" s="12">
        <v>0</v>
      </c>
      <c r="X60" s="12">
        <v>0</v>
      </c>
      <c r="Y60" s="12">
        <v>0</v>
      </c>
      <c r="Z60" s="12">
        <v>0</v>
      </c>
      <c r="AA60" s="12">
        <v>0</v>
      </c>
      <c r="AB60" s="12">
        <v>174000</v>
      </c>
      <c r="AC60" s="12">
        <v>0</v>
      </c>
      <c r="AD60" s="12">
        <v>0</v>
      </c>
      <c r="AE60" s="12">
        <v>0</v>
      </c>
      <c r="AF60" s="12">
        <v>0</v>
      </c>
      <c r="AG60" s="12">
        <v>0</v>
      </c>
      <c r="AH60" s="12">
        <v>0</v>
      </c>
      <c r="AI60" s="12">
        <v>0</v>
      </c>
      <c r="AJ60" s="12">
        <v>0</v>
      </c>
      <c r="AK60" s="12">
        <v>0</v>
      </c>
      <c r="AL60" s="12">
        <v>0</v>
      </c>
      <c r="AM60" s="12">
        <v>0</v>
      </c>
      <c r="AN60" s="12">
        <v>0</v>
      </c>
      <c r="AO60" s="12">
        <v>0</v>
      </c>
      <c r="AP60" s="12">
        <v>0</v>
      </c>
      <c r="AQ60" s="12">
        <v>0</v>
      </c>
      <c r="AR60" s="12">
        <v>0</v>
      </c>
      <c r="AS60" s="12">
        <v>0</v>
      </c>
      <c r="AT60" s="12">
        <v>0</v>
      </c>
      <c r="AU60" s="12">
        <v>0</v>
      </c>
      <c r="AV60" s="12">
        <v>0</v>
      </c>
      <c r="AW60" s="12">
        <v>0</v>
      </c>
      <c r="AX60" s="12">
        <v>0</v>
      </c>
      <c r="AY60" s="12">
        <v>0</v>
      </c>
      <c r="AZ60" s="12">
        <v>0</v>
      </c>
      <c r="BA60" s="12">
        <v>0</v>
      </c>
      <c r="BB60" s="12">
        <v>0</v>
      </c>
      <c r="BC60" s="12">
        <v>0</v>
      </c>
      <c r="BD60" s="12">
        <v>0</v>
      </c>
      <c r="BE60" s="12">
        <v>0</v>
      </c>
      <c r="BF60" s="12">
        <v>0</v>
      </c>
      <c r="BG60" s="75">
        <f t="shared" si="6"/>
        <v>174000</v>
      </c>
      <c r="BH60" s="75">
        <f t="shared" si="2"/>
        <v>0</v>
      </c>
      <c r="BI60" s="75">
        <f t="shared" si="3"/>
        <v>174000</v>
      </c>
      <c r="BJ60" s="75">
        <f t="shared" si="4"/>
        <v>0</v>
      </c>
    </row>
    <row r="61" spans="3:62" x14ac:dyDescent="0.25">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75"/>
      <c r="BH61" s="75"/>
      <c r="BI61" s="75"/>
      <c r="BJ61" s="75"/>
    </row>
    <row r="62" spans="3:62" x14ac:dyDescent="0.25">
      <c r="C62" s="76">
        <v>109</v>
      </c>
      <c r="D62" s="76"/>
      <c r="E62" s="76" t="s">
        <v>350</v>
      </c>
      <c r="F62" s="96">
        <f>F63+F64+F65+F66</f>
        <v>0</v>
      </c>
      <c r="G62" s="96">
        <f t="shared" ref="G62:BF62" si="13">G63+G64+G65+G66</f>
        <v>0</v>
      </c>
      <c r="H62" s="96">
        <f t="shared" si="13"/>
        <v>0</v>
      </c>
      <c r="I62" s="96">
        <f t="shared" si="13"/>
        <v>0</v>
      </c>
      <c r="J62" s="96">
        <f t="shared" si="13"/>
        <v>0</v>
      </c>
      <c r="K62" s="96">
        <f t="shared" si="13"/>
        <v>0</v>
      </c>
      <c r="L62" s="96">
        <f t="shared" si="13"/>
        <v>0</v>
      </c>
      <c r="M62" s="96">
        <f t="shared" si="13"/>
        <v>0</v>
      </c>
      <c r="N62" s="96">
        <f t="shared" si="13"/>
        <v>0</v>
      </c>
      <c r="O62" s="96">
        <f t="shared" si="13"/>
        <v>0</v>
      </c>
      <c r="P62" s="96">
        <f t="shared" si="13"/>
        <v>0</v>
      </c>
      <c r="Q62" s="96">
        <f t="shared" si="13"/>
        <v>0</v>
      </c>
      <c r="R62" s="96">
        <f t="shared" si="13"/>
        <v>0</v>
      </c>
      <c r="S62" s="96">
        <f t="shared" si="13"/>
        <v>0</v>
      </c>
      <c r="T62" s="96">
        <f t="shared" si="13"/>
        <v>0</v>
      </c>
      <c r="U62" s="96">
        <f t="shared" si="13"/>
        <v>0</v>
      </c>
      <c r="V62" s="96">
        <f t="shared" si="13"/>
        <v>0</v>
      </c>
      <c r="W62" s="96">
        <f t="shared" si="13"/>
        <v>0</v>
      </c>
      <c r="X62" s="96">
        <f t="shared" si="13"/>
        <v>0</v>
      </c>
      <c r="Y62" s="96">
        <f t="shared" si="13"/>
        <v>0</v>
      </c>
      <c r="Z62" s="96">
        <f t="shared" si="13"/>
        <v>0</v>
      </c>
      <c r="AA62" s="96">
        <f t="shared" si="13"/>
        <v>0</v>
      </c>
      <c r="AB62" s="96">
        <f t="shared" si="13"/>
        <v>0</v>
      </c>
      <c r="AC62" s="96">
        <f t="shared" si="13"/>
        <v>0</v>
      </c>
      <c r="AD62" s="96">
        <f t="shared" si="13"/>
        <v>0</v>
      </c>
      <c r="AE62" s="96">
        <f t="shared" si="13"/>
        <v>0</v>
      </c>
      <c r="AF62" s="96">
        <f t="shared" si="13"/>
        <v>0</v>
      </c>
      <c r="AG62" s="96">
        <f t="shared" si="13"/>
        <v>0</v>
      </c>
      <c r="AH62" s="96">
        <f t="shared" si="13"/>
        <v>0</v>
      </c>
      <c r="AI62" s="96">
        <f t="shared" si="13"/>
        <v>0</v>
      </c>
      <c r="AJ62" s="96">
        <f t="shared" si="13"/>
        <v>0</v>
      </c>
      <c r="AK62" s="96">
        <f t="shared" si="13"/>
        <v>0</v>
      </c>
      <c r="AL62" s="96">
        <f t="shared" si="13"/>
        <v>0</v>
      </c>
      <c r="AM62" s="96">
        <f t="shared" si="13"/>
        <v>0</v>
      </c>
      <c r="AN62" s="96">
        <f t="shared" si="13"/>
        <v>0</v>
      </c>
      <c r="AO62" s="96">
        <f t="shared" si="13"/>
        <v>0</v>
      </c>
      <c r="AP62" s="96">
        <f t="shared" si="13"/>
        <v>0</v>
      </c>
      <c r="AQ62" s="96">
        <f t="shared" si="13"/>
        <v>0</v>
      </c>
      <c r="AR62" s="96">
        <f t="shared" si="13"/>
        <v>0</v>
      </c>
      <c r="AS62" s="96">
        <f t="shared" si="13"/>
        <v>0</v>
      </c>
      <c r="AT62" s="96">
        <f t="shared" si="13"/>
        <v>0</v>
      </c>
      <c r="AU62" s="96">
        <f t="shared" si="13"/>
        <v>0</v>
      </c>
      <c r="AV62" s="96">
        <f t="shared" si="13"/>
        <v>0</v>
      </c>
      <c r="AW62" s="96">
        <f t="shared" si="13"/>
        <v>0</v>
      </c>
      <c r="AX62" s="96">
        <f t="shared" si="13"/>
        <v>0</v>
      </c>
      <c r="AY62" s="96">
        <f t="shared" si="13"/>
        <v>0</v>
      </c>
      <c r="AZ62" s="96">
        <f t="shared" si="13"/>
        <v>0</v>
      </c>
      <c r="BA62" s="96">
        <f t="shared" si="13"/>
        <v>0</v>
      </c>
      <c r="BB62" s="96">
        <f t="shared" si="13"/>
        <v>0</v>
      </c>
      <c r="BC62" s="96">
        <f t="shared" si="13"/>
        <v>0</v>
      </c>
      <c r="BD62" s="96">
        <f t="shared" si="13"/>
        <v>0</v>
      </c>
      <c r="BE62" s="96">
        <f t="shared" si="13"/>
        <v>0</v>
      </c>
      <c r="BF62" s="96">
        <f t="shared" si="13"/>
        <v>0</v>
      </c>
      <c r="BG62" s="96">
        <f t="shared" si="6"/>
        <v>0</v>
      </c>
      <c r="BH62" s="96">
        <f t="shared" si="2"/>
        <v>0</v>
      </c>
      <c r="BI62" s="96">
        <f t="shared" si="3"/>
        <v>0</v>
      </c>
      <c r="BJ62" s="96">
        <f t="shared" si="4"/>
        <v>0</v>
      </c>
    </row>
    <row r="63" spans="3:62" x14ac:dyDescent="0.25">
      <c r="D63" s="7">
        <v>1090</v>
      </c>
      <c r="E63" s="7" t="s">
        <v>350</v>
      </c>
      <c r="F63" s="12">
        <v>0</v>
      </c>
      <c r="G63" s="12">
        <v>0</v>
      </c>
      <c r="H63" s="12">
        <v>0</v>
      </c>
      <c r="I63" s="12">
        <v>0</v>
      </c>
      <c r="J63" s="12">
        <v>0</v>
      </c>
      <c r="K63" s="12">
        <v>0</v>
      </c>
      <c r="L63" s="12">
        <v>0</v>
      </c>
      <c r="M63" s="12">
        <v>0</v>
      </c>
      <c r="N63" s="12">
        <v>0</v>
      </c>
      <c r="O63" s="12">
        <v>0</v>
      </c>
      <c r="P63" s="12">
        <v>0</v>
      </c>
      <c r="Q63" s="12">
        <v>0</v>
      </c>
      <c r="R63" s="12">
        <v>0</v>
      </c>
      <c r="S63" s="12">
        <v>0</v>
      </c>
      <c r="T63" s="12">
        <v>0</v>
      </c>
      <c r="U63" s="12">
        <v>0</v>
      </c>
      <c r="V63" s="12">
        <v>0</v>
      </c>
      <c r="W63" s="12">
        <v>0</v>
      </c>
      <c r="X63" s="12">
        <v>0</v>
      </c>
      <c r="Y63" s="12">
        <v>0</v>
      </c>
      <c r="Z63" s="12">
        <v>0</v>
      </c>
      <c r="AA63" s="12">
        <v>0</v>
      </c>
      <c r="AB63" s="12">
        <v>0</v>
      </c>
      <c r="AC63" s="12">
        <v>0</v>
      </c>
      <c r="AD63" s="12">
        <v>0</v>
      </c>
      <c r="AE63" s="12">
        <v>0</v>
      </c>
      <c r="AF63" s="12">
        <v>0</v>
      </c>
      <c r="AG63" s="12">
        <v>0</v>
      </c>
      <c r="AH63" s="12">
        <v>0</v>
      </c>
      <c r="AI63" s="12">
        <v>0</v>
      </c>
      <c r="AJ63" s="12">
        <v>0</v>
      </c>
      <c r="AK63" s="12">
        <v>0</v>
      </c>
      <c r="AL63" s="12">
        <v>0</v>
      </c>
      <c r="AM63" s="12">
        <v>0</v>
      </c>
      <c r="AN63" s="12">
        <v>0</v>
      </c>
      <c r="AO63" s="12">
        <v>0</v>
      </c>
      <c r="AP63" s="12">
        <v>0</v>
      </c>
      <c r="AQ63" s="12">
        <v>0</v>
      </c>
      <c r="AR63" s="12">
        <v>0</v>
      </c>
      <c r="AS63" s="12">
        <v>0</v>
      </c>
      <c r="AT63" s="12">
        <v>0</v>
      </c>
      <c r="AU63" s="12">
        <v>0</v>
      </c>
      <c r="AV63" s="12">
        <v>0</v>
      </c>
      <c r="AW63" s="12">
        <v>0</v>
      </c>
      <c r="AX63" s="12">
        <v>0</v>
      </c>
      <c r="AY63" s="12">
        <v>0</v>
      </c>
      <c r="AZ63" s="12">
        <v>0</v>
      </c>
      <c r="BA63" s="12">
        <v>0</v>
      </c>
      <c r="BB63" s="12">
        <v>0</v>
      </c>
      <c r="BC63" s="12">
        <v>0</v>
      </c>
      <c r="BD63" s="12">
        <v>0</v>
      </c>
      <c r="BE63" s="12">
        <v>0</v>
      </c>
      <c r="BF63" s="12">
        <v>0</v>
      </c>
      <c r="BG63" s="75">
        <f t="shared" si="6"/>
        <v>0</v>
      </c>
      <c r="BH63" s="75">
        <f t="shared" si="2"/>
        <v>0</v>
      </c>
      <c r="BI63" s="75">
        <f t="shared" si="3"/>
        <v>0</v>
      </c>
      <c r="BJ63" s="75">
        <f t="shared" si="4"/>
        <v>0</v>
      </c>
    </row>
    <row r="64" spans="3:62" x14ac:dyDescent="0.25">
      <c r="D64" s="7">
        <v>1091</v>
      </c>
      <c r="E64" s="7" t="s">
        <v>351</v>
      </c>
      <c r="F64" s="12">
        <v>0</v>
      </c>
      <c r="G64" s="12">
        <v>0</v>
      </c>
      <c r="H64" s="12">
        <v>0</v>
      </c>
      <c r="I64" s="12">
        <v>0</v>
      </c>
      <c r="J64" s="12">
        <v>0</v>
      </c>
      <c r="K64" s="12">
        <v>0</v>
      </c>
      <c r="L64" s="12">
        <v>0</v>
      </c>
      <c r="M64" s="12">
        <v>0</v>
      </c>
      <c r="N64" s="12">
        <v>0</v>
      </c>
      <c r="O64" s="12">
        <v>0</v>
      </c>
      <c r="P64" s="12">
        <v>0</v>
      </c>
      <c r="Q64" s="12">
        <v>0</v>
      </c>
      <c r="R64" s="12">
        <v>0</v>
      </c>
      <c r="S64" s="12">
        <v>0</v>
      </c>
      <c r="T64" s="12">
        <v>0</v>
      </c>
      <c r="U64" s="12">
        <v>0</v>
      </c>
      <c r="V64" s="12">
        <v>0</v>
      </c>
      <c r="W64" s="12">
        <v>0</v>
      </c>
      <c r="X64" s="12">
        <v>0</v>
      </c>
      <c r="Y64" s="12">
        <v>0</v>
      </c>
      <c r="Z64" s="12">
        <v>0</v>
      </c>
      <c r="AA64" s="12">
        <v>0</v>
      </c>
      <c r="AB64" s="12">
        <v>0</v>
      </c>
      <c r="AC64" s="12">
        <v>0</v>
      </c>
      <c r="AD64" s="12">
        <v>0</v>
      </c>
      <c r="AE64" s="12">
        <v>0</v>
      </c>
      <c r="AF64" s="12">
        <v>0</v>
      </c>
      <c r="AG64" s="12">
        <v>0</v>
      </c>
      <c r="AH64" s="12">
        <v>0</v>
      </c>
      <c r="AI64" s="12">
        <v>0</v>
      </c>
      <c r="AJ64" s="12">
        <v>0</v>
      </c>
      <c r="AK64" s="12">
        <v>0</v>
      </c>
      <c r="AL64" s="12">
        <v>0</v>
      </c>
      <c r="AM64" s="12">
        <v>0</v>
      </c>
      <c r="AN64" s="12">
        <v>0</v>
      </c>
      <c r="AO64" s="12">
        <v>0</v>
      </c>
      <c r="AP64" s="12">
        <v>0</v>
      </c>
      <c r="AQ64" s="12">
        <v>0</v>
      </c>
      <c r="AR64" s="12">
        <v>0</v>
      </c>
      <c r="AS64" s="12">
        <v>0</v>
      </c>
      <c r="AT64" s="12">
        <v>0</v>
      </c>
      <c r="AU64" s="12">
        <v>0</v>
      </c>
      <c r="AV64" s="12">
        <v>0</v>
      </c>
      <c r="AW64" s="12">
        <v>0</v>
      </c>
      <c r="AX64" s="12">
        <v>0</v>
      </c>
      <c r="AY64" s="12">
        <v>0</v>
      </c>
      <c r="AZ64" s="12">
        <v>0</v>
      </c>
      <c r="BA64" s="12">
        <v>0</v>
      </c>
      <c r="BB64" s="12">
        <v>0</v>
      </c>
      <c r="BC64" s="12">
        <v>0</v>
      </c>
      <c r="BD64" s="12">
        <v>0</v>
      </c>
      <c r="BE64" s="12">
        <v>0</v>
      </c>
      <c r="BF64" s="12">
        <v>0</v>
      </c>
      <c r="BG64" s="75">
        <f t="shared" si="6"/>
        <v>0</v>
      </c>
      <c r="BH64" s="75">
        <f t="shared" si="2"/>
        <v>0</v>
      </c>
      <c r="BI64" s="75">
        <f t="shared" si="3"/>
        <v>0</v>
      </c>
      <c r="BJ64" s="75">
        <f t="shared" si="4"/>
        <v>0</v>
      </c>
    </row>
    <row r="65" spans="2:63" x14ac:dyDescent="0.25">
      <c r="D65" s="7">
        <v>1092</v>
      </c>
      <c r="E65" s="7" t="s">
        <v>352</v>
      </c>
      <c r="F65" s="12">
        <v>0</v>
      </c>
      <c r="G65" s="12">
        <v>0</v>
      </c>
      <c r="H65" s="12">
        <v>0</v>
      </c>
      <c r="I65" s="12">
        <v>0</v>
      </c>
      <c r="J65" s="12">
        <v>0</v>
      </c>
      <c r="K65" s="12">
        <v>0</v>
      </c>
      <c r="L65" s="12">
        <v>0</v>
      </c>
      <c r="M65" s="12">
        <v>0</v>
      </c>
      <c r="N65" s="12">
        <v>0</v>
      </c>
      <c r="O65" s="12">
        <v>0</v>
      </c>
      <c r="P65" s="12">
        <v>0</v>
      </c>
      <c r="Q65" s="12">
        <v>0</v>
      </c>
      <c r="R65" s="12">
        <v>0</v>
      </c>
      <c r="S65" s="12">
        <v>0</v>
      </c>
      <c r="T65" s="12">
        <v>0</v>
      </c>
      <c r="U65" s="12">
        <v>0</v>
      </c>
      <c r="V65" s="12">
        <v>0</v>
      </c>
      <c r="W65" s="12">
        <v>0</v>
      </c>
      <c r="X65" s="12">
        <v>0</v>
      </c>
      <c r="Y65" s="12">
        <v>0</v>
      </c>
      <c r="Z65" s="12">
        <v>0</v>
      </c>
      <c r="AA65" s="12">
        <v>0</v>
      </c>
      <c r="AB65" s="12">
        <v>0</v>
      </c>
      <c r="AC65" s="12">
        <v>0</v>
      </c>
      <c r="AD65" s="12">
        <v>0</v>
      </c>
      <c r="AE65" s="12">
        <v>0</v>
      </c>
      <c r="AF65" s="12">
        <v>0</v>
      </c>
      <c r="AG65" s="12">
        <v>0</v>
      </c>
      <c r="AH65" s="12">
        <v>0</v>
      </c>
      <c r="AI65" s="12">
        <v>0</v>
      </c>
      <c r="AJ65" s="12">
        <v>0</v>
      </c>
      <c r="AK65" s="12">
        <v>0</v>
      </c>
      <c r="AL65" s="12">
        <v>0</v>
      </c>
      <c r="AM65" s="12">
        <v>0</v>
      </c>
      <c r="AN65" s="12">
        <v>0</v>
      </c>
      <c r="AO65" s="12">
        <v>0</v>
      </c>
      <c r="AP65" s="12">
        <v>0</v>
      </c>
      <c r="AQ65" s="12">
        <v>0</v>
      </c>
      <c r="AR65" s="12">
        <v>0</v>
      </c>
      <c r="AS65" s="12">
        <v>0</v>
      </c>
      <c r="AT65" s="12">
        <v>0</v>
      </c>
      <c r="AU65" s="12">
        <v>0</v>
      </c>
      <c r="AV65" s="12">
        <v>0</v>
      </c>
      <c r="AW65" s="12">
        <v>0</v>
      </c>
      <c r="AX65" s="12">
        <v>0</v>
      </c>
      <c r="AY65" s="12">
        <v>0</v>
      </c>
      <c r="AZ65" s="12">
        <v>0</v>
      </c>
      <c r="BA65" s="12">
        <v>0</v>
      </c>
      <c r="BB65" s="12">
        <v>0</v>
      </c>
      <c r="BC65" s="12">
        <v>0</v>
      </c>
      <c r="BD65" s="12">
        <v>0</v>
      </c>
      <c r="BE65" s="12">
        <v>0</v>
      </c>
      <c r="BF65" s="12">
        <v>0</v>
      </c>
      <c r="BG65" s="75">
        <f t="shared" si="6"/>
        <v>0</v>
      </c>
      <c r="BH65" s="75">
        <f t="shared" si="2"/>
        <v>0</v>
      </c>
      <c r="BI65" s="75">
        <f t="shared" si="3"/>
        <v>0</v>
      </c>
      <c r="BJ65" s="75">
        <f t="shared" si="4"/>
        <v>0</v>
      </c>
    </row>
    <row r="66" spans="2:63" x14ac:dyDescent="0.25">
      <c r="D66" s="7">
        <v>1093</v>
      </c>
      <c r="E66" s="7" t="s">
        <v>353</v>
      </c>
      <c r="F66" s="12">
        <v>0</v>
      </c>
      <c r="G66" s="12">
        <v>0</v>
      </c>
      <c r="H66" s="12">
        <v>0</v>
      </c>
      <c r="I66" s="12">
        <v>0</v>
      </c>
      <c r="J66" s="12">
        <v>0</v>
      </c>
      <c r="K66" s="12">
        <v>0</v>
      </c>
      <c r="L66" s="12">
        <v>0</v>
      </c>
      <c r="M66" s="12">
        <v>0</v>
      </c>
      <c r="N66" s="12">
        <v>0</v>
      </c>
      <c r="O66" s="12">
        <v>0</v>
      </c>
      <c r="P66" s="12">
        <v>0</v>
      </c>
      <c r="Q66" s="12">
        <v>0</v>
      </c>
      <c r="R66" s="12">
        <v>0</v>
      </c>
      <c r="S66" s="12">
        <v>0</v>
      </c>
      <c r="T66" s="12">
        <v>0</v>
      </c>
      <c r="U66" s="12">
        <v>0</v>
      </c>
      <c r="V66" s="12">
        <v>0</v>
      </c>
      <c r="W66" s="12">
        <v>0</v>
      </c>
      <c r="X66" s="12">
        <v>0</v>
      </c>
      <c r="Y66" s="12">
        <v>0</v>
      </c>
      <c r="Z66" s="12">
        <v>0</v>
      </c>
      <c r="AA66" s="12">
        <v>0</v>
      </c>
      <c r="AB66" s="12">
        <v>0</v>
      </c>
      <c r="AC66" s="12">
        <v>0</v>
      </c>
      <c r="AD66" s="12">
        <v>0</v>
      </c>
      <c r="AE66" s="12">
        <v>0</v>
      </c>
      <c r="AF66" s="12">
        <v>0</v>
      </c>
      <c r="AG66" s="12">
        <v>0</v>
      </c>
      <c r="AH66" s="12">
        <v>0</v>
      </c>
      <c r="AI66" s="12">
        <v>0</v>
      </c>
      <c r="AJ66" s="12">
        <v>0</v>
      </c>
      <c r="AK66" s="12">
        <v>0</v>
      </c>
      <c r="AL66" s="12">
        <v>0</v>
      </c>
      <c r="AM66" s="12">
        <v>0</v>
      </c>
      <c r="AN66" s="12">
        <v>0</v>
      </c>
      <c r="AO66" s="12">
        <v>0</v>
      </c>
      <c r="AP66" s="12">
        <v>0</v>
      </c>
      <c r="AQ66" s="12">
        <v>0</v>
      </c>
      <c r="AR66" s="12">
        <v>0</v>
      </c>
      <c r="AS66" s="12">
        <v>0</v>
      </c>
      <c r="AT66" s="12">
        <v>0</v>
      </c>
      <c r="AU66" s="12">
        <v>0</v>
      </c>
      <c r="AV66" s="12">
        <v>0</v>
      </c>
      <c r="AW66" s="12">
        <v>0</v>
      </c>
      <c r="AX66" s="12">
        <v>0</v>
      </c>
      <c r="AY66" s="12">
        <v>0</v>
      </c>
      <c r="AZ66" s="12">
        <v>0</v>
      </c>
      <c r="BA66" s="12">
        <v>0</v>
      </c>
      <c r="BB66" s="12">
        <v>0</v>
      </c>
      <c r="BC66" s="12">
        <v>0</v>
      </c>
      <c r="BD66" s="12">
        <v>0</v>
      </c>
      <c r="BE66" s="12">
        <v>0</v>
      </c>
      <c r="BF66" s="12">
        <v>0</v>
      </c>
      <c r="BG66" s="75">
        <f t="shared" si="6"/>
        <v>0</v>
      </c>
      <c r="BH66" s="75">
        <f t="shared" si="2"/>
        <v>0</v>
      </c>
      <c r="BI66" s="75">
        <f t="shared" si="3"/>
        <v>0</v>
      </c>
      <c r="BJ66" s="75">
        <f t="shared" si="4"/>
        <v>0</v>
      </c>
    </row>
    <row r="67" spans="2:63" x14ac:dyDescent="0.25">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75"/>
      <c r="BH67" s="75"/>
      <c r="BI67" s="75"/>
      <c r="BJ67" s="75"/>
    </row>
    <row r="68" spans="2:63" x14ac:dyDescent="0.25">
      <c r="B68" s="106">
        <v>14</v>
      </c>
      <c r="C68" s="106"/>
      <c r="D68" s="106"/>
      <c r="E68" s="106" t="s">
        <v>246</v>
      </c>
      <c r="F68" s="107">
        <f>F69+F80+F86+F97+F108</f>
        <v>9313827.3099999968</v>
      </c>
      <c r="G68" s="107">
        <f t="shared" ref="G68:BF68" si="14">G69+G80+G86+G97+G108</f>
        <v>1749169.2899999998</v>
      </c>
      <c r="H68" s="107">
        <f t="shared" si="14"/>
        <v>2835224.32</v>
      </c>
      <c r="I68" s="107">
        <f t="shared" si="14"/>
        <v>2452838.15</v>
      </c>
      <c r="J68" s="107">
        <f t="shared" si="14"/>
        <v>22219309.419999998</v>
      </c>
      <c r="K68" s="107">
        <f t="shared" si="14"/>
        <v>24068990.009999998</v>
      </c>
      <c r="L68" s="107">
        <f t="shared" si="14"/>
        <v>10941348.48</v>
      </c>
      <c r="M68" s="107">
        <f t="shared" si="14"/>
        <v>131407505.95000002</v>
      </c>
      <c r="N68" s="107">
        <f t="shared" si="14"/>
        <v>8039160.7199999997</v>
      </c>
      <c r="O68" s="107">
        <f t="shared" si="14"/>
        <v>1327850.49</v>
      </c>
      <c r="P68" s="107">
        <f t="shared" si="14"/>
        <v>40806892.38000001</v>
      </c>
      <c r="Q68" s="107">
        <f t="shared" si="14"/>
        <v>2210319.5099999998</v>
      </c>
      <c r="R68" s="107">
        <f t="shared" si="14"/>
        <v>247935.05000000002</v>
      </c>
      <c r="S68" s="107">
        <f t="shared" si="14"/>
        <v>2441419.71</v>
      </c>
      <c r="T68" s="107">
        <f t="shared" si="14"/>
        <v>2674238</v>
      </c>
      <c r="U68" s="107">
        <f t="shared" si="14"/>
        <v>2768129.5300000003</v>
      </c>
      <c r="V68" s="107">
        <f t="shared" si="14"/>
        <v>1146491.05</v>
      </c>
      <c r="W68" s="107">
        <f t="shared" si="14"/>
        <v>2613057.98</v>
      </c>
      <c r="X68" s="107">
        <f t="shared" si="14"/>
        <v>18445035.009999998</v>
      </c>
      <c r="Y68" s="107">
        <f t="shared" si="14"/>
        <v>2276038.15</v>
      </c>
      <c r="Z68" s="107">
        <f t="shared" si="14"/>
        <v>10586933.93</v>
      </c>
      <c r="AA68" s="107">
        <f t="shared" si="14"/>
        <v>7749194</v>
      </c>
      <c r="AB68" s="107">
        <f t="shared" si="14"/>
        <v>772073</v>
      </c>
      <c r="AC68" s="107">
        <f t="shared" si="14"/>
        <v>1430469.47</v>
      </c>
      <c r="AD68" s="107">
        <f t="shared" si="14"/>
        <v>3100567.1</v>
      </c>
      <c r="AE68" s="107">
        <f t="shared" si="14"/>
        <v>7401769.2600000007</v>
      </c>
      <c r="AF68" s="107">
        <f t="shared" si="14"/>
        <v>4635770.8499999996</v>
      </c>
      <c r="AG68" s="107">
        <f t="shared" si="14"/>
        <v>4817546.7200000007</v>
      </c>
      <c r="AH68" s="107">
        <f t="shared" si="14"/>
        <v>8060281.7800000003</v>
      </c>
      <c r="AI68" s="107">
        <f t="shared" si="14"/>
        <v>17305093.210000001</v>
      </c>
      <c r="AJ68" s="107">
        <f t="shared" si="14"/>
        <v>1979330.1199999999</v>
      </c>
      <c r="AK68" s="107">
        <f t="shared" si="14"/>
        <v>1044275.2899999999</v>
      </c>
      <c r="AL68" s="107">
        <f t="shared" si="14"/>
        <v>16744479.310000002</v>
      </c>
      <c r="AM68" s="107">
        <f t="shared" si="14"/>
        <v>10158020.6</v>
      </c>
      <c r="AN68" s="107">
        <f t="shared" si="14"/>
        <v>9998410.2199999988</v>
      </c>
      <c r="AO68" s="107">
        <f t="shared" si="14"/>
        <v>1262681.48</v>
      </c>
      <c r="AP68" s="107">
        <f t="shared" si="14"/>
        <v>17222210.689999998</v>
      </c>
      <c r="AQ68" s="107">
        <f t="shared" si="14"/>
        <v>4735924.5999999996</v>
      </c>
      <c r="AR68" s="107">
        <f t="shared" si="14"/>
        <v>4720786.72</v>
      </c>
      <c r="AS68" s="107">
        <f t="shared" si="14"/>
        <v>10923292.640000001</v>
      </c>
      <c r="AT68" s="107">
        <f t="shared" si="14"/>
        <v>5173871.1000000006</v>
      </c>
      <c r="AU68" s="107">
        <f t="shared" si="14"/>
        <v>7515111.3400000017</v>
      </c>
      <c r="AV68" s="107">
        <f t="shared" si="14"/>
        <v>2762032.85</v>
      </c>
      <c r="AW68" s="107">
        <f t="shared" si="14"/>
        <v>16431822.449999999</v>
      </c>
      <c r="AX68" s="107">
        <f t="shared" si="14"/>
        <v>5771556.1299999999</v>
      </c>
      <c r="AY68" s="107">
        <f t="shared" si="14"/>
        <v>810886</v>
      </c>
      <c r="AZ68" s="107">
        <f t="shared" si="14"/>
        <v>1328621.6499999999</v>
      </c>
      <c r="BA68" s="107">
        <f t="shared" si="14"/>
        <v>18468540.5</v>
      </c>
      <c r="BB68" s="107">
        <f t="shared" si="14"/>
        <v>3444107.3899999997</v>
      </c>
      <c r="BC68" s="107">
        <f t="shared" si="14"/>
        <v>10986963.68</v>
      </c>
      <c r="BD68" s="107">
        <f t="shared" si="14"/>
        <v>957162.89999999991</v>
      </c>
      <c r="BE68" s="107">
        <f t="shared" si="14"/>
        <v>56248712.450000003</v>
      </c>
      <c r="BF68" s="107">
        <f t="shared" si="14"/>
        <v>3426256.6</v>
      </c>
      <c r="BG68" s="107">
        <f t="shared" si="6"/>
        <v>567959536.5400002</v>
      </c>
      <c r="BH68" s="107">
        <f t="shared" si="2"/>
        <v>287708742.36000007</v>
      </c>
      <c r="BI68" s="107">
        <f t="shared" si="3"/>
        <v>71159342.88000001</v>
      </c>
      <c r="BJ68" s="107">
        <f t="shared" si="4"/>
        <v>209091451.29999998</v>
      </c>
      <c r="BK68" s="75"/>
    </row>
    <row r="69" spans="2:63" x14ac:dyDescent="0.25">
      <c r="C69" s="76">
        <v>140</v>
      </c>
      <c r="D69" s="76"/>
      <c r="E69" s="76" t="s">
        <v>248</v>
      </c>
      <c r="F69" s="96">
        <f>F70+F71+F72+F73+F74+F75+F76+F77+F78</f>
        <v>9046406.4299999978</v>
      </c>
      <c r="G69" s="96">
        <f t="shared" ref="G69:BF69" si="15">G70+G71+G72+G73+G74+G75+G76+G77+G78</f>
        <v>1644698.8399999999</v>
      </c>
      <c r="H69" s="96">
        <f t="shared" si="15"/>
        <v>2788672.92</v>
      </c>
      <c r="I69" s="96">
        <f t="shared" si="15"/>
        <v>2377713.7999999998</v>
      </c>
      <c r="J69" s="96">
        <f t="shared" si="15"/>
        <v>21591115.699999999</v>
      </c>
      <c r="K69" s="96">
        <f t="shared" si="15"/>
        <v>23202455.159999996</v>
      </c>
      <c r="L69" s="96">
        <f t="shared" si="15"/>
        <v>9852181.75</v>
      </c>
      <c r="M69" s="96">
        <f t="shared" si="15"/>
        <v>129189093.91000001</v>
      </c>
      <c r="N69" s="96">
        <f t="shared" si="15"/>
        <v>7384764.4699999997</v>
      </c>
      <c r="O69" s="96">
        <f t="shared" si="15"/>
        <v>1327850.49</v>
      </c>
      <c r="P69" s="96">
        <f t="shared" si="15"/>
        <v>37877333.000000007</v>
      </c>
      <c r="Q69" s="96">
        <f t="shared" si="15"/>
        <v>2210319.5099999998</v>
      </c>
      <c r="R69" s="96">
        <f t="shared" si="15"/>
        <v>199218.90000000002</v>
      </c>
      <c r="S69" s="96">
        <f t="shared" si="15"/>
        <v>2441419.71</v>
      </c>
      <c r="T69" s="96">
        <f t="shared" si="15"/>
        <v>2670938</v>
      </c>
      <c r="U69" s="96">
        <f t="shared" si="15"/>
        <v>2768128.5300000003</v>
      </c>
      <c r="V69" s="96">
        <f t="shared" si="15"/>
        <v>1033850</v>
      </c>
      <c r="W69" s="96">
        <f t="shared" si="15"/>
        <v>2422364.83</v>
      </c>
      <c r="X69" s="96">
        <f t="shared" si="15"/>
        <v>17336460.789999999</v>
      </c>
      <c r="Y69" s="96">
        <f t="shared" si="15"/>
        <v>2276026.15</v>
      </c>
      <c r="Z69" s="96">
        <f t="shared" si="15"/>
        <v>9998208.5299999993</v>
      </c>
      <c r="AA69" s="96">
        <f t="shared" si="15"/>
        <v>7749194</v>
      </c>
      <c r="AB69" s="96">
        <f t="shared" si="15"/>
        <v>632073</v>
      </c>
      <c r="AC69" s="96">
        <f t="shared" si="15"/>
        <v>1430469.47</v>
      </c>
      <c r="AD69" s="96">
        <f t="shared" si="15"/>
        <v>2591278</v>
      </c>
      <c r="AE69" s="96">
        <f t="shared" si="15"/>
        <v>7390507.0600000005</v>
      </c>
      <c r="AF69" s="96">
        <f t="shared" si="15"/>
        <v>4565281.3499999996</v>
      </c>
      <c r="AG69" s="96">
        <f t="shared" si="15"/>
        <v>4796737.82</v>
      </c>
      <c r="AH69" s="96">
        <f t="shared" si="15"/>
        <v>7854444.3300000001</v>
      </c>
      <c r="AI69" s="96">
        <f t="shared" si="15"/>
        <v>16642099.310000001</v>
      </c>
      <c r="AJ69" s="96">
        <f t="shared" si="15"/>
        <v>1720182.8499999999</v>
      </c>
      <c r="AK69" s="96">
        <f t="shared" si="15"/>
        <v>1031529.34</v>
      </c>
      <c r="AL69" s="96">
        <f t="shared" si="15"/>
        <v>16454754.010000002</v>
      </c>
      <c r="AM69" s="96">
        <f t="shared" si="15"/>
        <v>10158020.6</v>
      </c>
      <c r="AN69" s="96">
        <f t="shared" si="15"/>
        <v>9422963.7699999996</v>
      </c>
      <c r="AO69" s="96">
        <f t="shared" si="15"/>
        <v>1240118.98</v>
      </c>
      <c r="AP69" s="96">
        <f t="shared" si="15"/>
        <v>17135226.889999997</v>
      </c>
      <c r="AQ69" s="96">
        <f t="shared" si="15"/>
        <v>4258564.6499999994</v>
      </c>
      <c r="AR69" s="96">
        <f t="shared" si="15"/>
        <v>4557178.92</v>
      </c>
      <c r="AS69" s="96">
        <f t="shared" si="15"/>
        <v>10215621.59</v>
      </c>
      <c r="AT69" s="96">
        <f t="shared" si="15"/>
        <v>4938700.6500000004</v>
      </c>
      <c r="AU69" s="96">
        <f t="shared" si="15"/>
        <v>7153621.040000001</v>
      </c>
      <c r="AV69" s="96">
        <f t="shared" si="15"/>
        <v>2722336.1</v>
      </c>
      <c r="AW69" s="96">
        <f t="shared" si="15"/>
        <v>16104677.199999999</v>
      </c>
      <c r="AX69" s="96">
        <f t="shared" si="15"/>
        <v>5619445.9900000002</v>
      </c>
      <c r="AY69" s="96">
        <f t="shared" si="15"/>
        <v>801590</v>
      </c>
      <c r="AZ69" s="96">
        <f t="shared" si="15"/>
        <v>1246273.1499999999</v>
      </c>
      <c r="BA69" s="96">
        <f t="shared" si="15"/>
        <v>17744464.350000001</v>
      </c>
      <c r="BB69" s="96">
        <f t="shared" si="15"/>
        <v>3263428.3899999997</v>
      </c>
      <c r="BC69" s="96">
        <f t="shared" si="15"/>
        <v>10326060.639999999</v>
      </c>
      <c r="BD69" s="96">
        <f t="shared" si="15"/>
        <v>946584.89999999991</v>
      </c>
      <c r="BE69" s="96">
        <f t="shared" si="15"/>
        <v>50873170.030000001</v>
      </c>
      <c r="BF69" s="96">
        <f t="shared" si="15"/>
        <v>3344164.7</v>
      </c>
      <c r="BG69" s="96">
        <f t="shared" si="6"/>
        <v>544569984.5</v>
      </c>
      <c r="BH69" s="96">
        <f t="shared" si="2"/>
        <v>277364986.74000001</v>
      </c>
      <c r="BI69" s="96">
        <f t="shared" si="3"/>
        <v>68678031.210000008</v>
      </c>
      <c r="BJ69" s="96">
        <f t="shared" si="4"/>
        <v>198526966.54999998</v>
      </c>
    </row>
    <row r="70" spans="2:63" x14ac:dyDescent="0.25">
      <c r="D70" s="7">
        <v>1400</v>
      </c>
      <c r="E70" s="7" t="s">
        <v>354</v>
      </c>
      <c r="F70" s="12">
        <v>95159.4</v>
      </c>
      <c r="G70" s="12">
        <v>0</v>
      </c>
      <c r="H70" s="12">
        <v>0</v>
      </c>
      <c r="I70" s="12">
        <v>0</v>
      </c>
      <c r="J70" s="12">
        <v>994359.6</v>
      </c>
      <c r="K70" s="12">
        <v>858680.4</v>
      </c>
      <c r="L70" s="12">
        <v>177446.35</v>
      </c>
      <c r="M70" s="12">
        <v>3731725.5</v>
      </c>
      <c r="N70" s="12">
        <v>281500</v>
      </c>
      <c r="O70" s="12">
        <v>0</v>
      </c>
      <c r="P70" s="12">
        <v>141611.04999999999</v>
      </c>
      <c r="Q70" s="12">
        <v>68587</v>
      </c>
      <c r="R70" s="12">
        <v>0</v>
      </c>
      <c r="S70" s="12">
        <v>0</v>
      </c>
      <c r="T70" s="12">
        <v>19738</v>
      </c>
      <c r="U70" s="12">
        <v>1787226.74</v>
      </c>
      <c r="V70" s="12">
        <v>37500</v>
      </c>
      <c r="W70" s="12">
        <v>0</v>
      </c>
      <c r="X70" s="12">
        <v>220548.85</v>
      </c>
      <c r="Y70" s="12">
        <v>175760</v>
      </c>
      <c r="Z70" s="12">
        <v>0</v>
      </c>
      <c r="AA70" s="12">
        <v>5200204</v>
      </c>
      <c r="AB70" s="12">
        <v>240870</v>
      </c>
      <c r="AC70" s="12">
        <v>252850</v>
      </c>
      <c r="AD70" s="12">
        <v>120004.95</v>
      </c>
      <c r="AE70" s="12">
        <v>1016029.5</v>
      </c>
      <c r="AF70" s="12">
        <v>124943</v>
      </c>
      <c r="AG70" s="12">
        <v>1403620</v>
      </c>
      <c r="AH70" s="12">
        <v>234548</v>
      </c>
      <c r="AI70" s="12">
        <v>1867681.86</v>
      </c>
      <c r="AJ70" s="12">
        <v>383416.4</v>
      </c>
      <c r="AK70" s="12">
        <v>150590</v>
      </c>
      <c r="AL70" s="12">
        <v>125719.15</v>
      </c>
      <c r="AM70" s="12">
        <v>464880</v>
      </c>
      <c r="AN70" s="12">
        <v>332794.5</v>
      </c>
      <c r="AO70" s="12">
        <v>0</v>
      </c>
      <c r="AP70" s="12">
        <v>253000</v>
      </c>
      <c r="AQ70" s="12">
        <v>0</v>
      </c>
      <c r="AR70" s="12">
        <v>2</v>
      </c>
      <c r="AS70" s="12">
        <v>722792.25</v>
      </c>
      <c r="AT70" s="12">
        <v>110720.65</v>
      </c>
      <c r="AU70" s="12">
        <v>528852.05000000005</v>
      </c>
      <c r="AV70" s="12">
        <v>11061</v>
      </c>
      <c r="AW70" s="12">
        <v>1602885.95</v>
      </c>
      <c r="AX70" s="12">
        <v>419229.4</v>
      </c>
      <c r="AY70" s="12">
        <v>0</v>
      </c>
      <c r="AZ70" s="12">
        <v>309940</v>
      </c>
      <c r="BA70" s="12">
        <v>565000</v>
      </c>
      <c r="BB70" s="12">
        <v>215740</v>
      </c>
      <c r="BC70" s="12">
        <v>960824.63</v>
      </c>
      <c r="BD70" s="12">
        <v>8788.35</v>
      </c>
      <c r="BE70" s="12">
        <v>123652.03</v>
      </c>
      <c r="BF70" s="12">
        <v>163195</v>
      </c>
      <c r="BG70" s="75">
        <f t="shared" si="6"/>
        <v>26503677.559999995</v>
      </c>
      <c r="BH70" s="75">
        <f t="shared" ref="BH70:BH135" si="16">SUM(F70:X70)</f>
        <v>8414082.8900000006</v>
      </c>
      <c r="BI70" s="75">
        <f t="shared" ref="BI70:BI135" si="17">SUM(Y70:AK70)</f>
        <v>11170517.709999999</v>
      </c>
      <c r="BJ70" s="75">
        <f t="shared" ref="BJ70:BJ135" si="18">SUM(AL70:BF70)</f>
        <v>6919076.96</v>
      </c>
    </row>
    <row r="71" spans="2:63" x14ac:dyDescent="0.25">
      <c r="D71" s="7">
        <v>1401</v>
      </c>
      <c r="E71" s="7" t="s">
        <v>355</v>
      </c>
      <c r="F71" s="12">
        <v>2695007.55</v>
      </c>
      <c r="G71" s="12">
        <v>799065.04</v>
      </c>
      <c r="H71" s="12">
        <v>115500</v>
      </c>
      <c r="I71" s="12">
        <v>480489.79</v>
      </c>
      <c r="J71" s="12">
        <v>2517927.37</v>
      </c>
      <c r="K71" s="12">
        <v>2474310.94</v>
      </c>
      <c r="L71" s="12">
        <v>2527523.4</v>
      </c>
      <c r="M71" s="12">
        <v>18892463.600000001</v>
      </c>
      <c r="N71" s="12">
        <v>2116904.5499999998</v>
      </c>
      <c r="O71" s="12">
        <v>141680</v>
      </c>
      <c r="P71" s="12">
        <v>12991407.800000001</v>
      </c>
      <c r="Q71" s="12">
        <v>653578.86</v>
      </c>
      <c r="R71" s="12">
        <v>74622.600000000006</v>
      </c>
      <c r="S71" s="12">
        <v>1275800</v>
      </c>
      <c r="T71" s="12">
        <v>1085400</v>
      </c>
      <c r="U71" s="12">
        <v>0</v>
      </c>
      <c r="V71" s="12">
        <v>417989</v>
      </c>
      <c r="W71" s="12">
        <v>972688.34</v>
      </c>
      <c r="X71" s="12">
        <v>2601844.9900000002</v>
      </c>
      <c r="Y71" s="12">
        <v>379827.9</v>
      </c>
      <c r="Z71" s="12">
        <v>1225144.05</v>
      </c>
      <c r="AA71" s="12">
        <v>601700</v>
      </c>
      <c r="AB71" s="12">
        <v>46000</v>
      </c>
      <c r="AC71" s="12">
        <v>604059.47</v>
      </c>
      <c r="AD71" s="12">
        <v>276697</v>
      </c>
      <c r="AE71" s="12">
        <v>1437938.27</v>
      </c>
      <c r="AF71" s="12">
        <v>745234.3</v>
      </c>
      <c r="AG71" s="12">
        <v>935499.46</v>
      </c>
      <c r="AH71" s="12">
        <v>3071504.11</v>
      </c>
      <c r="AI71" s="12">
        <v>3119710.73</v>
      </c>
      <c r="AJ71" s="12">
        <v>331389.59999999998</v>
      </c>
      <c r="AK71" s="12">
        <v>295268.64</v>
      </c>
      <c r="AL71" s="12">
        <v>3582172.85</v>
      </c>
      <c r="AM71" s="12">
        <v>2419664.6</v>
      </c>
      <c r="AN71" s="12">
        <v>2397870.91</v>
      </c>
      <c r="AO71" s="12">
        <v>402438.74</v>
      </c>
      <c r="AP71" s="12">
        <v>5534887.8499999996</v>
      </c>
      <c r="AQ71" s="12">
        <v>1758089.65</v>
      </c>
      <c r="AR71" s="12">
        <v>646461.30000000005</v>
      </c>
      <c r="AS71" s="12">
        <v>1809953.66</v>
      </c>
      <c r="AT71" s="12">
        <v>1521400</v>
      </c>
      <c r="AU71" s="12">
        <v>842068.09</v>
      </c>
      <c r="AV71" s="12">
        <v>695341</v>
      </c>
      <c r="AW71" s="12">
        <v>3622378.75</v>
      </c>
      <c r="AX71" s="12">
        <v>2212878.5699999998</v>
      </c>
      <c r="AY71" s="12">
        <v>317840</v>
      </c>
      <c r="AZ71" s="12">
        <v>160605</v>
      </c>
      <c r="BA71" s="12">
        <v>4572550.3</v>
      </c>
      <c r="BB71" s="12">
        <v>733327.5</v>
      </c>
      <c r="BC71" s="12">
        <v>2987497.63</v>
      </c>
      <c r="BD71" s="12">
        <v>339917.85</v>
      </c>
      <c r="BE71" s="12">
        <v>10098524.15</v>
      </c>
      <c r="BF71" s="12">
        <v>647600</v>
      </c>
      <c r="BG71" s="75">
        <f t="shared" ref="BG71:BG136" si="19">SUM(F71:BF71)</f>
        <v>113207645.75999998</v>
      </c>
      <c r="BH71" s="75">
        <f t="shared" si="16"/>
        <v>52834203.830000013</v>
      </c>
      <c r="BI71" s="75">
        <f t="shared" si="17"/>
        <v>13069973.529999999</v>
      </c>
      <c r="BJ71" s="75">
        <f t="shared" si="18"/>
        <v>47303468.399999999</v>
      </c>
    </row>
    <row r="72" spans="2:63" x14ac:dyDescent="0.25">
      <c r="D72" s="7">
        <v>1402</v>
      </c>
      <c r="E72" s="7" t="s">
        <v>356</v>
      </c>
      <c r="F72" s="12">
        <v>0</v>
      </c>
      <c r="G72" s="12">
        <v>0</v>
      </c>
      <c r="H72" s="12">
        <v>0</v>
      </c>
      <c r="I72" s="12">
        <v>0</v>
      </c>
      <c r="J72" s="12">
        <v>249603.04</v>
      </c>
      <c r="K72" s="12">
        <v>0</v>
      </c>
      <c r="L72" s="12">
        <v>154860</v>
      </c>
      <c r="M72" s="12">
        <v>3508412.31</v>
      </c>
      <c r="N72" s="12">
        <v>0</v>
      </c>
      <c r="O72" s="12">
        <v>0</v>
      </c>
      <c r="P72" s="12">
        <v>86945.3</v>
      </c>
      <c r="Q72" s="12">
        <v>0</v>
      </c>
      <c r="R72" s="12">
        <v>0</v>
      </c>
      <c r="S72" s="12">
        <v>0</v>
      </c>
      <c r="T72" s="12">
        <v>0</v>
      </c>
      <c r="U72" s="12">
        <v>0</v>
      </c>
      <c r="V72" s="12">
        <v>0</v>
      </c>
      <c r="W72" s="12">
        <v>331750.43</v>
      </c>
      <c r="X72" s="12">
        <v>0</v>
      </c>
      <c r="Y72" s="12">
        <v>0</v>
      </c>
      <c r="Z72" s="12">
        <v>0</v>
      </c>
      <c r="AA72" s="12">
        <v>0</v>
      </c>
      <c r="AB72" s="12">
        <v>0</v>
      </c>
      <c r="AC72" s="12">
        <v>0</v>
      </c>
      <c r="AD72" s="12">
        <v>0</v>
      </c>
      <c r="AE72" s="12">
        <v>26772</v>
      </c>
      <c r="AF72" s="12">
        <v>1</v>
      </c>
      <c r="AG72" s="12">
        <v>0</v>
      </c>
      <c r="AH72" s="12">
        <v>680</v>
      </c>
      <c r="AI72" s="12">
        <v>0</v>
      </c>
      <c r="AJ72" s="12">
        <v>0</v>
      </c>
      <c r="AK72" s="12">
        <v>0</v>
      </c>
      <c r="AL72" s="12">
        <v>1</v>
      </c>
      <c r="AM72" s="12">
        <v>0</v>
      </c>
      <c r="AN72" s="12">
        <v>42690.55</v>
      </c>
      <c r="AO72" s="12">
        <v>0</v>
      </c>
      <c r="AP72" s="12">
        <v>606630.80000000005</v>
      </c>
      <c r="AQ72" s="12">
        <v>0</v>
      </c>
      <c r="AR72" s="12">
        <v>0</v>
      </c>
      <c r="AS72" s="12">
        <v>0</v>
      </c>
      <c r="AT72" s="12">
        <v>0</v>
      </c>
      <c r="AU72" s="12">
        <v>83858.05</v>
      </c>
      <c r="AV72" s="12">
        <v>40696.5</v>
      </c>
      <c r="AW72" s="12">
        <v>76322.7</v>
      </c>
      <c r="AX72" s="12">
        <v>0</v>
      </c>
      <c r="AY72" s="12">
        <v>0</v>
      </c>
      <c r="AZ72" s="12">
        <v>0</v>
      </c>
      <c r="BA72" s="12">
        <v>115500</v>
      </c>
      <c r="BB72" s="12">
        <v>0</v>
      </c>
      <c r="BC72" s="12">
        <v>0</v>
      </c>
      <c r="BD72" s="12">
        <v>0</v>
      </c>
      <c r="BE72" s="12">
        <v>333496.95</v>
      </c>
      <c r="BF72" s="12">
        <v>9883.6</v>
      </c>
      <c r="BG72" s="75">
        <f t="shared" si="19"/>
        <v>5668104.2299999995</v>
      </c>
      <c r="BH72" s="75">
        <f t="shared" si="16"/>
        <v>4331571.08</v>
      </c>
      <c r="BI72" s="75">
        <f t="shared" si="17"/>
        <v>27453</v>
      </c>
      <c r="BJ72" s="75">
        <f t="shared" si="18"/>
        <v>1309080.1500000001</v>
      </c>
    </row>
    <row r="73" spans="2:63" x14ac:dyDescent="0.25">
      <c r="D73" s="7">
        <v>1403</v>
      </c>
      <c r="E73" s="7" t="s">
        <v>357</v>
      </c>
      <c r="F73" s="12">
        <v>5480246.0099999998</v>
      </c>
      <c r="G73" s="12">
        <v>660585.4</v>
      </c>
      <c r="H73" s="12">
        <v>35090.050000000003</v>
      </c>
      <c r="I73" s="12">
        <v>387953.91</v>
      </c>
      <c r="J73" s="12">
        <v>2771318.11</v>
      </c>
      <c r="K73" s="12">
        <v>5057926.6100000003</v>
      </c>
      <c r="L73" s="12">
        <v>2697299.5</v>
      </c>
      <c r="M73" s="12">
        <v>39535278.57</v>
      </c>
      <c r="N73" s="12">
        <v>708818.76</v>
      </c>
      <c r="O73" s="12">
        <v>483680.22</v>
      </c>
      <c r="P73" s="12">
        <v>5704087.2999999998</v>
      </c>
      <c r="Q73" s="12">
        <v>1</v>
      </c>
      <c r="R73" s="12">
        <v>66417.3</v>
      </c>
      <c r="S73" s="12">
        <v>163419.71</v>
      </c>
      <c r="T73" s="12">
        <v>1094300</v>
      </c>
      <c r="U73" s="12">
        <v>749547.3</v>
      </c>
      <c r="V73" s="12">
        <v>501509</v>
      </c>
      <c r="W73" s="12">
        <v>384666.06</v>
      </c>
      <c r="X73" s="12">
        <v>1526320.8</v>
      </c>
      <c r="Y73" s="12">
        <v>171115.4</v>
      </c>
      <c r="Z73" s="12">
        <v>1142268</v>
      </c>
      <c r="AA73" s="12">
        <v>0</v>
      </c>
      <c r="AB73" s="12">
        <v>0</v>
      </c>
      <c r="AC73" s="12">
        <v>0</v>
      </c>
      <c r="AD73" s="12">
        <v>978221.75</v>
      </c>
      <c r="AE73" s="12">
        <v>1507936.58</v>
      </c>
      <c r="AF73" s="12">
        <v>744140.15</v>
      </c>
      <c r="AG73" s="12">
        <v>105588.06</v>
      </c>
      <c r="AH73" s="12">
        <v>637381.4</v>
      </c>
      <c r="AI73" s="12">
        <v>4717012.25</v>
      </c>
      <c r="AJ73" s="12">
        <v>158726.35</v>
      </c>
      <c r="AK73" s="12">
        <v>40250</v>
      </c>
      <c r="AL73" s="12">
        <v>3618320.64</v>
      </c>
      <c r="AM73" s="12">
        <v>2923988.5</v>
      </c>
      <c r="AN73" s="12">
        <v>1279661.76</v>
      </c>
      <c r="AO73" s="12">
        <v>439254</v>
      </c>
      <c r="AP73" s="12">
        <v>5293303.5</v>
      </c>
      <c r="AQ73" s="12">
        <v>348282.3</v>
      </c>
      <c r="AR73" s="12">
        <v>2012499.02</v>
      </c>
      <c r="AS73" s="12">
        <v>2518262.48</v>
      </c>
      <c r="AT73" s="12">
        <v>939180</v>
      </c>
      <c r="AU73" s="12">
        <v>1938216.01</v>
      </c>
      <c r="AV73" s="12">
        <v>952451</v>
      </c>
      <c r="AW73" s="12">
        <v>5442446.5499999998</v>
      </c>
      <c r="AX73" s="12">
        <v>1671511.59</v>
      </c>
      <c r="AY73" s="12">
        <v>67960</v>
      </c>
      <c r="AZ73" s="12">
        <v>158858</v>
      </c>
      <c r="BA73" s="12">
        <v>4035457.5</v>
      </c>
      <c r="BB73" s="12">
        <v>721132.5</v>
      </c>
      <c r="BC73" s="12">
        <v>1591767.3</v>
      </c>
      <c r="BD73" s="12">
        <v>145288.75</v>
      </c>
      <c r="BE73" s="12">
        <v>2102935.9300000002</v>
      </c>
      <c r="BF73" s="12">
        <v>234200</v>
      </c>
      <c r="BG73" s="75">
        <f t="shared" si="19"/>
        <v>116646082.88000001</v>
      </c>
      <c r="BH73" s="75">
        <f t="shared" si="16"/>
        <v>68008465.609999985</v>
      </c>
      <c r="BI73" s="75">
        <f t="shared" si="17"/>
        <v>10202639.939999999</v>
      </c>
      <c r="BJ73" s="75">
        <f t="shared" si="18"/>
        <v>38434977.329999998</v>
      </c>
    </row>
    <row r="74" spans="2:63" x14ac:dyDescent="0.25">
      <c r="D74" s="7">
        <v>1404</v>
      </c>
      <c r="E74" s="7" t="s">
        <v>358</v>
      </c>
      <c r="F74" s="12">
        <v>553147.19999999995</v>
      </c>
      <c r="G74" s="12">
        <v>156858.4</v>
      </c>
      <c r="H74" s="12">
        <v>2286925.75</v>
      </c>
      <c r="I74" s="12">
        <v>1509270.1</v>
      </c>
      <c r="J74" s="12">
        <v>11031748.77</v>
      </c>
      <c r="K74" s="12">
        <v>10077477.560000001</v>
      </c>
      <c r="L74" s="12">
        <v>3014570.7</v>
      </c>
      <c r="M74" s="12">
        <v>59999748.530000001</v>
      </c>
      <c r="N74" s="12">
        <v>2870351.55</v>
      </c>
      <c r="O74" s="12">
        <v>702490.27</v>
      </c>
      <c r="P74" s="12">
        <v>14237115.300000001</v>
      </c>
      <c r="Q74" s="12">
        <v>1394788.65</v>
      </c>
      <c r="R74" s="12">
        <v>58179</v>
      </c>
      <c r="S74" s="12">
        <v>1002200</v>
      </c>
      <c r="T74" s="12">
        <v>471500</v>
      </c>
      <c r="U74" s="12">
        <v>85251.45</v>
      </c>
      <c r="V74" s="12">
        <v>52552</v>
      </c>
      <c r="W74" s="12">
        <v>719260</v>
      </c>
      <c r="X74" s="12">
        <v>8624362.4600000009</v>
      </c>
      <c r="Y74" s="12">
        <v>774918.55</v>
      </c>
      <c r="Z74" s="12">
        <v>1194841.5</v>
      </c>
      <c r="AA74" s="12">
        <v>0</v>
      </c>
      <c r="AB74" s="12">
        <v>262000</v>
      </c>
      <c r="AC74" s="12">
        <v>0</v>
      </c>
      <c r="AD74" s="12">
        <v>627802</v>
      </c>
      <c r="AE74" s="12">
        <v>1464001.51</v>
      </c>
      <c r="AF74" s="12">
        <v>2044302.9</v>
      </c>
      <c r="AG74" s="12">
        <v>1822570.3</v>
      </c>
      <c r="AH74" s="12">
        <v>2689187.15</v>
      </c>
      <c r="AI74" s="12">
        <v>5223976.5199999996</v>
      </c>
      <c r="AJ74" s="12">
        <v>304332.59999999998</v>
      </c>
      <c r="AK74" s="12">
        <v>0</v>
      </c>
      <c r="AL74" s="12">
        <v>7794874.0700000003</v>
      </c>
      <c r="AM74" s="12">
        <v>1782044.1</v>
      </c>
      <c r="AN74" s="12">
        <v>3301204.95</v>
      </c>
      <c r="AO74" s="12">
        <v>57066.239999999998</v>
      </c>
      <c r="AP74" s="12">
        <v>3470162.89</v>
      </c>
      <c r="AQ74" s="12">
        <v>669238.19999999995</v>
      </c>
      <c r="AR74" s="12">
        <v>495222.4</v>
      </c>
      <c r="AS74" s="12">
        <v>944533.25</v>
      </c>
      <c r="AT74" s="12">
        <v>1289000</v>
      </c>
      <c r="AU74" s="12">
        <v>2620449.44</v>
      </c>
      <c r="AV74" s="12">
        <v>101205.6</v>
      </c>
      <c r="AW74" s="12">
        <v>2690646</v>
      </c>
      <c r="AX74" s="12">
        <v>143403.10999999999</v>
      </c>
      <c r="AY74" s="12">
        <v>59400</v>
      </c>
      <c r="AZ74" s="12">
        <v>216351</v>
      </c>
      <c r="BA74" s="12">
        <v>5597270</v>
      </c>
      <c r="BB74" s="12">
        <v>101560</v>
      </c>
      <c r="BC74" s="12">
        <v>1721879.15</v>
      </c>
      <c r="BD74" s="12">
        <v>63880.4</v>
      </c>
      <c r="BE74" s="12">
        <v>29401350.859999999</v>
      </c>
      <c r="BF74" s="12">
        <v>1078273.1000000001</v>
      </c>
      <c r="BG74" s="75">
        <f t="shared" si="19"/>
        <v>198854745.47999999</v>
      </c>
      <c r="BH74" s="75">
        <f t="shared" si="16"/>
        <v>118847797.69</v>
      </c>
      <c r="BI74" s="75">
        <f t="shared" si="17"/>
        <v>16407933.029999997</v>
      </c>
      <c r="BJ74" s="75">
        <f t="shared" si="18"/>
        <v>63599014.759999998</v>
      </c>
    </row>
    <row r="75" spans="2:63" x14ac:dyDescent="0.25">
      <c r="D75" s="7">
        <v>1405</v>
      </c>
      <c r="E75" s="7" t="s">
        <v>359</v>
      </c>
      <c r="F75" s="12">
        <v>0</v>
      </c>
      <c r="G75" s="12">
        <v>0</v>
      </c>
      <c r="H75" s="12">
        <v>0</v>
      </c>
      <c r="I75" s="12">
        <v>0</v>
      </c>
      <c r="J75" s="12">
        <v>588867.5</v>
      </c>
      <c r="K75" s="12">
        <v>8780</v>
      </c>
      <c r="L75" s="12">
        <v>0</v>
      </c>
      <c r="M75" s="12">
        <v>0</v>
      </c>
      <c r="N75" s="12">
        <v>1960</v>
      </c>
      <c r="O75" s="12">
        <v>0</v>
      </c>
      <c r="P75" s="12">
        <v>0</v>
      </c>
      <c r="Q75" s="12">
        <v>0</v>
      </c>
      <c r="R75" s="12">
        <v>0</v>
      </c>
      <c r="S75" s="12">
        <v>0</v>
      </c>
      <c r="T75" s="12">
        <v>0</v>
      </c>
      <c r="U75" s="12">
        <v>0</v>
      </c>
      <c r="V75" s="12">
        <v>0</v>
      </c>
      <c r="W75" s="12">
        <v>0</v>
      </c>
      <c r="X75" s="12">
        <v>0</v>
      </c>
      <c r="Y75" s="12">
        <v>716700</v>
      </c>
      <c r="Z75" s="12">
        <v>0</v>
      </c>
      <c r="AA75" s="12">
        <v>1796190</v>
      </c>
      <c r="AB75" s="12">
        <v>83200</v>
      </c>
      <c r="AC75" s="12">
        <v>568660</v>
      </c>
      <c r="AD75" s="12">
        <v>517690</v>
      </c>
      <c r="AE75" s="12">
        <v>22</v>
      </c>
      <c r="AF75" s="12">
        <v>906658</v>
      </c>
      <c r="AG75" s="12">
        <v>529460</v>
      </c>
      <c r="AH75" s="12">
        <v>312402.55</v>
      </c>
      <c r="AI75" s="12">
        <v>1443269.15</v>
      </c>
      <c r="AJ75" s="12">
        <v>513240</v>
      </c>
      <c r="AK75" s="12">
        <v>481320</v>
      </c>
      <c r="AL75" s="12">
        <v>1257120</v>
      </c>
      <c r="AM75" s="12">
        <v>2514443.4</v>
      </c>
      <c r="AN75" s="12">
        <v>2001670</v>
      </c>
      <c r="AO75" s="12">
        <v>341360</v>
      </c>
      <c r="AP75" s="12">
        <v>777663</v>
      </c>
      <c r="AQ75" s="12">
        <v>1397940</v>
      </c>
      <c r="AR75" s="12">
        <v>400000</v>
      </c>
      <c r="AS75" s="12">
        <v>3033211</v>
      </c>
      <c r="AT75" s="12">
        <v>1060400</v>
      </c>
      <c r="AU75" s="12">
        <v>1018940</v>
      </c>
      <c r="AV75" s="12">
        <v>921580</v>
      </c>
      <c r="AW75" s="12">
        <v>1749392</v>
      </c>
      <c r="AX75" s="12">
        <v>1001970</v>
      </c>
      <c r="AY75" s="12">
        <v>356390</v>
      </c>
      <c r="AZ75" s="12">
        <v>358610</v>
      </c>
      <c r="BA75" s="12">
        <v>2721986.55</v>
      </c>
      <c r="BB75" s="12">
        <v>272620</v>
      </c>
      <c r="BC75" s="12">
        <v>2104103</v>
      </c>
      <c r="BD75" s="12">
        <v>388708.55</v>
      </c>
      <c r="BE75" s="12">
        <v>0</v>
      </c>
      <c r="BF75" s="12">
        <v>1211010</v>
      </c>
      <c r="BG75" s="75">
        <f t="shared" si="19"/>
        <v>33357536.700000003</v>
      </c>
      <c r="BH75" s="75">
        <f t="shared" si="16"/>
        <v>599607.5</v>
      </c>
      <c r="BI75" s="75">
        <f t="shared" si="17"/>
        <v>7868811.6999999993</v>
      </c>
      <c r="BJ75" s="75">
        <f t="shared" si="18"/>
        <v>24889117.5</v>
      </c>
    </row>
    <row r="76" spans="2:63" x14ac:dyDescent="0.25">
      <c r="D76" s="7">
        <v>1406</v>
      </c>
      <c r="E76" s="7" t="s">
        <v>360</v>
      </c>
      <c r="F76" s="12">
        <v>94493.37</v>
      </c>
      <c r="G76" s="12">
        <v>26690</v>
      </c>
      <c r="H76" s="12">
        <v>160298.5</v>
      </c>
      <c r="I76" s="12">
        <v>0</v>
      </c>
      <c r="J76" s="12">
        <v>291664.65000000002</v>
      </c>
      <c r="K76" s="12">
        <v>90951.8</v>
      </c>
      <c r="L76" s="12">
        <v>158945.79999999999</v>
      </c>
      <c r="M76" s="12">
        <v>3150507.45</v>
      </c>
      <c r="N76" s="12">
        <v>215474.75</v>
      </c>
      <c r="O76" s="12">
        <v>0</v>
      </c>
      <c r="P76" s="12">
        <v>589979.15</v>
      </c>
      <c r="Q76" s="12">
        <v>93364</v>
      </c>
      <c r="R76" s="12">
        <v>0</v>
      </c>
      <c r="S76" s="12">
        <v>0</v>
      </c>
      <c r="T76" s="12">
        <v>0</v>
      </c>
      <c r="U76" s="12">
        <v>22091.74</v>
      </c>
      <c r="V76" s="12">
        <v>24300</v>
      </c>
      <c r="W76" s="12">
        <v>14000</v>
      </c>
      <c r="X76" s="12">
        <v>240246.78</v>
      </c>
      <c r="Y76" s="12">
        <v>37800</v>
      </c>
      <c r="Z76" s="12">
        <v>174499.4</v>
      </c>
      <c r="AA76" s="12">
        <v>130100</v>
      </c>
      <c r="AB76" s="12">
        <v>3</v>
      </c>
      <c r="AC76" s="12">
        <v>4900</v>
      </c>
      <c r="AD76" s="12">
        <v>70862.3</v>
      </c>
      <c r="AE76" s="12">
        <v>85045.45</v>
      </c>
      <c r="AF76" s="12">
        <v>2</v>
      </c>
      <c r="AG76" s="12">
        <v>0</v>
      </c>
      <c r="AH76" s="12">
        <v>251237.15</v>
      </c>
      <c r="AI76" s="12">
        <v>258797</v>
      </c>
      <c r="AJ76" s="12">
        <v>29077.9</v>
      </c>
      <c r="AK76" s="12">
        <v>0</v>
      </c>
      <c r="AL76" s="12">
        <v>76546.3</v>
      </c>
      <c r="AM76" s="12">
        <v>53000</v>
      </c>
      <c r="AN76" s="12">
        <v>67071.100000000006</v>
      </c>
      <c r="AO76" s="12">
        <v>0</v>
      </c>
      <c r="AP76" s="12">
        <v>208163.45</v>
      </c>
      <c r="AQ76" s="12">
        <v>29162.85</v>
      </c>
      <c r="AR76" s="12">
        <v>123563.1</v>
      </c>
      <c r="AS76" s="12">
        <v>163949.85</v>
      </c>
      <c r="AT76" s="12">
        <v>18000</v>
      </c>
      <c r="AU76" s="12">
        <v>58653.5</v>
      </c>
      <c r="AV76" s="12">
        <v>1</v>
      </c>
      <c r="AW76" s="12">
        <v>195271</v>
      </c>
      <c r="AX76" s="12">
        <v>41176.07</v>
      </c>
      <c r="AY76" s="12">
        <v>0</v>
      </c>
      <c r="AZ76" s="12">
        <v>1</v>
      </c>
      <c r="BA76" s="12">
        <v>136700</v>
      </c>
      <c r="BB76" s="12">
        <v>0</v>
      </c>
      <c r="BC76" s="12">
        <v>10379.620000000001</v>
      </c>
      <c r="BD76" s="12">
        <v>1</v>
      </c>
      <c r="BE76" s="12">
        <v>561669.15</v>
      </c>
      <c r="BF76" s="12">
        <v>3</v>
      </c>
      <c r="BG76" s="75">
        <f t="shared" si="19"/>
        <v>7958644.1800000016</v>
      </c>
      <c r="BH76" s="75">
        <f t="shared" si="16"/>
        <v>5173007.9900000012</v>
      </c>
      <c r="BI76" s="75">
        <f t="shared" si="17"/>
        <v>1042324.2000000001</v>
      </c>
      <c r="BJ76" s="75">
        <f t="shared" si="18"/>
        <v>1743311.9900000002</v>
      </c>
    </row>
    <row r="77" spans="2:63" x14ac:dyDescent="0.25">
      <c r="D77" s="7">
        <v>1407</v>
      </c>
      <c r="E77" s="7" t="s">
        <v>361</v>
      </c>
      <c r="F77" s="12">
        <v>128352.9</v>
      </c>
      <c r="G77" s="12">
        <v>1500</v>
      </c>
      <c r="H77" s="12">
        <v>190858.62</v>
      </c>
      <c r="I77" s="12">
        <v>0</v>
      </c>
      <c r="J77" s="12">
        <v>3145626.66</v>
      </c>
      <c r="K77" s="12">
        <v>4634327.8499999996</v>
      </c>
      <c r="L77" s="12">
        <v>1121536</v>
      </c>
      <c r="M77" s="12">
        <v>370957.95</v>
      </c>
      <c r="N77" s="12">
        <v>1189754.8600000001</v>
      </c>
      <c r="O77" s="12">
        <v>0</v>
      </c>
      <c r="P77" s="12">
        <v>4126187.1</v>
      </c>
      <c r="Q77" s="12">
        <v>0</v>
      </c>
      <c r="R77" s="12">
        <v>0</v>
      </c>
      <c r="S77" s="12">
        <v>0</v>
      </c>
      <c r="T77" s="12">
        <v>0</v>
      </c>
      <c r="U77" s="12">
        <v>124011.3</v>
      </c>
      <c r="V77" s="12">
        <v>0</v>
      </c>
      <c r="W77" s="12">
        <v>0</v>
      </c>
      <c r="X77" s="12">
        <v>4123136.91</v>
      </c>
      <c r="Y77" s="12">
        <v>19904.3</v>
      </c>
      <c r="Z77" s="12">
        <v>6261455.5800000001</v>
      </c>
      <c r="AA77" s="12">
        <v>21000</v>
      </c>
      <c r="AB77" s="12">
        <v>0</v>
      </c>
      <c r="AC77" s="12">
        <v>0</v>
      </c>
      <c r="AD77" s="12">
        <v>0</v>
      </c>
      <c r="AE77" s="12">
        <v>1852761.75</v>
      </c>
      <c r="AF77" s="12">
        <v>0</v>
      </c>
      <c r="AG77" s="12">
        <v>0</v>
      </c>
      <c r="AH77" s="12">
        <v>657503.97</v>
      </c>
      <c r="AI77" s="12">
        <v>11651.8</v>
      </c>
      <c r="AJ77" s="12">
        <v>0</v>
      </c>
      <c r="AK77" s="12">
        <v>64100.7</v>
      </c>
      <c r="AL77" s="12">
        <v>0</v>
      </c>
      <c r="AM77" s="12">
        <v>0</v>
      </c>
      <c r="AN77" s="12">
        <v>0</v>
      </c>
      <c r="AO77" s="12">
        <v>0</v>
      </c>
      <c r="AP77" s="12">
        <v>991415.4</v>
      </c>
      <c r="AQ77" s="12">
        <v>55851.65</v>
      </c>
      <c r="AR77" s="12">
        <v>879431.1</v>
      </c>
      <c r="AS77" s="12">
        <v>1022919.1</v>
      </c>
      <c r="AT77" s="12">
        <v>0</v>
      </c>
      <c r="AU77" s="12">
        <v>54937.9</v>
      </c>
      <c r="AV77" s="12">
        <v>0</v>
      </c>
      <c r="AW77" s="12">
        <v>725334.25</v>
      </c>
      <c r="AX77" s="12">
        <v>129277.25</v>
      </c>
      <c r="AY77" s="12">
        <v>0</v>
      </c>
      <c r="AZ77" s="12">
        <v>41908.15</v>
      </c>
      <c r="BA77" s="12">
        <v>0</v>
      </c>
      <c r="BB77" s="12">
        <v>1219048.3899999999</v>
      </c>
      <c r="BC77" s="12">
        <v>949609.31</v>
      </c>
      <c r="BD77" s="12">
        <v>0</v>
      </c>
      <c r="BE77" s="12">
        <v>8251490.96</v>
      </c>
      <c r="BF77" s="12">
        <v>0</v>
      </c>
      <c r="BG77" s="75">
        <f t="shared" si="19"/>
        <v>42365851.710000001</v>
      </c>
      <c r="BH77" s="75">
        <f t="shared" si="16"/>
        <v>19156250.149999999</v>
      </c>
      <c r="BI77" s="75">
        <f t="shared" si="17"/>
        <v>8888378.0999999996</v>
      </c>
      <c r="BJ77" s="75">
        <f t="shared" si="18"/>
        <v>14321223.460000001</v>
      </c>
    </row>
    <row r="78" spans="2:63" x14ac:dyDescent="0.25">
      <c r="D78" s="7">
        <v>1409</v>
      </c>
      <c r="E78" s="7" t="s">
        <v>362</v>
      </c>
      <c r="F78" s="12">
        <v>0</v>
      </c>
      <c r="G78" s="12">
        <v>0</v>
      </c>
      <c r="H78" s="12">
        <v>0</v>
      </c>
      <c r="I78" s="12">
        <v>0</v>
      </c>
      <c r="J78" s="12">
        <v>0</v>
      </c>
      <c r="K78" s="12">
        <v>0</v>
      </c>
      <c r="L78" s="12">
        <v>0</v>
      </c>
      <c r="M78" s="12">
        <v>0</v>
      </c>
      <c r="N78" s="12">
        <v>0</v>
      </c>
      <c r="O78" s="12">
        <v>0</v>
      </c>
      <c r="P78" s="12">
        <v>0</v>
      </c>
      <c r="Q78" s="12">
        <v>0</v>
      </c>
      <c r="R78" s="12">
        <v>0</v>
      </c>
      <c r="S78" s="12">
        <v>0</v>
      </c>
      <c r="T78" s="12">
        <v>0</v>
      </c>
      <c r="U78" s="12">
        <v>0</v>
      </c>
      <c r="V78" s="12">
        <v>0</v>
      </c>
      <c r="W78" s="12">
        <v>0</v>
      </c>
      <c r="X78" s="12">
        <v>0</v>
      </c>
      <c r="Y78" s="12">
        <v>0</v>
      </c>
      <c r="Z78" s="12">
        <v>0</v>
      </c>
      <c r="AA78" s="12">
        <v>0</v>
      </c>
      <c r="AB78" s="12">
        <v>0</v>
      </c>
      <c r="AC78" s="12">
        <v>0</v>
      </c>
      <c r="AD78" s="12">
        <v>0</v>
      </c>
      <c r="AE78" s="12">
        <v>0</v>
      </c>
      <c r="AF78" s="12">
        <v>0</v>
      </c>
      <c r="AG78" s="12">
        <v>0</v>
      </c>
      <c r="AH78" s="12">
        <v>0</v>
      </c>
      <c r="AI78" s="12">
        <v>0</v>
      </c>
      <c r="AJ78" s="12">
        <v>0</v>
      </c>
      <c r="AK78" s="12">
        <v>0</v>
      </c>
      <c r="AL78" s="12">
        <v>0</v>
      </c>
      <c r="AM78" s="12">
        <v>0</v>
      </c>
      <c r="AN78" s="12">
        <v>0</v>
      </c>
      <c r="AO78" s="12">
        <v>0</v>
      </c>
      <c r="AP78" s="12">
        <v>0</v>
      </c>
      <c r="AQ78" s="12">
        <v>0</v>
      </c>
      <c r="AR78" s="12">
        <v>0</v>
      </c>
      <c r="AS78" s="12">
        <v>0</v>
      </c>
      <c r="AT78" s="12">
        <v>0</v>
      </c>
      <c r="AU78" s="12">
        <v>7646</v>
      </c>
      <c r="AV78" s="12">
        <v>0</v>
      </c>
      <c r="AW78" s="12">
        <v>0</v>
      </c>
      <c r="AX78" s="12">
        <v>0</v>
      </c>
      <c r="AY78" s="12">
        <v>0</v>
      </c>
      <c r="AZ78" s="12">
        <v>0</v>
      </c>
      <c r="BA78" s="12">
        <v>0</v>
      </c>
      <c r="BB78" s="12">
        <v>0</v>
      </c>
      <c r="BC78" s="12">
        <v>0</v>
      </c>
      <c r="BD78" s="12">
        <v>0</v>
      </c>
      <c r="BE78" s="12">
        <v>50</v>
      </c>
      <c r="BF78" s="12">
        <v>0</v>
      </c>
      <c r="BG78" s="75">
        <f t="shared" si="19"/>
        <v>7696</v>
      </c>
      <c r="BH78" s="75">
        <f t="shared" si="16"/>
        <v>0</v>
      </c>
      <c r="BI78" s="75">
        <f t="shared" si="17"/>
        <v>0</v>
      </c>
      <c r="BJ78" s="75">
        <f t="shared" si="18"/>
        <v>7696</v>
      </c>
    </row>
    <row r="79" spans="2:63" x14ac:dyDescent="0.25">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75"/>
      <c r="BH79" s="75"/>
      <c r="BI79" s="75"/>
      <c r="BJ79" s="75"/>
    </row>
    <row r="80" spans="2:63" x14ac:dyDescent="0.25">
      <c r="C80" s="76">
        <v>142</v>
      </c>
      <c r="D80" s="76"/>
      <c r="E80" s="76" t="s">
        <v>577</v>
      </c>
      <c r="F80" s="96">
        <f t="shared" ref="F80:O80" si="20">F81+F82+F83+F84</f>
        <v>8481.35</v>
      </c>
      <c r="G80" s="96">
        <f t="shared" si="20"/>
        <v>104470.45</v>
      </c>
      <c r="H80" s="96">
        <f t="shared" si="20"/>
        <v>46551.4</v>
      </c>
      <c r="I80" s="96">
        <f t="shared" si="20"/>
        <v>75124.350000000006</v>
      </c>
      <c r="J80" s="96">
        <f t="shared" si="20"/>
        <v>564207.31999999995</v>
      </c>
      <c r="K80" s="96">
        <f t="shared" si="20"/>
        <v>115544.55</v>
      </c>
      <c r="L80" s="96">
        <f t="shared" si="20"/>
        <v>491384.32999999996</v>
      </c>
      <c r="M80" s="96">
        <f t="shared" si="20"/>
        <v>910216.04</v>
      </c>
      <c r="N80" s="96">
        <f t="shared" si="20"/>
        <v>88878.95</v>
      </c>
      <c r="O80" s="96">
        <f t="shared" si="20"/>
        <v>0</v>
      </c>
      <c r="P80" s="96">
        <f>P81+P82+P83+P84</f>
        <v>530200.1</v>
      </c>
      <c r="Q80" s="96">
        <f t="shared" ref="Q80:BF80" si="21">Q81+Q82+Q83+Q84</f>
        <v>0</v>
      </c>
      <c r="R80" s="96">
        <f t="shared" si="21"/>
        <v>34573</v>
      </c>
      <c r="S80" s="96">
        <f t="shared" si="21"/>
        <v>0</v>
      </c>
      <c r="T80" s="96">
        <f t="shared" si="21"/>
        <v>3300</v>
      </c>
      <c r="U80" s="96">
        <f t="shared" si="21"/>
        <v>0</v>
      </c>
      <c r="V80" s="96">
        <f t="shared" si="21"/>
        <v>43020</v>
      </c>
      <c r="W80" s="96">
        <f t="shared" si="21"/>
        <v>190693.15</v>
      </c>
      <c r="X80" s="96">
        <f t="shared" si="21"/>
        <v>390761.65</v>
      </c>
      <c r="Y80" s="96">
        <f t="shared" si="21"/>
        <v>0</v>
      </c>
      <c r="Z80" s="96">
        <f t="shared" si="21"/>
        <v>111112.4</v>
      </c>
      <c r="AA80" s="96">
        <f t="shared" si="21"/>
        <v>0</v>
      </c>
      <c r="AB80" s="96">
        <f t="shared" si="21"/>
        <v>0</v>
      </c>
      <c r="AC80" s="96">
        <f t="shared" si="21"/>
        <v>0</v>
      </c>
      <c r="AD80" s="96">
        <f t="shared" si="21"/>
        <v>343139.1</v>
      </c>
      <c r="AE80" s="96">
        <f t="shared" si="21"/>
        <v>11262.2</v>
      </c>
      <c r="AF80" s="96">
        <f t="shared" si="21"/>
        <v>70479.5</v>
      </c>
      <c r="AG80" s="96">
        <f t="shared" si="21"/>
        <v>20798.900000000001</v>
      </c>
      <c r="AH80" s="96">
        <f t="shared" si="21"/>
        <v>205837.45</v>
      </c>
      <c r="AI80" s="96">
        <f t="shared" si="21"/>
        <v>150995.4</v>
      </c>
      <c r="AJ80" s="96">
        <f t="shared" si="21"/>
        <v>11441</v>
      </c>
      <c r="AK80" s="96">
        <f t="shared" si="21"/>
        <v>12745.95</v>
      </c>
      <c r="AL80" s="96">
        <f t="shared" si="21"/>
        <v>289725.3</v>
      </c>
      <c r="AM80" s="96">
        <f t="shared" si="21"/>
        <v>0</v>
      </c>
      <c r="AN80" s="96">
        <f t="shared" si="21"/>
        <v>504479.45</v>
      </c>
      <c r="AO80" s="96">
        <f t="shared" si="21"/>
        <v>19656.5</v>
      </c>
      <c r="AP80" s="96">
        <f t="shared" si="21"/>
        <v>62180.800000000003</v>
      </c>
      <c r="AQ80" s="96">
        <f t="shared" si="21"/>
        <v>398909.95</v>
      </c>
      <c r="AR80" s="96">
        <f t="shared" si="21"/>
        <v>18591.8</v>
      </c>
      <c r="AS80" s="96">
        <f t="shared" si="21"/>
        <v>607666.05000000005</v>
      </c>
      <c r="AT80" s="96">
        <f t="shared" si="21"/>
        <v>95947.45</v>
      </c>
      <c r="AU80" s="96">
        <f t="shared" si="21"/>
        <v>160703.9</v>
      </c>
      <c r="AV80" s="96">
        <f t="shared" si="21"/>
        <v>22023.75</v>
      </c>
      <c r="AW80" s="96">
        <f t="shared" si="21"/>
        <v>8745.25</v>
      </c>
      <c r="AX80" s="96">
        <f t="shared" si="21"/>
        <v>114675.14</v>
      </c>
      <c r="AY80" s="96">
        <f t="shared" si="21"/>
        <v>0</v>
      </c>
      <c r="AZ80" s="96">
        <f t="shared" si="21"/>
        <v>68840.5</v>
      </c>
      <c r="BA80" s="96">
        <f t="shared" si="21"/>
        <v>469860.15</v>
      </c>
      <c r="BB80" s="96">
        <f t="shared" si="21"/>
        <v>157660</v>
      </c>
      <c r="BC80" s="96">
        <f t="shared" si="21"/>
        <v>558522.04</v>
      </c>
      <c r="BD80" s="96">
        <f t="shared" si="21"/>
        <v>0</v>
      </c>
      <c r="BE80" s="96">
        <f t="shared" si="21"/>
        <v>808089.93</v>
      </c>
      <c r="BF80" s="96">
        <f t="shared" si="21"/>
        <v>59591.9</v>
      </c>
      <c r="BG80" s="96">
        <f t="shared" si="19"/>
        <v>8961088.4000000022</v>
      </c>
      <c r="BH80" s="96">
        <f t="shared" si="16"/>
        <v>3597406.64</v>
      </c>
      <c r="BI80" s="96">
        <f t="shared" si="17"/>
        <v>937811.9</v>
      </c>
      <c r="BJ80" s="96">
        <f t="shared" si="18"/>
        <v>4425869.8600000003</v>
      </c>
    </row>
    <row r="81" spans="3:62" x14ac:dyDescent="0.25">
      <c r="D81" s="7">
        <v>1420</v>
      </c>
      <c r="E81" s="7" t="s">
        <v>363</v>
      </c>
      <c r="F81" s="12">
        <v>0</v>
      </c>
      <c r="G81" s="12">
        <v>0</v>
      </c>
      <c r="H81" s="12">
        <v>0</v>
      </c>
      <c r="I81" s="12">
        <v>0</v>
      </c>
      <c r="J81" s="12">
        <v>0</v>
      </c>
      <c r="K81" s="12">
        <v>53470.05</v>
      </c>
      <c r="L81" s="12">
        <v>0</v>
      </c>
      <c r="M81" s="12">
        <v>458919.69</v>
      </c>
      <c r="N81" s="12">
        <v>0</v>
      </c>
      <c r="O81" s="12">
        <v>0</v>
      </c>
      <c r="P81" s="12">
        <v>112996.8</v>
      </c>
      <c r="Q81" s="12">
        <v>0</v>
      </c>
      <c r="R81" s="12">
        <v>0</v>
      </c>
      <c r="S81" s="12">
        <v>0</v>
      </c>
      <c r="T81" s="12">
        <v>0</v>
      </c>
      <c r="U81" s="12">
        <v>0</v>
      </c>
      <c r="V81" s="12">
        <v>16020</v>
      </c>
      <c r="W81" s="12">
        <v>0</v>
      </c>
      <c r="X81" s="12">
        <v>36441.5</v>
      </c>
      <c r="Y81" s="12">
        <v>0</v>
      </c>
      <c r="Z81" s="12">
        <v>0</v>
      </c>
      <c r="AA81" s="12">
        <v>0</v>
      </c>
      <c r="AB81" s="12">
        <v>0</v>
      </c>
      <c r="AC81" s="12">
        <v>0</v>
      </c>
      <c r="AD81" s="12">
        <v>25100</v>
      </c>
      <c r="AE81" s="12">
        <v>11262.2</v>
      </c>
      <c r="AF81" s="12">
        <v>0</v>
      </c>
      <c r="AG81" s="12">
        <v>0</v>
      </c>
      <c r="AH81" s="12">
        <v>0</v>
      </c>
      <c r="AI81" s="12">
        <v>0</v>
      </c>
      <c r="AJ81" s="12">
        <v>0</v>
      </c>
      <c r="AK81" s="12">
        <v>0</v>
      </c>
      <c r="AL81" s="12">
        <v>0</v>
      </c>
      <c r="AM81" s="12">
        <v>0</v>
      </c>
      <c r="AN81" s="12">
        <v>0</v>
      </c>
      <c r="AO81" s="12">
        <v>0</v>
      </c>
      <c r="AP81" s="12">
        <v>62180.800000000003</v>
      </c>
      <c r="AQ81" s="12">
        <v>0</v>
      </c>
      <c r="AR81" s="12">
        <v>0</v>
      </c>
      <c r="AS81" s="12">
        <v>0</v>
      </c>
      <c r="AT81" s="12">
        <v>0</v>
      </c>
      <c r="AU81" s="12">
        <v>0</v>
      </c>
      <c r="AV81" s="12">
        <v>0</v>
      </c>
      <c r="AW81" s="12">
        <v>0</v>
      </c>
      <c r="AX81" s="12">
        <v>0</v>
      </c>
      <c r="AY81" s="12">
        <v>0</v>
      </c>
      <c r="AZ81" s="12">
        <v>0</v>
      </c>
      <c r="BA81" s="12">
        <v>0</v>
      </c>
      <c r="BB81" s="12">
        <v>0</v>
      </c>
      <c r="BC81" s="12">
        <v>0</v>
      </c>
      <c r="BD81" s="12">
        <v>0</v>
      </c>
      <c r="BE81" s="12">
        <v>0</v>
      </c>
      <c r="BF81" s="12">
        <v>0</v>
      </c>
      <c r="BG81" s="75">
        <f t="shared" si="19"/>
        <v>776391.04</v>
      </c>
      <c r="BH81" s="75">
        <f t="shared" si="16"/>
        <v>677848.04</v>
      </c>
      <c r="BI81" s="75">
        <f t="shared" si="17"/>
        <v>36362.199999999997</v>
      </c>
      <c r="BJ81" s="75">
        <f t="shared" si="18"/>
        <v>62180.800000000003</v>
      </c>
    </row>
    <row r="82" spans="3:62" x14ac:dyDescent="0.25">
      <c r="D82" s="7">
        <v>1421</v>
      </c>
      <c r="E82" s="7" t="s">
        <v>364</v>
      </c>
      <c r="F82" s="12">
        <v>0</v>
      </c>
      <c r="G82" s="12">
        <v>0</v>
      </c>
      <c r="H82" s="12">
        <v>0</v>
      </c>
      <c r="I82" s="12">
        <v>0</v>
      </c>
      <c r="J82" s="12">
        <v>0</v>
      </c>
      <c r="K82" s="12">
        <v>0</v>
      </c>
      <c r="L82" s="12">
        <v>0</v>
      </c>
      <c r="M82" s="12">
        <v>0</v>
      </c>
      <c r="N82" s="12">
        <v>0</v>
      </c>
      <c r="O82" s="12">
        <v>0</v>
      </c>
      <c r="P82" s="12">
        <v>0</v>
      </c>
      <c r="Q82" s="12">
        <v>0</v>
      </c>
      <c r="R82" s="12">
        <v>0</v>
      </c>
      <c r="S82" s="12">
        <v>0</v>
      </c>
      <c r="T82" s="12">
        <v>0</v>
      </c>
      <c r="U82" s="12">
        <v>0</v>
      </c>
      <c r="V82" s="12">
        <v>0</v>
      </c>
      <c r="W82" s="12">
        <v>0</v>
      </c>
      <c r="X82" s="12">
        <v>0</v>
      </c>
      <c r="Y82" s="12">
        <v>0</v>
      </c>
      <c r="Z82" s="12">
        <v>0</v>
      </c>
      <c r="AA82" s="12">
        <v>0</v>
      </c>
      <c r="AB82" s="12">
        <v>0</v>
      </c>
      <c r="AC82" s="12">
        <v>0</v>
      </c>
      <c r="AD82" s="12">
        <v>0</v>
      </c>
      <c r="AE82" s="12">
        <v>0</v>
      </c>
      <c r="AF82" s="12">
        <v>0</v>
      </c>
      <c r="AG82" s="12">
        <v>0</v>
      </c>
      <c r="AH82" s="12">
        <v>0</v>
      </c>
      <c r="AI82" s="12">
        <v>0</v>
      </c>
      <c r="AJ82" s="12">
        <v>0</v>
      </c>
      <c r="AK82" s="12">
        <v>0</v>
      </c>
      <c r="AL82" s="12">
        <v>0</v>
      </c>
      <c r="AM82" s="12">
        <v>0</v>
      </c>
      <c r="AN82" s="12">
        <v>0</v>
      </c>
      <c r="AO82" s="12">
        <v>0</v>
      </c>
      <c r="AP82" s="12">
        <v>0</v>
      </c>
      <c r="AQ82" s="12">
        <v>0</v>
      </c>
      <c r="AR82" s="12">
        <v>0</v>
      </c>
      <c r="AS82" s="12">
        <v>0</v>
      </c>
      <c r="AT82" s="12">
        <v>0</v>
      </c>
      <c r="AU82" s="12">
        <v>0</v>
      </c>
      <c r="AV82" s="12">
        <v>0</v>
      </c>
      <c r="AW82" s="12">
        <v>0</v>
      </c>
      <c r="AX82" s="12">
        <v>0</v>
      </c>
      <c r="AY82" s="12">
        <v>0</v>
      </c>
      <c r="AZ82" s="12">
        <v>0</v>
      </c>
      <c r="BA82" s="12">
        <v>0</v>
      </c>
      <c r="BB82" s="12">
        <v>0</v>
      </c>
      <c r="BC82" s="12">
        <v>0</v>
      </c>
      <c r="BD82" s="12">
        <v>0</v>
      </c>
      <c r="BE82" s="12">
        <v>0</v>
      </c>
      <c r="BF82" s="12">
        <v>0</v>
      </c>
      <c r="BG82" s="75">
        <f t="shared" si="19"/>
        <v>0</v>
      </c>
      <c r="BH82" s="75">
        <f t="shared" si="16"/>
        <v>0</v>
      </c>
      <c r="BI82" s="75">
        <f t="shared" si="17"/>
        <v>0</v>
      </c>
      <c r="BJ82" s="75">
        <f t="shared" si="18"/>
        <v>0</v>
      </c>
    </row>
    <row r="83" spans="3:62" x14ac:dyDescent="0.25">
      <c r="D83" s="7">
        <v>1427</v>
      </c>
      <c r="E83" s="7" t="s">
        <v>576</v>
      </c>
      <c r="F83" s="12">
        <v>8481.35</v>
      </c>
      <c r="G83" s="12">
        <v>0</v>
      </c>
      <c r="H83" s="12">
        <v>0</v>
      </c>
      <c r="I83" s="12">
        <v>0</v>
      </c>
      <c r="J83" s="12">
        <v>0</v>
      </c>
      <c r="K83" s="12">
        <v>0</v>
      </c>
      <c r="L83" s="12">
        <v>18145.599999999999</v>
      </c>
      <c r="M83" s="12">
        <v>3415</v>
      </c>
      <c r="N83" s="12">
        <v>44695.5</v>
      </c>
      <c r="O83" s="12">
        <v>0</v>
      </c>
      <c r="P83" s="12">
        <v>339019.85</v>
      </c>
      <c r="Q83" s="12">
        <v>0</v>
      </c>
      <c r="R83" s="12">
        <v>0</v>
      </c>
      <c r="S83" s="12">
        <v>0</v>
      </c>
      <c r="T83" s="12">
        <v>0</v>
      </c>
      <c r="U83" s="12">
        <v>0</v>
      </c>
      <c r="V83" s="12">
        <v>0</v>
      </c>
      <c r="W83" s="12">
        <v>10770</v>
      </c>
      <c r="X83" s="12">
        <v>78654.75</v>
      </c>
      <c r="Y83" s="12">
        <v>0</v>
      </c>
      <c r="Z83" s="12">
        <v>0</v>
      </c>
      <c r="AA83" s="12">
        <v>0</v>
      </c>
      <c r="AB83" s="12">
        <v>0</v>
      </c>
      <c r="AC83" s="12">
        <v>0</v>
      </c>
      <c r="AD83" s="12">
        <v>318039.09999999998</v>
      </c>
      <c r="AE83" s="12">
        <v>0</v>
      </c>
      <c r="AF83" s="12">
        <v>4379.5</v>
      </c>
      <c r="AG83" s="12">
        <v>0</v>
      </c>
      <c r="AH83" s="12">
        <v>0</v>
      </c>
      <c r="AI83" s="12">
        <v>0</v>
      </c>
      <c r="AJ83" s="12">
        <v>0</v>
      </c>
      <c r="AK83" s="12">
        <v>0</v>
      </c>
      <c r="AL83" s="12">
        <v>0</v>
      </c>
      <c r="AM83" s="12">
        <v>0</v>
      </c>
      <c r="AN83" s="12">
        <v>0</v>
      </c>
      <c r="AO83" s="12">
        <v>0</v>
      </c>
      <c r="AP83" s="12">
        <v>0</v>
      </c>
      <c r="AQ83" s="12">
        <v>398909.95</v>
      </c>
      <c r="AR83" s="12">
        <v>0</v>
      </c>
      <c r="AS83" s="12">
        <v>339027.9</v>
      </c>
      <c r="AT83" s="12">
        <v>0</v>
      </c>
      <c r="AU83" s="12">
        <v>0</v>
      </c>
      <c r="AV83" s="12">
        <v>0</v>
      </c>
      <c r="AW83" s="12">
        <v>8745.25</v>
      </c>
      <c r="AX83" s="12">
        <v>86132.7</v>
      </c>
      <c r="AY83" s="12">
        <v>0</v>
      </c>
      <c r="AZ83" s="12">
        <v>68840.5</v>
      </c>
      <c r="BA83" s="12">
        <v>0</v>
      </c>
      <c r="BB83" s="12">
        <v>0</v>
      </c>
      <c r="BC83" s="12">
        <v>350633.8</v>
      </c>
      <c r="BD83" s="12">
        <v>0</v>
      </c>
      <c r="BE83" s="12">
        <v>594051.43000000005</v>
      </c>
      <c r="BF83" s="12">
        <v>59591.9</v>
      </c>
      <c r="BG83" s="75">
        <f t="shared" si="19"/>
        <v>2731534.08</v>
      </c>
      <c r="BH83" s="75">
        <f t="shared" si="16"/>
        <v>503182.05</v>
      </c>
      <c r="BI83" s="75">
        <f t="shared" si="17"/>
        <v>322418.59999999998</v>
      </c>
      <c r="BJ83" s="75">
        <f t="shared" si="18"/>
        <v>1905933.4300000002</v>
      </c>
    </row>
    <row r="84" spans="3:62" x14ac:dyDescent="0.25">
      <c r="D84" s="7">
        <v>1429</v>
      </c>
      <c r="E84" s="7" t="s">
        <v>462</v>
      </c>
      <c r="F84" s="12">
        <v>0</v>
      </c>
      <c r="G84" s="12">
        <v>104470.45</v>
      </c>
      <c r="H84" s="12">
        <v>46551.4</v>
      </c>
      <c r="I84" s="12">
        <v>75124.350000000006</v>
      </c>
      <c r="J84" s="12">
        <v>564207.31999999995</v>
      </c>
      <c r="K84" s="12">
        <v>62074.5</v>
      </c>
      <c r="L84" s="12">
        <v>473238.73</v>
      </c>
      <c r="M84" s="12">
        <v>447881.35</v>
      </c>
      <c r="N84" s="12">
        <v>44183.45</v>
      </c>
      <c r="O84" s="12">
        <v>0</v>
      </c>
      <c r="P84" s="12">
        <v>78183.45</v>
      </c>
      <c r="Q84" s="12">
        <v>0</v>
      </c>
      <c r="R84" s="12">
        <v>34573</v>
      </c>
      <c r="S84" s="12">
        <v>0</v>
      </c>
      <c r="T84" s="12">
        <v>3300</v>
      </c>
      <c r="U84" s="12">
        <v>0</v>
      </c>
      <c r="V84" s="12">
        <v>27000</v>
      </c>
      <c r="W84" s="12">
        <v>179923.15</v>
      </c>
      <c r="X84" s="12">
        <v>275665.40000000002</v>
      </c>
      <c r="Y84" s="12">
        <v>0</v>
      </c>
      <c r="Z84" s="12">
        <v>111112.4</v>
      </c>
      <c r="AA84" s="12">
        <v>0</v>
      </c>
      <c r="AB84" s="12">
        <v>0</v>
      </c>
      <c r="AC84" s="12">
        <v>0</v>
      </c>
      <c r="AD84" s="12">
        <v>0</v>
      </c>
      <c r="AE84" s="12">
        <v>0</v>
      </c>
      <c r="AF84" s="12">
        <v>66100</v>
      </c>
      <c r="AG84" s="12">
        <v>20798.900000000001</v>
      </c>
      <c r="AH84" s="12">
        <v>205837.45</v>
      </c>
      <c r="AI84" s="12">
        <v>150995.4</v>
      </c>
      <c r="AJ84" s="12">
        <v>11441</v>
      </c>
      <c r="AK84" s="12">
        <v>12745.95</v>
      </c>
      <c r="AL84" s="12">
        <v>289725.3</v>
      </c>
      <c r="AM84" s="12">
        <v>0</v>
      </c>
      <c r="AN84" s="12">
        <v>504479.45</v>
      </c>
      <c r="AO84" s="12">
        <v>19656.5</v>
      </c>
      <c r="AP84" s="12">
        <v>0</v>
      </c>
      <c r="AQ84" s="12">
        <v>0</v>
      </c>
      <c r="AR84" s="12">
        <v>18591.8</v>
      </c>
      <c r="AS84" s="12">
        <v>268638.15000000002</v>
      </c>
      <c r="AT84" s="12">
        <v>95947.45</v>
      </c>
      <c r="AU84" s="12">
        <v>160703.9</v>
      </c>
      <c r="AV84" s="12">
        <v>22023.75</v>
      </c>
      <c r="AW84" s="12">
        <v>0</v>
      </c>
      <c r="AX84" s="12">
        <v>28542.44</v>
      </c>
      <c r="AY84" s="12">
        <v>0</v>
      </c>
      <c r="AZ84" s="12">
        <v>0</v>
      </c>
      <c r="BA84" s="12">
        <v>469860.15</v>
      </c>
      <c r="BB84" s="12">
        <v>157660</v>
      </c>
      <c r="BC84" s="12">
        <v>207888.24</v>
      </c>
      <c r="BD84" s="12">
        <v>0</v>
      </c>
      <c r="BE84" s="12">
        <v>214038.5</v>
      </c>
      <c r="BF84" s="12">
        <v>0</v>
      </c>
      <c r="BG84" s="75">
        <f t="shared" si="19"/>
        <v>5453163.2800000012</v>
      </c>
      <c r="BH84" s="75">
        <f t="shared" si="16"/>
        <v>2416376.5499999998</v>
      </c>
      <c r="BI84" s="75">
        <f t="shared" si="17"/>
        <v>579031.1</v>
      </c>
      <c r="BJ84" s="75">
        <f t="shared" si="18"/>
        <v>2457755.63</v>
      </c>
    </row>
    <row r="85" spans="3:62" x14ac:dyDescent="0.25">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75"/>
      <c r="BH85" s="75"/>
      <c r="BI85" s="75"/>
      <c r="BJ85" s="75"/>
    </row>
    <row r="86" spans="3:62" x14ac:dyDescent="0.25">
      <c r="C86" s="76">
        <v>144</v>
      </c>
      <c r="D86" s="76"/>
      <c r="E86" s="76" t="s">
        <v>249</v>
      </c>
      <c r="F86" s="96">
        <f>F87+F88+F89+F90+F91+F92+F93+F94+F95</f>
        <v>0</v>
      </c>
      <c r="G86" s="96">
        <f t="shared" ref="G86:BF86" si="22">G87+G88+G89+G90+G91+G92+G93+G94+G95</f>
        <v>0</v>
      </c>
      <c r="H86" s="96">
        <f t="shared" si="22"/>
        <v>0</v>
      </c>
      <c r="I86" s="96">
        <f t="shared" si="22"/>
        <v>0</v>
      </c>
      <c r="J86" s="96">
        <f t="shared" si="22"/>
        <v>0</v>
      </c>
      <c r="K86" s="96">
        <f t="shared" si="22"/>
        <v>0</v>
      </c>
      <c r="L86" s="96">
        <f t="shared" si="22"/>
        <v>0</v>
      </c>
      <c r="M86" s="96">
        <f t="shared" si="22"/>
        <v>1033800</v>
      </c>
      <c r="N86" s="96">
        <f t="shared" si="22"/>
        <v>116000</v>
      </c>
      <c r="O86" s="96">
        <f t="shared" si="22"/>
        <v>0</v>
      </c>
      <c r="P86" s="96">
        <f t="shared" si="22"/>
        <v>180802</v>
      </c>
      <c r="Q86" s="96">
        <f t="shared" si="22"/>
        <v>0</v>
      </c>
      <c r="R86" s="96">
        <f t="shared" si="22"/>
        <v>0</v>
      </c>
      <c r="S86" s="96">
        <f t="shared" si="22"/>
        <v>0</v>
      </c>
      <c r="T86" s="96">
        <f t="shared" si="22"/>
        <v>0</v>
      </c>
      <c r="U86" s="96">
        <f t="shared" si="22"/>
        <v>1</v>
      </c>
      <c r="V86" s="96">
        <f t="shared" si="22"/>
        <v>0</v>
      </c>
      <c r="W86" s="96">
        <f t="shared" si="22"/>
        <v>0</v>
      </c>
      <c r="X86" s="96">
        <f t="shared" si="22"/>
        <v>0</v>
      </c>
      <c r="Y86" s="96">
        <f t="shared" si="22"/>
        <v>0</v>
      </c>
      <c r="Z86" s="96">
        <f t="shared" si="22"/>
        <v>0</v>
      </c>
      <c r="AA86" s="96">
        <f t="shared" si="22"/>
        <v>0</v>
      </c>
      <c r="AB86" s="96">
        <f t="shared" si="22"/>
        <v>0</v>
      </c>
      <c r="AC86" s="96">
        <f t="shared" si="22"/>
        <v>0</v>
      </c>
      <c r="AD86" s="96">
        <f t="shared" si="22"/>
        <v>18000</v>
      </c>
      <c r="AE86" s="96">
        <f t="shared" si="22"/>
        <v>0</v>
      </c>
      <c r="AF86" s="96">
        <f t="shared" si="22"/>
        <v>0</v>
      </c>
      <c r="AG86" s="96">
        <f t="shared" si="22"/>
        <v>0</v>
      </c>
      <c r="AH86" s="96">
        <f t="shared" si="22"/>
        <v>0</v>
      </c>
      <c r="AI86" s="96">
        <f t="shared" si="22"/>
        <v>323316.59999999998</v>
      </c>
      <c r="AJ86" s="96">
        <f t="shared" si="22"/>
        <v>0</v>
      </c>
      <c r="AK86" s="96">
        <f t="shared" si="22"/>
        <v>0</v>
      </c>
      <c r="AL86" s="96">
        <f t="shared" si="22"/>
        <v>0</v>
      </c>
      <c r="AM86" s="96">
        <f t="shared" si="22"/>
        <v>0</v>
      </c>
      <c r="AN86" s="96">
        <f t="shared" si="22"/>
        <v>67200</v>
      </c>
      <c r="AO86" s="96">
        <f t="shared" si="22"/>
        <v>0</v>
      </c>
      <c r="AP86" s="96">
        <f t="shared" si="22"/>
        <v>24800</v>
      </c>
      <c r="AQ86" s="96">
        <f t="shared" si="22"/>
        <v>42200</v>
      </c>
      <c r="AR86" s="96">
        <f t="shared" si="22"/>
        <v>120500</v>
      </c>
      <c r="AS86" s="96">
        <f t="shared" si="22"/>
        <v>0</v>
      </c>
      <c r="AT86" s="96">
        <f t="shared" si="22"/>
        <v>121400</v>
      </c>
      <c r="AU86" s="96">
        <f t="shared" si="22"/>
        <v>200761.4</v>
      </c>
      <c r="AV86" s="96">
        <f t="shared" si="22"/>
        <v>0</v>
      </c>
      <c r="AW86" s="96">
        <f t="shared" si="22"/>
        <v>18400</v>
      </c>
      <c r="AX86" s="96">
        <f t="shared" si="22"/>
        <v>0</v>
      </c>
      <c r="AY86" s="96">
        <f t="shared" si="22"/>
        <v>0</v>
      </c>
      <c r="AZ86" s="96">
        <f t="shared" si="22"/>
        <v>0</v>
      </c>
      <c r="BA86" s="96">
        <f t="shared" si="22"/>
        <v>0</v>
      </c>
      <c r="BB86" s="96">
        <f t="shared" si="22"/>
        <v>9000</v>
      </c>
      <c r="BC86" s="96">
        <f t="shared" si="22"/>
        <v>53600</v>
      </c>
      <c r="BD86" s="96">
        <f t="shared" si="22"/>
        <v>0</v>
      </c>
      <c r="BE86" s="96">
        <f t="shared" si="22"/>
        <v>368000</v>
      </c>
      <c r="BF86" s="96">
        <f t="shared" si="22"/>
        <v>22500</v>
      </c>
      <c r="BG86" s="96">
        <f t="shared" si="19"/>
        <v>2720281</v>
      </c>
      <c r="BH86" s="96">
        <f t="shared" si="16"/>
        <v>1330603</v>
      </c>
      <c r="BI86" s="96">
        <f t="shared" si="17"/>
        <v>341316.6</v>
      </c>
      <c r="BJ86" s="96">
        <f t="shared" si="18"/>
        <v>1048361.4</v>
      </c>
    </row>
    <row r="87" spans="3:62" x14ac:dyDescent="0.25">
      <c r="D87" s="7">
        <v>1440</v>
      </c>
      <c r="E87" s="7" t="s">
        <v>365</v>
      </c>
      <c r="F87" s="12">
        <v>0</v>
      </c>
      <c r="G87" s="12">
        <v>0</v>
      </c>
      <c r="H87" s="12">
        <v>0</v>
      </c>
      <c r="I87" s="12">
        <v>0</v>
      </c>
      <c r="J87" s="12">
        <v>0</v>
      </c>
      <c r="K87" s="12">
        <v>0</v>
      </c>
      <c r="L87" s="12">
        <v>0</v>
      </c>
      <c r="M87" s="12">
        <v>0</v>
      </c>
      <c r="N87" s="12">
        <v>0</v>
      </c>
      <c r="O87" s="12">
        <v>0</v>
      </c>
      <c r="P87" s="12">
        <v>0</v>
      </c>
      <c r="Q87" s="12">
        <v>0</v>
      </c>
      <c r="R87" s="12">
        <v>0</v>
      </c>
      <c r="S87" s="12">
        <v>0</v>
      </c>
      <c r="T87" s="12">
        <v>0</v>
      </c>
      <c r="U87" s="12">
        <v>0</v>
      </c>
      <c r="V87" s="12">
        <v>0</v>
      </c>
      <c r="W87" s="12">
        <v>0</v>
      </c>
      <c r="X87" s="12">
        <v>0</v>
      </c>
      <c r="Y87" s="12">
        <v>0</v>
      </c>
      <c r="Z87" s="12">
        <v>0</v>
      </c>
      <c r="AA87" s="12">
        <v>0</v>
      </c>
      <c r="AB87" s="12">
        <v>0</v>
      </c>
      <c r="AC87" s="12">
        <v>0</v>
      </c>
      <c r="AD87" s="12">
        <v>0</v>
      </c>
      <c r="AE87" s="12">
        <v>0</v>
      </c>
      <c r="AF87" s="12">
        <v>0</v>
      </c>
      <c r="AG87" s="12">
        <v>0</v>
      </c>
      <c r="AH87" s="12">
        <v>0</v>
      </c>
      <c r="AI87" s="12">
        <v>0</v>
      </c>
      <c r="AJ87" s="12">
        <v>0</v>
      </c>
      <c r="AK87" s="12">
        <v>0</v>
      </c>
      <c r="AL87" s="12">
        <v>0</v>
      </c>
      <c r="AM87" s="12">
        <v>0</v>
      </c>
      <c r="AN87" s="12">
        <v>0</v>
      </c>
      <c r="AO87" s="12">
        <v>0</v>
      </c>
      <c r="AP87" s="12">
        <v>0</v>
      </c>
      <c r="AQ87" s="12">
        <v>0</v>
      </c>
      <c r="AR87" s="12">
        <v>0</v>
      </c>
      <c r="AS87" s="12">
        <v>0</v>
      </c>
      <c r="AT87" s="12">
        <v>0</v>
      </c>
      <c r="AU87" s="12">
        <v>0</v>
      </c>
      <c r="AV87" s="12">
        <v>0</v>
      </c>
      <c r="AW87" s="12">
        <v>0</v>
      </c>
      <c r="AX87" s="12">
        <v>0</v>
      </c>
      <c r="AY87" s="12">
        <v>0</v>
      </c>
      <c r="AZ87" s="12">
        <v>0</v>
      </c>
      <c r="BA87" s="12">
        <v>0</v>
      </c>
      <c r="BB87" s="12">
        <v>0</v>
      </c>
      <c r="BC87" s="12">
        <v>0</v>
      </c>
      <c r="BD87" s="12">
        <v>0</v>
      </c>
      <c r="BE87" s="12">
        <v>0</v>
      </c>
      <c r="BF87" s="12">
        <v>0</v>
      </c>
      <c r="BG87" s="75">
        <f t="shared" si="19"/>
        <v>0</v>
      </c>
      <c r="BH87" s="75">
        <f t="shared" si="16"/>
        <v>0</v>
      </c>
      <c r="BI87" s="75">
        <f t="shared" si="17"/>
        <v>0</v>
      </c>
      <c r="BJ87" s="75">
        <f t="shared" si="18"/>
        <v>0</v>
      </c>
    </row>
    <row r="88" spans="3:62" x14ac:dyDescent="0.25">
      <c r="D88" s="7">
        <v>1441</v>
      </c>
      <c r="E88" s="7" t="s">
        <v>367</v>
      </c>
      <c r="F88" s="12">
        <v>0</v>
      </c>
      <c r="G88" s="12">
        <v>0</v>
      </c>
      <c r="H88" s="12">
        <v>0</v>
      </c>
      <c r="I88" s="12">
        <v>0</v>
      </c>
      <c r="J88" s="12">
        <v>0</v>
      </c>
      <c r="K88" s="12">
        <v>0</v>
      </c>
      <c r="L88" s="12">
        <v>0</v>
      </c>
      <c r="M88" s="12">
        <v>0</v>
      </c>
      <c r="N88" s="12">
        <v>0</v>
      </c>
      <c r="O88" s="12">
        <v>0</v>
      </c>
      <c r="P88" s="12">
        <v>0</v>
      </c>
      <c r="Q88" s="12">
        <v>0</v>
      </c>
      <c r="R88" s="12">
        <v>0</v>
      </c>
      <c r="S88" s="12">
        <v>0</v>
      </c>
      <c r="T88" s="12">
        <v>0</v>
      </c>
      <c r="U88" s="12">
        <v>0</v>
      </c>
      <c r="V88" s="12">
        <v>0</v>
      </c>
      <c r="W88" s="12">
        <v>0</v>
      </c>
      <c r="X88" s="12">
        <v>0</v>
      </c>
      <c r="Y88" s="12">
        <v>0</v>
      </c>
      <c r="Z88" s="12">
        <v>0</v>
      </c>
      <c r="AA88" s="12">
        <v>0</v>
      </c>
      <c r="AB88" s="12">
        <v>0</v>
      </c>
      <c r="AC88" s="12">
        <v>0</v>
      </c>
      <c r="AD88" s="12">
        <v>0</v>
      </c>
      <c r="AE88" s="12">
        <v>0</v>
      </c>
      <c r="AF88" s="12">
        <v>0</v>
      </c>
      <c r="AG88" s="12">
        <v>0</v>
      </c>
      <c r="AH88" s="12">
        <v>0</v>
      </c>
      <c r="AI88" s="12">
        <v>0</v>
      </c>
      <c r="AJ88" s="12">
        <v>0</v>
      </c>
      <c r="AK88" s="12">
        <v>0</v>
      </c>
      <c r="AL88" s="12">
        <v>0</v>
      </c>
      <c r="AM88" s="12">
        <v>0</v>
      </c>
      <c r="AN88" s="12">
        <v>0</v>
      </c>
      <c r="AO88" s="12">
        <v>0</v>
      </c>
      <c r="AP88" s="12">
        <v>0</v>
      </c>
      <c r="AQ88" s="12">
        <v>0</v>
      </c>
      <c r="AR88" s="12">
        <v>0</v>
      </c>
      <c r="AS88" s="12">
        <v>0</v>
      </c>
      <c r="AT88" s="12">
        <v>0</v>
      </c>
      <c r="AU88" s="12">
        <v>0</v>
      </c>
      <c r="AV88" s="12">
        <v>0</v>
      </c>
      <c r="AW88" s="12">
        <v>0</v>
      </c>
      <c r="AX88" s="12">
        <v>0</v>
      </c>
      <c r="AY88" s="12">
        <v>0</v>
      </c>
      <c r="AZ88" s="12">
        <v>0</v>
      </c>
      <c r="BA88" s="12">
        <v>0</v>
      </c>
      <c r="BB88" s="12">
        <v>0</v>
      </c>
      <c r="BC88" s="12">
        <v>0</v>
      </c>
      <c r="BD88" s="12">
        <v>0</v>
      </c>
      <c r="BE88" s="12">
        <v>0</v>
      </c>
      <c r="BF88" s="12">
        <v>0</v>
      </c>
      <c r="BG88" s="75">
        <f t="shared" si="19"/>
        <v>0</v>
      </c>
      <c r="BH88" s="75">
        <f t="shared" si="16"/>
        <v>0</v>
      </c>
      <c r="BI88" s="75">
        <f t="shared" si="17"/>
        <v>0</v>
      </c>
      <c r="BJ88" s="75">
        <f t="shared" si="18"/>
        <v>0</v>
      </c>
    </row>
    <row r="89" spans="3:62" x14ac:dyDescent="0.25">
      <c r="D89" s="7">
        <v>1442</v>
      </c>
      <c r="E89" s="7" t="s">
        <v>366</v>
      </c>
      <c r="F89" s="12">
        <v>0</v>
      </c>
      <c r="G89" s="12">
        <v>0</v>
      </c>
      <c r="H89" s="12">
        <v>0</v>
      </c>
      <c r="I89" s="12">
        <v>0</v>
      </c>
      <c r="J89" s="12">
        <v>0</v>
      </c>
      <c r="K89" s="12">
        <v>0</v>
      </c>
      <c r="L89" s="12">
        <v>0</v>
      </c>
      <c r="M89" s="12">
        <v>1033800</v>
      </c>
      <c r="N89" s="12">
        <v>32000</v>
      </c>
      <c r="O89" s="12">
        <v>0</v>
      </c>
      <c r="P89" s="12">
        <v>20790</v>
      </c>
      <c r="Q89" s="12">
        <v>0</v>
      </c>
      <c r="R89" s="12">
        <v>0</v>
      </c>
      <c r="S89" s="12">
        <v>0</v>
      </c>
      <c r="T89" s="12">
        <v>0</v>
      </c>
      <c r="U89" s="12">
        <v>1</v>
      </c>
      <c r="V89" s="12">
        <v>0</v>
      </c>
      <c r="W89" s="12">
        <v>0</v>
      </c>
      <c r="X89" s="12">
        <v>0</v>
      </c>
      <c r="Y89" s="12">
        <v>0</v>
      </c>
      <c r="Z89" s="12">
        <v>0</v>
      </c>
      <c r="AA89" s="12">
        <v>0</v>
      </c>
      <c r="AB89" s="12">
        <v>0</v>
      </c>
      <c r="AC89" s="12">
        <v>0</v>
      </c>
      <c r="AD89" s="12">
        <v>18000</v>
      </c>
      <c r="AE89" s="12">
        <v>0</v>
      </c>
      <c r="AF89" s="12">
        <v>0</v>
      </c>
      <c r="AG89" s="12">
        <v>0</v>
      </c>
      <c r="AH89" s="12">
        <v>0</v>
      </c>
      <c r="AI89" s="12">
        <v>0</v>
      </c>
      <c r="AJ89" s="12">
        <v>0</v>
      </c>
      <c r="AK89" s="12">
        <v>0</v>
      </c>
      <c r="AL89" s="12">
        <v>0</v>
      </c>
      <c r="AM89" s="12">
        <v>0</v>
      </c>
      <c r="AN89" s="12">
        <v>67200</v>
      </c>
      <c r="AO89" s="12">
        <v>0</v>
      </c>
      <c r="AP89" s="12">
        <v>24800</v>
      </c>
      <c r="AQ89" s="12">
        <v>42200</v>
      </c>
      <c r="AR89" s="12">
        <v>120500</v>
      </c>
      <c r="AS89" s="12">
        <v>0</v>
      </c>
      <c r="AT89" s="12">
        <v>121400</v>
      </c>
      <c r="AU89" s="12">
        <v>200761.4</v>
      </c>
      <c r="AV89" s="12">
        <v>0</v>
      </c>
      <c r="AW89" s="12">
        <v>18400</v>
      </c>
      <c r="AX89" s="12">
        <v>0</v>
      </c>
      <c r="AY89" s="12">
        <v>0</v>
      </c>
      <c r="AZ89" s="12">
        <v>0</v>
      </c>
      <c r="BA89" s="12">
        <v>0</v>
      </c>
      <c r="BB89" s="12">
        <v>9000</v>
      </c>
      <c r="BC89" s="12">
        <v>53600</v>
      </c>
      <c r="BD89" s="12">
        <v>0</v>
      </c>
      <c r="BE89" s="12">
        <v>368000</v>
      </c>
      <c r="BF89" s="12">
        <v>22500</v>
      </c>
      <c r="BG89" s="75">
        <f t="shared" si="19"/>
        <v>2152952.4</v>
      </c>
      <c r="BH89" s="75">
        <f t="shared" si="16"/>
        <v>1086591</v>
      </c>
      <c r="BI89" s="75">
        <f t="shared" si="17"/>
        <v>18000</v>
      </c>
      <c r="BJ89" s="75">
        <f t="shared" si="18"/>
        <v>1048361.4</v>
      </c>
    </row>
    <row r="90" spans="3:62" x14ac:dyDescent="0.25">
      <c r="D90" s="7">
        <v>1443</v>
      </c>
      <c r="E90" s="7" t="s">
        <v>368</v>
      </c>
      <c r="F90" s="12">
        <v>0</v>
      </c>
      <c r="G90" s="12">
        <v>0</v>
      </c>
      <c r="H90" s="12">
        <v>0</v>
      </c>
      <c r="I90" s="12">
        <v>0</v>
      </c>
      <c r="J90" s="12">
        <v>0</v>
      </c>
      <c r="K90" s="12">
        <v>0</v>
      </c>
      <c r="L90" s="12">
        <v>0</v>
      </c>
      <c r="M90" s="12">
        <v>0</v>
      </c>
      <c r="N90" s="12">
        <v>0</v>
      </c>
      <c r="O90" s="12">
        <v>0</v>
      </c>
      <c r="P90" s="12">
        <v>0</v>
      </c>
      <c r="Q90" s="12">
        <v>0</v>
      </c>
      <c r="R90" s="12">
        <v>0</v>
      </c>
      <c r="S90" s="12">
        <v>0</v>
      </c>
      <c r="T90" s="12">
        <v>0</v>
      </c>
      <c r="U90" s="12">
        <v>0</v>
      </c>
      <c r="V90" s="12">
        <v>0</v>
      </c>
      <c r="W90" s="12">
        <v>0</v>
      </c>
      <c r="X90" s="12">
        <v>0</v>
      </c>
      <c r="Y90" s="12">
        <v>0</v>
      </c>
      <c r="Z90" s="12">
        <v>0</v>
      </c>
      <c r="AA90" s="12">
        <v>0</v>
      </c>
      <c r="AB90" s="12">
        <v>0</v>
      </c>
      <c r="AC90" s="12">
        <v>0</v>
      </c>
      <c r="AD90" s="12">
        <v>0</v>
      </c>
      <c r="AE90" s="12">
        <v>0</v>
      </c>
      <c r="AF90" s="12">
        <v>0</v>
      </c>
      <c r="AG90" s="12">
        <v>0</v>
      </c>
      <c r="AH90" s="12">
        <v>0</v>
      </c>
      <c r="AI90" s="12">
        <v>0</v>
      </c>
      <c r="AJ90" s="12">
        <v>0</v>
      </c>
      <c r="AK90" s="12">
        <v>0</v>
      </c>
      <c r="AL90" s="12">
        <v>0</v>
      </c>
      <c r="AM90" s="12">
        <v>0</v>
      </c>
      <c r="AN90" s="12">
        <v>0</v>
      </c>
      <c r="AO90" s="12">
        <v>0</v>
      </c>
      <c r="AP90" s="12">
        <v>0</v>
      </c>
      <c r="AQ90" s="12">
        <v>0</v>
      </c>
      <c r="AR90" s="12">
        <v>0</v>
      </c>
      <c r="AS90" s="12">
        <v>0</v>
      </c>
      <c r="AT90" s="12">
        <v>0</v>
      </c>
      <c r="AU90" s="12">
        <v>0</v>
      </c>
      <c r="AV90" s="12">
        <v>0</v>
      </c>
      <c r="AW90" s="12">
        <v>0</v>
      </c>
      <c r="AX90" s="12">
        <v>0</v>
      </c>
      <c r="AY90" s="12">
        <v>0</v>
      </c>
      <c r="AZ90" s="12">
        <v>0</v>
      </c>
      <c r="BA90" s="12">
        <v>0</v>
      </c>
      <c r="BB90" s="12">
        <v>0</v>
      </c>
      <c r="BC90" s="12">
        <v>0</v>
      </c>
      <c r="BD90" s="12">
        <v>0</v>
      </c>
      <c r="BE90" s="12">
        <v>0</v>
      </c>
      <c r="BF90" s="12">
        <v>0</v>
      </c>
      <c r="BG90" s="75">
        <f t="shared" si="19"/>
        <v>0</v>
      </c>
      <c r="BH90" s="75">
        <f t="shared" si="16"/>
        <v>0</v>
      </c>
      <c r="BI90" s="75">
        <f t="shared" si="17"/>
        <v>0</v>
      </c>
      <c r="BJ90" s="75">
        <f t="shared" si="18"/>
        <v>0</v>
      </c>
    </row>
    <row r="91" spans="3:62" x14ac:dyDescent="0.25">
      <c r="D91" s="7">
        <v>1444</v>
      </c>
      <c r="E91" s="7" t="s">
        <v>369</v>
      </c>
      <c r="F91" s="12">
        <v>0</v>
      </c>
      <c r="G91" s="12">
        <v>0</v>
      </c>
      <c r="H91" s="12">
        <v>0</v>
      </c>
      <c r="I91" s="12">
        <v>0</v>
      </c>
      <c r="J91" s="12">
        <v>0</v>
      </c>
      <c r="K91" s="12">
        <v>0</v>
      </c>
      <c r="L91" s="12">
        <v>0</v>
      </c>
      <c r="M91" s="12">
        <v>0</v>
      </c>
      <c r="N91" s="12">
        <v>0</v>
      </c>
      <c r="O91" s="12">
        <v>0</v>
      </c>
      <c r="P91" s="12">
        <v>0</v>
      </c>
      <c r="Q91" s="12">
        <v>0</v>
      </c>
      <c r="R91" s="12">
        <v>0</v>
      </c>
      <c r="S91" s="12">
        <v>0</v>
      </c>
      <c r="T91" s="12">
        <v>0</v>
      </c>
      <c r="U91" s="12">
        <v>0</v>
      </c>
      <c r="V91" s="12">
        <v>0</v>
      </c>
      <c r="W91" s="12">
        <v>0</v>
      </c>
      <c r="X91" s="12">
        <v>0</v>
      </c>
      <c r="Y91" s="12">
        <v>0</v>
      </c>
      <c r="Z91" s="12">
        <v>0</v>
      </c>
      <c r="AA91" s="12">
        <v>0</v>
      </c>
      <c r="AB91" s="12">
        <v>0</v>
      </c>
      <c r="AC91" s="12">
        <v>0</v>
      </c>
      <c r="AD91" s="12">
        <v>0</v>
      </c>
      <c r="AE91" s="12">
        <v>0</v>
      </c>
      <c r="AF91" s="12">
        <v>0</v>
      </c>
      <c r="AG91" s="12">
        <v>0</v>
      </c>
      <c r="AH91" s="12">
        <v>0</v>
      </c>
      <c r="AI91" s="12">
        <v>0</v>
      </c>
      <c r="AJ91" s="12">
        <v>0</v>
      </c>
      <c r="AK91" s="12">
        <v>0</v>
      </c>
      <c r="AL91" s="12">
        <v>0</v>
      </c>
      <c r="AM91" s="12">
        <v>0</v>
      </c>
      <c r="AN91" s="12">
        <v>0</v>
      </c>
      <c r="AO91" s="12">
        <v>0</v>
      </c>
      <c r="AP91" s="12">
        <v>0</v>
      </c>
      <c r="AQ91" s="12">
        <v>0</v>
      </c>
      <c r="AR91" s="12">
        <v>0</v>
      </c>
      <c r="AS91" s="12">
        <v>0</v>
      </c>
      <c r="AT91" s="12">
        <v>0</v>
      </c>
      <c r="AU91" s="12">
        <v>0</v>
      </c>
      <c r="AV91" s="12">
        <v>0</v>
      </c>
      <c r="AW91" s="12">
        <v>0</v>
      </c>
      <c r="AX91" s="12">
        <v>0</v>
      </c>
      <c r="AY91" s="12">
        <v>0</v>
      </c>
      <c r="AZ91" s="12">
        <v>0</v>
      </c>
      <c r="BA91" s="12">
        <v>0</v>
      </c>
      <c r="BB91" s="12">
        <v>0</v>
      </c>
      <c r="BC91" s="12">
        <v>0</v>
      </c>
      <c r="BD91" s="12">
        <v>0</v>
      </c>
      <c r="BE91" s="12">
        <v>0</v>
      </c>
      <c r="BF91" s="12">
        <v>0</v>
      </c>
      <c r="BG91" s="75">
        <f t="shared" si="19"/>
        <v>0</v>
      </c>
      <c r="BH91" s="75">
        <f t="shared" si="16"/>
        <v>0</v>
      </c>
      <c r="BI91" s="75">
        <f t="shared" si="17"/>
        <v>0</v>
      </c>
      <c r="BJ91" s="75">
        <f t="shared" si="18"/>
        <v>0</v>
      </c>
    </row>
    <row r="92" spans="3:62" x14ac:dyDescent="0.25">
      <c r="D92" s="7">
        <v>1445</v>
      </c>
      <c r="E92" s="7" t="s">
        <v>370</v>
      </c>
      <c r="F92" s="12">
        <v>0</v>
      </c>
      <c r="G92" s="12">
        <v>0</v>
      </c>
      <c r="H92" s="12">
        <v>0</v>
      </c>
      <c r="I92" s="12">
        <v>0</v>
      </c>
      <c r="J92" s="12">
        <v>0</v>
      </c>
      <c r="K92" s="12">
        <v>0</v>
      </c>
      <c r="L92" s="12">
        <v>0</v>
      </c>
      <c r="M92" s="12">
        <v>0</v>
      </c>
      <c r="N92" s="12">
        <v>84000</v>
      </c>
      <c r="O92" s="12">
        <v>0</v>
      </c>
      <c r="P92" s="12">
        <v>0</v>
      </c>
      <c r="Q92" s="12">
        <v>0</v>
      </c>
      <c r="R92" s="12">
        <v>0</v>
      </c>
      <c r="S92" s="12">
        <v>0</v>
      </c>
      <c r="T92" s="12">
        <v>0</v>
      </c>
      <c r="U92" s="12">
        <v>0</v>
      </c>
      <c r="V92" s="12">
        <v>0</v>
      </c>
      <c r="W92" s="12">
        <v>0</v>
      </c>
      <c r="X92" s="12">
        <v>0</v>
      </c>
      <c r="Y92" s="12">
        <v>0</v>
      </c>
      <c r="Z92" s="12">
        <v>0</v>
      </c>
      <c r="AA92" s="12">
        <v>0</v>
      </c>
      <c r="AB92" s="12">
        <v>0</v>
      </c>
      <c r="AC92" s="12">
        <v>0</v>
      </c>
      <c r="AD92" s="12">
        <v>0</v>
      </c>
      <c r="AE92" s="12">
        <v>0</v>
      </c>
      <c r="AF92" s="12">
        <v>0</v>
      </c>
      <c r="AG92" s="12">
        <v>0</v>
      </c>
      <c r="AH92" s="12">
        <v>0</v>
      </c>
      <c r="AI92" s="12">
        <v>323316.59999999998</v>
      </c>
      <c r="AJ92" s="12">
        <v>0</v>
      </c>
      <c r="AK92" s="12">
        <v>0</v>
      </c>
      <c r="AL92" s="12">
        <v>0</v>
      </c>
      <c r="AM92" s="12">
        <v>0</v>
      </c>
      <c r="AN92" s="12">
        <v>0</v>
      </c>
      <c r="AO92" s="12">
        <v>0</v>
      </c>
      <c r="AP92" s="12">
        <v>0</v>
      </c>
      <c r="AQ92" s="12">
        <v>0</v>
      </c>
      <c r="AR92" s="12">
        <v>0</v>
      </c>
      <c r="AS92" s="12">
        <v>0</v>
      </c>
      <c r="AT92" s="12">
        <v>0</v>
      </c>
      <c r="AU92" s="12">
        <v>0</v>
      </c>
      <c r="AV92" s="12">
        <v>0</v>
      </c>
      <c r="AW92" s="12">
        <v>0</v>
      </c>
      <c r="AX92" s="12">
        <v>0</v>
      </c>
      <c r="AY92" s="12">
        <v>0</v>
      </c>
      <c r="AZ92" s="12">
        <v>0</v>
      </c>
      <c r="BA92" s="12">
        <v>0</v>
      </c>
      <c r="BB92" s="12">
        <v>0</v>
      </c>
      <c r="BC92" s="12">
        <v>0</v>
      </c>
      <c r="BD92" s="12">
        <v>0</v>
      </c>
      <c r="BE92" s="12">
        <v>0</v>
      </c>
      <c r="BF92" s="12">
        <v>0</v>
      </c>
      <c r="BG92" s="75">
        <f t="shared" si="19"/>
        <v>407316.6</v>
      </c>
      <c r="BH92" s="75">
        <f t="shared" si="16"/>
        <v>84000</v>
      </c>
      <c r="BI92" s="75">
        <f t="shared" si="17"/>
        <v>323316.59999999998</v>
      </c>
      <c r="BJ92" s="75">
        <f t="shared" si="18"/>
        <v>0</v>
      </c>
    </row>
    <row r="93" spans="3:62" x14ac:dyDescent="0.25">
      <c r="D93" s="7">
        <v>1446</v>
      </c>
      <c r="E93" s="7" t="s">
        <v>371</v>
      </c>
      <c r="F93" s="12">
        <v>0</v>
      </c>
      <c r="G93" s="12">
        <v>0</v>
      </c>
      <c r="H93" s="12">
        <v>0</v>
      </c>
      <c r="I93" s="12">
        <v>0</v>
      </c>
      <c r="J93" s="12">
        <v>0</v>
      </c>
      <c r="K93" s="12">
        <v>0</v>
      </c>
      <c r="L93" s="12">
        <v>0</v>
      </c>
      <c r="M93" s="12">
        <v>0</v>
      </c>
      <c r="N93" s="12">
        <v>0</v>
      </c>
      <c r="O93" s="12">
        <v>0</v>
      </c>
      <c r="P93" s="12">
        <v>160012</v>
      </c>
      <c r="Q93" s="12">
        <v>0</v>
      </c>
      <c r="R93" s="12">
        <v>0</v>
      </c>
      <c r="S93" s="12">
        <v>0</v>
      </c>
      <c r="T93" s="12">
        <v>0</v>
      </c>
      <c r="U93" s="12">
        <v>0</v>
      </c>
      <c r="V93" s="12">
        <v>0</v>
      </c>
      <c r="W93" s="12">
        <v>0</v>
      </c>
      <c r="X93" s="12">
        <v>0</v>
      </c>
      <c r="Y93" s="12">
        <v>0</v>
      </c>
      <c r="Z93" s="12">
        <v>0</v>
      </c>
      <c r="AA93" s="12">
        <v>0</v>
      </c>
      <c r="AB93" s="12">
        <v>0</v>
      </c>
      <c r="AC93" s="12">
        <v>0</v>
      </c>
      <c r="AD93" s="12">
        <v>0</v>
      </c>
      <c r="AE93" s="12">
        <v>0</v>
      </c>
      <c r="AF93" s="12">
        <v>0</v>
      </c>
      <c r="AG93" s="12">
        <v>0</v>
      </c>
      <c r="AH93" s="12">
        <v>0</v>
      </c>
      <c r="AI93" s="12">
        <v>0</v>
      </c>
      <c r="AJ93" s="12">
        <v>0</v>
      </c>
      <c r="AK93" s="12">
        <v>0</v>
      </c>
      <c r="AL93" s="12">
        <v>0</v>
      </c>
      <c r="AM93" s="12">
        <v>0</v>
      </c>
      <c r="AN93" s="12">
        <v>0</v>
      </c>
      <c r="AO93" s="12">
        <v>0</v>
      </c>
      <c r="AP93" s="12">
        <v>0</v>
      </c>
      <c r="AQ93" s="12">
        <v>0</v>
      </c>
      <c r="AR93" s="12">
        <v>0</v>
      </c>
      <c r="AS93" s="12">
        <v>0</v>
      </c>
      <c r="AT93" s="12">
        <v>0</v>
      </c>
      <c r="AU93" s="12">
        <v>0</v>
      </c>
      <c r="AV93" s="12">
        <v>0</v>
      </c>
      <c r="AW93" s="12">
        <v>0</v>
      </c>
      <c r="AX93" s="12">
        <v>0</v>
      </c>
      <c r="AY93" s="12">
        <v>0</v>
      </c>
      <c r="AZ93" s="12">
        <v>0</v>
      </c>
      <c r="BA93" s="12">
        <v>0</v>
      </c>
      <c r="BB93" s="12">
        <v>0</v>
      </c>
      <c r="BC93" s="12">
        <v>0</v>
      </c>
      <c r="BD93" s="12">
        <v>0</v>
      </c>
      <c r="BE93" s="12">
        <v>0</v>
      </c>
      <c r="BF93" s="12">
        <v>0</v>
      </c>
      <c r="BG93" s="75">
        <f t="shared" si="19"/>
        <v>160012</v>
      </c>
      <c r="BH93" s="75">
        <f t="shared" si="16"/>
        <v>160012</v>
      </c>
      <c r="BI93" s="75">
        <f t="shared" si="17"/>
        <v>0</v>
      </c>
      <c r="BJ93" s="75">
        <f t="shared" si="18"/>
        <v>0</v>
      </c>
    </row>
    <row r="94" spans="3:62" x14ac:dyDescent="0.25">
      <c r="D94" s="7">
        <v>1447</v>
      </c>
      <c r="E94" s="7" t="s">
        <v>372</v>
      </c>
      <c r="F94" s="12">
        <v>0</v>
      </c>
      <c r="G94" s="12">
        <v>0</v>
      </c>
      <c r="H94" s="12">
        <v>0</v>
      </c>
      <c r="I94" s="12">
        <v>0</v>
      </c>
      <c r="J94" s="12">
        <v>0</v>
      </c>
      <c r="K94" s="12">
        <v>0</v>
      </c>
      <c r="L94" s="12">
        <v>0</v>
      </c>
      <c r="M94" s="12">
        <v>0</v>
      </c>
      <c r="N94" s="12">
        <v>0</v>
      </c>
      <c r="O94" s="12">
        <v>0</v>
      </c>
      <c r="P94" s="12">
        <v>0</v>
      </c>
      <c r="Q94" s="12">
        <v>0</v>
      </c>
      <c r="R94" s="12">
        <v>0</v>
      </c>
      <c r="S94" s="12">
        <v>0</v>
      </c>
      <c r="T94" s="12">
        <v>0</v>
      </c>
      <c r="U94" s="12">
        <v>0</v>
      </c>
      <c r="V94" s="12">
        <v>0</v>
      </c>
      <c r="W94" s="12">
        <v>0</v>
      </c>
      <c r="X94" s="12">
        <v>0</v>
      </c>
      <c r="Y94" s="12">
        <v>0</v>
      </c>
      <c r="Z94" s="12">
        <v>0</v>
      </c>
      <c r="AA94" s="12">
        <v>0</v>
      </c>
      <c r="AB94" s="12">
        <v>0</v>
      </c>
      <c r="AC94" s="12">
        <v>0</v>
      </c>
      <c r="AD94" s="12">
        <v>0</v>
      </c>
      <c r="AE94" s="12">
        <v>0</v>
      </c>
      <c r="AF94" s="12">
        <v>0</v>
      </c>
      <c r="AG94" s="12">
        <v>0</v>
      </c>
      <c r="AH94" s="12">
        <v>0</v>
      </c>
      <c r="AI94" s="12">
        <v>0</v>
      </c>
      <c r="AJ94" s="12">
        <v>0</v>
      </c>
      <c r="AK94" s="12">
        <v>0</v>
      </c>
      <c r="AL94" s="12">
        <v>0</v>
      </c>
      <c r="AM94" s="12">
        <v>0</v>
      </c>
      <c r="AN94" s="12">
        <v>0</v>
      </c>
      <c r="AO94" s="12">
        <v>0</v>
      </c>
      <c r="AP94" s="12">
        <v>0</v>
      </c>
      <c r="AQ94" s="12">
        <v>0</v>
      </c>
      <c r="AR94" s="12">
        <v>0</v>
      </c>
      <c r="AS94" s="12">
        <v>0</v>
      </c>
      <c r="AT94" s="12">
        <v>0</v>
      </c>
      <c r="AU94" s="12">
        <v>0</v>
      </c>
      <c r="AV94" s="12">
        <v>0</v>
      </c>
      <c r="AW94" s="12">
        <v>0</v>
      </c>
      <c r="AX94" s="12">
        <v>0</v>
      </c>
      <c r="AY94" s="12">
        <v>0</v>
      </c>
      <c r="AZ94" s="12">
        <v>0</v>
      </c>
      <c r="BA94" s="12">
        <v>0</v>
      </c>
      <c r="BB94" s="12">
        <v>0</v>
      </c>
      <c r="BC94" s="12">
        <v>0</v>
      </c>
      <c r="BD94" s="12">
        <v>0</v>
      </c>
      <c r="BE94" s="12">
        <v>0</v>
      </c>
      <c r="BF94" s="12">
        <v>0</v>
      </c>
      <c r="BG94" s="75">
        <f t="shared" si="19"/>
        <v>0</v>
      </c>
      <c r="BH94" s="75">
        <f t="shared" si="16"/>
        <v>0</v>
      </c>
      <c r="BI94" s="75">
        <f t="shared" si="17"/>
        <v>0</v>
      </c>
      <c r="BJ94" s="75">
        <f t="shared" si="18"/>
        <v>0</v>
      </c>
    </row>
    <row r="95" spans="3:62" x14ac:dyDescent="0.25">
      <c r="D95" s="7">
        <v>1448</v>
      </c>
      <c r="E95" s="7" t="s">
        <v>373</v>
      </c>
      <c r="F95" s="12">
        <v>0</v>
      </c>
      <c r="G95" s="12">
        <v>0</v>
      </c>
      <c r="H95" s="12">
        <v>0</v>
      </c>
      <c r="I95" s="12">
        <v>0</v>
      </c>
      <c r="J95" s="12">
        <v>0</v>
      </c>
      <c r="K95" s="12">
        <v>0</v>
      </c>
      <c r="L95" s="12">
        <v>0</v>
      </c>
      <c r="M95" s="12">
        <v>0</v>
      </c>
      <c r="N95" s="12">
        <v>0</v>
      </c>
      <c r="O95" s="12">
        <v>0</v>
      </c>
      <c r="P95" s="12">
        <v>0</v>
      </c>
      <c r="Q95" s="12">
        <v>0</v>
      </c>
      <c r="R95" s="12">
        <v>0</v>
      </c>
      <c r="S95" s="12">
        <v>0</v>
      </c>
      <c r="T95" s="12">
        <v>0</v>
      </c>
      <c r="U95" s="12">
        <v>0</v>
      </c>
      <c r="V95" s="12">
        <v>0</v>
      </c>
      <c r="W95" s="12">
        <v>0</v>
      </c>
      <c r="X95" s="12">
        <v>0</v>
      </c>
      <c r="Y95" s="12">
        <v>0</v>
      </c>
      <c r="Z95" s="12">
        <v>0</v>
      </c>
      <c r="AA95" s="12">
        <v>0</v>
      </c>
      <c r="AB95" s="12">
        <v>0</v>
      </c>
      <c r="AC95" s="12">
        <v>0</v>
      </c>
      <c r="AD95" s="12">
        <v>0</v>
      </c>
      <c r="AE95" s="12">
        <v>0</v>
      </c>
      <c r="AF95" s="12">
        <v>0</v>
      </c>
      <c r="AG95" s="12">
        <v>0</v>
      </c>
      <c r="AH95" s="12">
        <v>0</v>
      </c>
      <c r="AI95" s="12">
        <v>0</v>
      </c>
      <c r="AJ95" s="12">
        <v>0</v>
      </c>
      <c r="AK95" s="12">
        <v>0</v>
      </c>
      <c r="AL95" s="12">
        <v>0</v>
      </c>
      <c r="AM95" s="12">
        <v>0</v>
      </c>
      <c r="AN95" s="12">
        <v>0</v>
      </c>
      <c r="AO95" s="12">
        <v>0</v>
      </c>
      <c r="AP95" s="12">
        <v>0</v>
      </c>
      <c r="AQ95" s="12">
        <v>0</v>
      </c>
      <c r="AR95" s="12">
        <v>0</v>
      </c>
      <c r="AS95" s="12">
        <v>0</v>
      </c>
      <c r="AT95" s="12">
        <v>0</v>
      </c>
      <c r="AU95" s="12">
        <v>0</v>
      </c>
      <c r="AV95" s="12">
        <v>0</v>
      </c>
      <c r="AW95" s="12">
        <v>0</v>
      </c>
      <c r="AX95" s="12">
        <v>0</v>
      </c>
      <c r="AY95" s="12">
        <v>0</v>
      </c>
      <c r="AZ95" s="12">
        <v>0</v>
      </c>
      <c r="BA95" s="12">
        <v>0</v>
      </c>
      <c r="BB95" s="12">
        <v>0</v>
      </c>
      <c r="BC95" s="12">
        <v>0</v>
      </c>
      <c r="BD95" s="12">
        <v>0</v>
      </c>
      <c r="BE95" s="12">
        <v>0</v>
      </c>
      <c r="BF95" s="12">
        <v>0</v>
      </c>
      <c r="BG95" s="75">
        <f t="shared" si="19"/>
        <v>0</v>
      </c>
      <c r="BH95" s="75">
        <f t="shared" si="16"/>
        <v>0</v>
      </c>
      <c r="BI95" s="75">
        <f t="shared" si="17"/>
        <v>0</v>
      </c>
      <c r="BJ95" s="75">
        <f t="shared" si="18"/>
        <v>0</v>
      </c>
    </row>
    <row r="96" spans="3:62" x14ac:dyDescent="0.25">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75"/>
      <c r="BH96" s="75"/>
      <c r="BI96" s="75"/>
      <c r="BJ96" s="75"/>
    </row>
    <row r="97" spans="3:62" x14ac:dyDescent="0.25">
      <c r="C97" s="76">
        <v>145</v>
      </c>
      <c r="D97" s="76"/>
      <c r="E97" s="76" t="s">
        <v>376</v>
      </c>
      <c r="F97" s="96">
        <f>F98+F99+F100+F101+F102+F103+F104+F105+F106</f>
        <v>0</v>
      </c>
      <c r="G97" s="96">
        <f t="shared" ref="G97:BF97" si="23">G98+G99+G100+G101+G102+G103+G104+G105+G106</f>
        <v>0</v>
      </c>
      <c r="H97" s="96">
        <f t="shared" si="23"/>
        <v>0</v>
      </c>
      <c r="I97" s="96">
        <f t="shared" si="23"/>
        <v>0</v>
      </c>
      <c r="J97" s="96">
        <f t="shared" si="23"/>
        <v>0</v>
      </c>
      <c r="K97" s="96">
        <f t="shared" si="23"/>
        <v>45603</v>
      </c>
      <c r="L97" s="96">
        <f t="shared" si="23"/>
        <v>0</v>
      </c>
      <c r="M97" s="96">
        <f t="shared" si="23"/>
        <v>2</v>
      </c>
      <c r="N97" s="96">
        <f t="shared" si="23"/>
        <v>78600</v>
      </c>
      <c r="O97" s="96">
        <f t="shared" si="23"/>
        <v>0</v>
      </c>
      <c r="P97" s="96">
        <f t="shared" si="23"/>
        <v>22040</v>
      </c>
      <c r="Q97" s="96">
        <f t="shared" si="23"/>
        <v>0</v>
      </c>
      <c r="R97" s="96">
        <f t="shared" si="23"/>
        <v>9882</v>
      </c>
      <c r="S97" s="96">
        <f t="shared" si="23"/>
        <v>0</v>
      </c>
      <c r="T97" s="96">
        <f t="shared" si="23"/>
        <v>0</v>
      </c>
      <c r="U97" s="96">
        <f t="shared" si="23"/>
        <v>0</v>
      </c>
      <c r="V97" s="96">
        <f t="shared" si="23"/>
        <v>57400</v>
      </c>
      <c r="W97" s="96">
        <f t="shared" si="23"/>
        <v>0</v>
      </c>
      <c r="X97" s="96">
        <f t="shared" si="23"/>
        <v>95000</v>
      </c>
      <c r="Y97" s="96">
        <f t="shared" si="23"/>
        <v>12</v>
      </c>
      <c r="Z97" s="96">
        <f t="shared" si="23"/>
        <v>462613</v>
      </c>
      <c r="AA97" s="96">
        <f t="shared" si="23"/>
        <v>0</v>
      </c>
      <c r="AB97" s="96">
        <f t="shared" si="23"/>
        <v>0</v>
      </c>
      <c r="AC97" s="96">
        <f t="shared" si="23"/>
        <v>0</v>
      </c>
      <c r="AD97" s="96">
        <f t="shared" si="23"/>
        <v>148150</v>
      </c>
      <c r="AE97" s="96">
        <f t="shared" si="23"/>
        <v>0</v>
      </c>
      <c r="AF97" s="96">
        <f t="shared" si="23"/>
        <v>10</v>
      </c>
      <c r="AG97" s="96">
        <f t="shared" si="23"/>
        <v>10</v>
      </c>
      <c r="AH97" s="96">
        <f t="shared" si="23"/>
        <v>0</v>
      </c>
      <c r="AI97" s="96">
        <f t="shared" si="23"/>
        <v>188681.9</v>
      </c>
      <c r="AJ97" s="96">
        <f t="shared" si="23"/>
        <v>7434</v>
      </c>
      <c r="AK97" s="96">
        <f t="shared" si="23"/>
        <v>0</v>
      </c>
      <c r="AL97" s="96">
        <f t="shared" si="23"/>
        <v>0</v>
      </c>
      <c r="AM97" s="96">
        <f t="shared" si="23"/>
        <v>0</v>
      </c>
      <c r="AN97" s="96">
        <f t="shared" si="23"/>
        <v>3767</v>
      </c>
      <c r="AO97" s="96">
        <f t="shared" si="23"/>
        <v>2906</v>
      </c>
      <c r="AP97" s="96">
        <f t="shared" si="23"/>
        <v>3</v>
      </c>
      <c r="AQ97" s="96">
        <f t="shared" si="23"/>
        <v>3422</v>
      </c>
      <c r="AR97" s="96">
        <f t="shared" si="23"/>
        <v>4</v>
      </c>
      <c r="AS97" s="96">
        <f t="shared" si="23"/>
        <v>100005</v>
      </c>
      <c r="AT97" s="96">
        <f t="shared" si="23"/>
        <v>502</v>
      </c>
      <c r="AU97" s="96">
        <f t="shared" si="23"/>
        <v>24</v>
      </c>
      <c r="AV97" s="96">
        <f t="shared" si="23"/>
        <v>2553</v>
      </c>
      <c r="AW97" s="96">
        <f t="shared" si="23"/>
        <v>300000</v>
      </c>
      <c r="AX97" s="96">
        <f t="shared" si="23"/>
        <v>10000</v>
      </c>
      <c r="AY97" s="96">
        <f t="shared" si="23"/>
        <v>0</v>
      </c>
      <c r="AZ97" s="96">
        <f t="shared" si="23"/>
        <v>0</v>
      </c>
      <c r="BA97" s="96">
        <f t="shared" si="23"/>
        <v>184005</v>
      </c>
      <c r="BB97" s="96">
        <f t="shared" si="23"/>
        <v>0</v>
      </c>
      <c r="BC97" s="96">
        <f t="shared" si="23"/>
        <v>1161</v>
      </c>
      <c r="BD97" s="96">
        <f t="shared" si="23"/>
        <v>0</v>
      </c>
      <c r="BE97" s="96">
        <f t="shared" si="23"/>
        <v>3205052.49</v>
      </c>
      <c r="BF97" s="96">
        <f t="shared" si="23"/>
        <v>0</v>
      </c>
      <c r="BG97" s="96">
        <f t="shared" si="19"/>
        <v>4928842.3900000006</v>
      </c>
      <c r="BH97" s="96">
        <f t="shared" si="16"/>
        <v>308527</v>
      </c>
      <c r="BI97" s="96">
        <f t="shared" si="17"/>
        <v>806910.9</v>
      </c>
      <c r="BJ97" s="96">
        <f t="shared" si="18"/>
        <v>3813404.49</v>
      </c>
    </row>
    <row r="98" spans="3:62" x14ac:dyDescent="0.25">
      <c r="D98" s="7">
        <v>1450</v>
      </c>
      <c r="E98" s="7" t="s">
        <v>375</v>
      </c>
      <c r="F98" s="12">
        <v>0</v>
      </c>
      <c r="G98" s="12">
        <v>0</v>
      </c>
      <c r="H98" s="12">
        <v>0</v>
      </c>
      <c r="I98" s="12">
        <v>0</v>
      </c>
      <c r="J98" s="12">
        <v>0</v>
      </c>
      <c r="K98" s="12">
        <v>0</v>
      </c>
      <c r="L98" s="12">
        <v>0</v>
      </c>
      <c r="M98" s="12">
        <v>0</v>
      </c>
      <c r="N98" s="12">
        <v>0</v>
      </c>
      <c r="O98" s="12">
        <v>0</v>
      </c>
      <c r="P98" s="12">
        <v>0</v>
      </c>
      <c r="Q98" s="12">
        <v>0</v>
      </c>
      <c r="R98" s="12">
        <v>0</v>
      </c>
      <c r="S98" s="12">
        <v>0</v>
      </c>
      <c r="T98" s="12">
        <v>0</v>
      </c>
      <c r="U98" s="12">
        <v>0</v>
      </c>
      <c r="V98" s="12">
        <v>0</v>
      </c>
      <c r="W98" s="12">
        <v>0</v>
      </c>
      <c r="X98" s="12">
        <v>0</v>
      </c>
      <c r="Y98" s="12">
        <v>0</v>
      </c>
      <c r="Z98" s="12">
        <v>0</v>
      </c>
      <c r="AA98" s="12">
        <v>0</v>
      </c>
      <c r="AB98" s="12">
        <v>0</v>
      </c>
      <c r="AC98" s="12">
        <v>0</v>
      </c>
      <c r="AD98" s="12">
        <v>0</v>
      </c>
      <c r="AE98" s="12">
        <v>0</v>
      </c>
      <c r="AF98" s="12">
        <v>0</v>
      </c>
      <c r="AG98" s="12">
        <v>0</v>
      </c>
      <c r="AH98" s="12">
        <v>0</v>
      </c>
      <c r="AI98" s="12">
        <v>0</v>
      </c>
      <c r="AJ98" s="12">
        <v>0</v>
      </c>
      <c r="AK98" s="12">
        <v>0</v>
      </c>
      <c r="AL98" s="12">
        <v>0</v>
      </c>
      <c r="AM98" s="12">
        <v>0</v>
      </c>
      <c r="AN98" s="12">
        <v>0</v>
      </c>
      <c r="AO98" s="12">
        <v>0</v>
      </c>
      <c r="AP98" s="12">
        <v>0</v>
      </c>
      <c r="AQ98" s="12">
        <v>0</v>
      </c>
      <c r="AR98" s="12">
        <v>0</v>
      </c>
      <c r="AS98" s="12">
        <v>0</v>
      </c>
      <c r="AT98" s="12">
        <v>0</v>
      </c>
      <c r="AU98" s="12">
        <v>1</v>
      </c>
      <c r="AV98" s="12">
        <v>0</v>
      </c>
      <c r="AW98" s="12">
        <v>0</v>
      </c>
      <c r="AX98" s="12">
        <v>0</v>
      </c>
      <c r="AY98" s="12">
        <v>0</v>
      </c>
      <c r="AZ98" s="12">
        <v>0</v>
      </c>
      <c r="BA98" s="12">
        <v>0</v>
      </c>
      <c r="BB98" s="12">
        <v>0</v>
      </c>
      <c r="BC98" s="12">
        <v>0</v>
      </c>
      <c r="BD98" s="12">
        <v>0</v>
      </c>
      <c r="BE98" s="12">
        <v>0</v>
      </c>
      <c r="BF98" s="12">
        <v>0</v>
      </c>
      <c r="BG98" s="75">
        <f t="shared" si="19"/>
        <v>1</v>
      </c>
      <c r="BH98" s="75">
        <f t="shared" si="16"/>
        <v>0</v>
      </c>
      <c r="BI98" s="75">
        <f t="shared" si="17"/>
        <v>0</v>
      </c>
      <c r="BJ98" s="75">
        <f t="shared" si="18"/>
        <v>1</v>
      </c>
    </row>
    <row r="99" spans="3:62" x14ac:dyDescent="0.25">
      <c r="D99" s="7">
        <v>1451</v>
      </c>
      <c r="E99" s="7" t="s">
        <v>374</v>
      </c>
      <c r="F99" s="12">
        <v>0</v>
      </c>
      <c r="G99" s="12">
        <v>0</v>
      </c>
      <c r="H99" s="12">
        <v>0</v>
      </c>
      <c r="I99" s="12">
        <v>0</v>
      </c>
      <c r="J99" s="12">
        <v>0</v>
      </c>
      <c r="K99" s="12">
        <v>0</v>
      </c>
      <c r="L99" s="12">
        <v>0</v>
      </c>
      <c r="M99" s="12">
        <v>0</v>
      </c>
      <c r="N99" s="12">
        <v>0</v>
      </c>
      <c r="O99" s="12">
        <v>0</v>
      </c>
      <c r="P99" s="12">
        <v>0</v>
      </c>
      <c r="Q99" s="12">
        <v>0</v>
      </c>
      <c r="R99" s="12">
        <v>0</v>
      </c>
      <c r="S99" s="12">
        <v>0</v>
      </c>
      <c r="T99" s="12">
        <v>0</v>
      </c>
      <c r="U99" s="12">
        <v>0</v>
      </c>
      <c r="V99" s="12">
        <v>0</v>
      </c>
      <c r="W99" s="12">
        <v>0</v>
      </c>
      <c r="X99" s="12">
        <v>0</v>
      </c>
      <c r="Y99" s="12">
        <v>0</v>
      </c>
      <c r="Z99" s="12">
        <v>0</v>
      </c>
      <c r="AA99" s="12">
        <v>0</v>
      </c>
      <c r="AB99" s="12">
        <v>0</v>
      </c>
      <c r="AC99" s="12">
        <v>0</v>
      </c>
      <c r="AD99" s="12">
        <v>0</v>
      </c>
      <c r="AE99" s="12">
        <v>0</v>
      </c>
      <c r="AF99" s="12">
        <v>0</v>
      </c>
      <c r="AG99" s="12">
        <v>0</v>
      </c>
      <c r="AH99" s="12">
        <v>0</v>
      </c>
      <c r="AI99" s="12">
        <v>0</v>
      </c>
      <c r="AJ99" s="12">
        <v>0</v>
      </c>
      <c r="AK99" s="12">
        <v>0</v>
      </c>
      <c r="AL99" s="12">
        <v>0</v>
      </c>
      <c r="AM99" s="12">
        <v>0</v>
      </c>
      <c r="AN99" s="12">
        <v>0</v>
      </c>
      <c r="AO99" s="12">
        <v>0</v>
      </c>
      <c r="AP99" s="12">
        <v>0</v>
      </c>
      <c r="AQ99" s="12">
        <v>0</v>
      </c>
      <c r="AR99" s="12">
        <v>0</v>
      </c>
      <c r="AS99" s="12">
        <v>0</v>
      </c>
      <c r="AT99" s="12">
        <v>0</v>
      </c>
      <c r="AU99" s="12">
        <v>0</v>
      </c>
      <c r="AV99" s="12">
        <v>0</v>
      </c>
      <c r="AW99" s="12">
        <v>0</v>
      </c>
      <c r="AX99" s="12">
        <v>0</v>
      </c>
      <c r="AY99" s="12">
        <v>0</v>
      </c>
      <c r="AZ99" s="12">
        <v>0</v>
      </c>
      <c r="BA99" s="12">
        <v>0</v>
      </c>
      <c r="BB99" s="12">
        <v>0</v>
      </c>
      <c r="BC99" s="12">
        <v>0</v>
      </c>
      <c r="BD99" s="12">
        <v>0</v>
      </c>
      <c r="BE99" s="12">
        <v>0</v>
      </c>
      <c r="BF99" s="12">
        <v>0</v>
      </c>
      <c r="BG99" s="75">
        <f t="shared" si="19"/>
        <v>0</v>
      </c>
      <c r="BH99" s="75">
        <f t="shared" si="16"/>
        <v>0</v>
      </c>
      <c r="BI99" s="75">
        <f t="shared" si="17"/>
        <v>0</v>
      </c>
      <c r="BJ99" s="75">
        <f t="shared" si="18"/>
        <v>0</v>
      </c>
    </row>
    <row r="100" spans="3:62" x14ac:dyDescent="0.25">
      <c r="D100" s="7">
        <v>1452</v>
      </c>
      <c r="E100" s="7" t="s">
        <v>377</v>
      </c>
      <c r="F100" s="12">
        <v>0</v>
      </c>
      <c r="G100" s="12">
        <v>0</v>
      </c>
      <c r="H100" s="12">
        <v>0</v>
      </c>
      <c r="I100" s="12">
        <v>0</v>
      </c>
      <c r="J100" s="12">
        <v>0</v>
      </c>
      <c r="K100" s="12">
        <v>0</v>
      </c>
      <c r="L100" s="12">
        <v>0</v>
      </c>
      <c r="M100" s="12">
        <v>0</v>
      </c>
      <c r="N100" s="12">
        <v>75000</v>
      </c>
      <c r="O100" s="12">
        <v>0</v>
      </c>
      <c r="P100" s="12">
        <v>0</v>
      </c>
      <c r="Q100" s="12">
        <v>0</v>
      </c>
      <c r="R100" s="12">
        <v>9882</v>
      </c>
      <c r="S100" s="12">
        <v>0</v>
      </c>
      <c r="T100" s="12">
        <v>0</v>
      </c>
      <c r="U100" s="12">
        <v>0</v>
      </c>
      <c r="V100" s="12">
        <v>0</v>
      </c>
      <c r="W100" s="12">
        <v>0</v>
      </c>
      <c r="X100" s="12">
        <v>95000</v>
      </c>
      <c r="Y100" s="12">
        <v>0</v>
      </c>
      <c r="Z100" s="12">
        <v>0</v>
      </c>
      <c r="AA100" s="12">
        <v>0</v>
      </c>
      <c r="AB100" s="12">
        <v>0</v>
      </c>
      <c r="AC100" s="12">
        <v>0</v>
      </c>
      <c r="AD100" s="12">
        <v>0</v>
      </c>
      <c r="AE100" s="12">
        <v>0</v>
      </c>
      <c r="AF100" s="12">
        <v>0</v>
      </c>
      <c r="AG100" s="12">
        <v>0</v>
      </c>
      <c r="AH100" s="12">
        <v>0</v>
      </c>
      <c r="AI100" s="12">
        <v>0</v>
      </c>
      <c r="AJ100" s="12">
        <v>0</v>
      </c>
      <c r="AK100" s="12">
        <v>0</v>
      </c>
      <c r="AL100" s="12">
        <v>0</v>
      </c>
      <c r="AM100" s="12">
        <v>0</v>
      </c>
      <c r="AN100" s="12">
        <v>0</v>
      </c>
      <c r="AO100" s="12">
        <v>0</v>
      </c>
      <c r="AP100" s="12">
        <v>3</v>
      </c>
      <c r="AQ100" s="12">
        <v>0</v>
      </c>
      <c r="AR100" s="12">
        <v>0</v>
      </c>
      <c r="AS100" s="12">
        <v>0</v>
      </c>
      <c r="AT100" s="12">
        <v>0</v>
      </c>
      <c r="AU100" s="12">
        <v>0</v>
      </c>
      <c r="AV100" s="12">
        <v>0</v>
      </c>
      <c r="AW100" s="12">
        <v>300000</v>
      </c>
      <c r="AX100" s="12">
        <v>0</v>
      </c>
      <c r="AY100" s="12">
        <v>0</v>
      </c>
      <c r="AZ100" s="12">
        <v>0</v>
      </c>
      <c r="BA100" s="12">
        <v>0</v>
      </c>
      <c r="BB100" s="12">
        <v>0</v>
      </c>
      <c r="BC100" s="12">
        <v>0</v>
      </c>
      <c r="BD100" s="12">
        <v>0</v>
      </c>
      <c r="BE100" s="12">
        <v>0</v>
      </c>
      <c r="BF100" s="12">
        <v>0</v>
      </c>
      <c r="BG100" s="75">
        <f t="shared" si="19"/>
        <v>479885</v>
      </c>
      <c r="BH100" s="75">
        <f t="shared" si="16"/>
        <v>179882</v>
      </c>
      <c r="BI100" s="75">
        <f t="shared" si="17"/>
        <v>0</v>
      </c>
      <c r="BJ100" s="75">
        <f t="shared" si="18"/>
        <v>300003</v>
      </c>
    </row>
    <row r="101" spans="3:62" x14ac:dyDescent="0.25">
      <c r="D101" s="7">
        <v>1453</v>
      </c>
      <c r="E101" s="7" t="s">
        <v>378</v>
      </c>
      <c r="F101" s="12">
        <v>0</v>
      </c>
      <c r="G101" s="12">
        <v>0</v>
      </c>
      <c r="H101" s="12">
        <v>0</v>
      </c>
      <c r="I101" s="12">
        <v>0</v>
      </c>
      <c r="J101" s="12">
        <v>0</v>
      </c>
      <c r="K101" s="12">
        <v>0</v>
      </c>
      <c r="L101" s="12">
        <v>0</v>
      </c>
      <c r="M101" s="12">
        <v>0</v>
      </c>
      <c r="N101" s="12">
        <v>0</v>
      </c>
      <c r="O101" s="12">
        <v>0</v>
      </c>
      <c r="P101" s="12">
        <v>0</v>
      </c>
      <c r="Q101" s="12">
        <v>0</v>
      </c>
      <c r="R101" s="12">
        <v>0</v>
      </c>
      <c r="S101" s="12">
        <v>0</v>
      </c>
      <c r="T101" s="12">
        <v>0</v>
      </c>
      <c r="U101" s="12">
        <v>0</v>
      </c>
      <c r="V101" s="12">
        <v>0</v>
      </c>
      <c r="W101" s="12">
        <v>0</v>
      </c>
      <c r="X101" s="12">
        <v>0</v>
      </c>
      <c r="Y101" s="12">
        <v>0</v>
      </c>
      <c r="Z101" s="12">
        <v>0</v>
      </c>
      <c r="AA101" s="12">
        <v>0</v>
      </c>
      <c r="AB101" s="12">
        <v>0</v>
      </c>
      <c r="AC101" s="12">
        <v>0</v>
      </c>
      <c r="AD101" s="12">
        <v>0</v>
      </c>
      <c r="AE101" s="12">
        <v>0</v>
      </c>
      <c r="AF101" s="12">
        <v>0</v>
      </c>
      <c r="AG101" s="12">
        <v>0</v>
      </c>
      <c r="AH101" s="12">
        <v>0</v>
      </c>
      <c r="AI101" s="12">
        <v>0</v>
      </c>
      <c r="AJ101" s="12">
        <v>0</v>
      </c>
      <c r="AK101" s="12">
        <v>0</v>
      </c>
      <c r="AL101" s="12">
        <v>0</v>
      </c>
      <c r="AM101" s="12">
        <v>0</v>
      </c>
      <c r="AN101" s="12">
        <v>0</v>
      </c>
      <c r="AO101" s="12">
        <v>0</v>
      </c>
      <c r="AP101" s="12">
        <v>0</v>
      </c>
      <c r="AQ101" s="12">
        <v>0</v>
      </c>
      <c r="AR101" s="12">
        <v>0</v>
      </c>
      <c r="AS101" s="12">
        <v>0</v>
      </c>
      <c r="AT101" s="12">
        <v>0</v>
      </c>
      <c r="AU101" s="12">
        <v>0</v>
      </c>
      <c r="AV101" s="12">
        <v>0</v>
      </c>
      <c r="AW101" s="12">
        <v>0</v>
      </c>
      <c r="AX101" s="12">
        <v>0</v>
      </c>
      <c r="AY101" s="12">
        <v>0</v>
      </c>
      <c r="AZ101" s="12">
        <v>0</v>
      </c>
      <c r="BA101" s="12">
        <v>0</v>
      </c>
      <c r="BB101" s="12">
        <v>0</v>
      </c>
      <c r="BC101" s="12">
        <v>0</v>
      </c>
      <c r="BD101" s="12">
        <v>0</v>
      </c>
      <c r="BE101" s="12">
        <v>0</v>
      </c>
      <c r="BF101" s="12">
        <v>0</v>
      </c>
      <c r="BG101" s="75">
        <f t="shared" si="19"/>
        <v>0</v>
      </c>
      <c r="BH101" s="75">
        <f t="shared" si="16"/>
        <v>0</v>
      </c>
      <c r="BI101" s="75">
        <f t="shared" si="17"/>
        <v>0</v>
      </c>
      <c r="BJ101" s="75">
        <f t="shared" si="18"/>
        <v>0</v>
      </c>
    </row>
    <row r="102" spans="3:62" x14ac:dyDescent="0.25">
      <c r="D102" s="7">
        <v>1454</v>
      </c>
      <c r="E102" s="7" t="s">
        <v>379</v>
      </c>
      <c r="F102" s="12">
        <v>0</v>
      </c>
      <c r="G102" s="12">
        <v>0</v>
      </c>
      <c r="H102" s="12">
        <v>0</v>
      </c>
      <c r="I102" s="12">
        <v>0</v>
      </c>
      <c r="J102" s="12">
        <v>0</v>
      </c>
      <c r="K102" s="12">
        <v>0</v>
      </c>
      <c r="L102" s="12">
        <v>0</v>
      </c>
      <c r="M102" s="12">
        <v>0</v>
      </c>
      <c r="N102" s="12">
        <v>3600</v>
      </c>
      <c r="O102" s="12">
        <v>0</v>
      </c>
      <c r="P102" s="12">
        <v>10000</v>
      </c>
      <c r="Q102" s="12">
        <v>0</v>
      </c>
      <c r="R102" s="12">
        <v>0</v>
      </c>
      <c r="S102" s="12">
        <v>0</v>
      </c>
      <c r="T102" s="12">
        <v>0</v>
      </c>
      <c r="U102" s="12">
        <v>0</v>
      </c>
      <c r="V102" s="12">
        <v>0</v>
      </c>
      <c r="W102" s="12">
        <v>0</v>
      </c>
      <c r="X102" s="12">
        <v>0</v>
      </c>
      <c r="Y102" s="12">
        <v>0</v>
      </c>
      <c r="Z102" s="12">
        <v>0</v>
      </c>
      <c r="AA102" s="12">
        <v>0</v>
      </c>
      <c r="AB102" s="12">
        <v>0</v>
      </c>
      <c r="AC102" s="12">
        <v>0</v>
      </c>
      <c r="AD102" s="12">
        <v>0</v>
      </c>
      <c r="AE102" s="12">
        <v>0</v>
      </c>
      <c r="AF102" s="12">
        <v>0</v>
      </c>
      <c r="AG102" s="12">
        <v>0</v>
      </c>
      <c r="AH102" s="12">
        <v>0</v>
      </c>
      <c r="AI102" s="12">
        <v>0</v>
      </c>
      <c r="AJ102" s="12">
        <v>0</v>
      </c>
      <c r="AK102" s="12">
        <v>0</v>
      </c>
      <c r="AL102" s="12">
        <v>0</v>
      </c>
      <c r="AM102" s="12">
        <v>0</v>
      </c>
      <c r="AN102" s="12">
        <v>0</v>
      </c>
      <c r="AO102" s="12">
        <v>0</v>
      </c>
      <c r="AP102" s="12">
        <v>0</v>
      </c>
      <c r="AQ102" s="12">
        <v>0</v>
      </c>
      <c r="AR102" s="12">
        <v>0</v>
      </c>
      <c r="AS102" s="12">
        <v>100005</v>
      </c>
      <c r="AT102" s="12">
        <v>0</v>
      </c>
      <c r="AU102" s="12">
        <v>0</v>
      </c>
      <c r="AV102" s="12">
        <v>0</v>
      </c>
      <c r="AW102" s="12">
        <v>0</v>
      </c>
      <c r="AX102" s="12">
        <v>0</v>
      </c>
      <c r="AY102" s="12">
        <v>0</v>
      </c>
      <c r="AZ102" s="12">
        <v>0</v>
      </c>
      <c r="BA102" s="12">
        <v>184000</v>
      </c>
      <c r="BB102" s="12">
        <v>0</v>
      </c>
      <c r="BC102" s="12">
        <v>0</v>
      </c>
      <c r="BD102" s="12">
        <v>0</v>
      </c>
      <c r="BE102" s="12">
        <v>300000</v>
      </c>
      <c r="BF102" s="12">
        <v>0</v>
      </c>
      <c r="BG102" s="75">
        <f t="shared" si="19"/>
        <v>597605</v>
      </c>
      <c r="BH102" s="75">
        <f t="shared" si="16"/>
        <v>13600</v>
      </c>
      <c r="BI102" s="75">
        <f t="shared" si="17"/>
        <v>0</v>
      </c>
      <c r="BJ102" s="75">
        <f t="shared" si="18"/>
        <v>584005</v>
      </c>
    </row>
    <row r="103" spans="3:62" x14ac:dyDescent="0.25">
      <c r="D103" s="7">
        <v>1455</v>
      </c>
      <c r="E103" s="7" t="s">
        <v>380</v>
      </c>
      <c r="F103" s="12">
        <v>0</v>
      </c>
      <c r="G103" s="12">
        <v>0</v>
      </c>
      <c r="H103" s="12">
        <v>0</v>
      </c>
      <c r="I103" s="12">
        <v>0</v>
      </c>
      <c r="J103" s="12">
        <v>0</v>
      </c>
      <c r="K103" s="12">
        <v>45603</v>
      </c>
      <c r="L103" s="12">
        <v>0</v>
      </c>
      <c r="M103" s="12">
        <v>2</v>
      </c>
      <c r="N103" s="12">
        <v>0</v>
      </c>
      <c r="O103" s="12">
        <v>0</v>
      </c>
      <c r="P103" s="12">
        <v>12040</v>
      </c>
      <c r="Q103" s="12">
        <v>0</v>
      </c>
      <c r="R103" s="12">
        <v>0</v>
      </c>
      <c r="S103" s="12">
        <v>0</v>
      </c>
      <c r="T103" s="12">
        <v>0</v>
      </c>
      <c r="U103" s="12">
        <v>0</v>
      </c>
      <c r="V103" s="12">
        <v>57400</v>
      </c>
      <c r="W103" s="12">
        <v>0</v>
      </c>
      <c r="X103" s="12">
        <v>0</v>
      </c>
      <c r="Y103" s="12">
        <v>12</v>
      </c>
      <c r="Z103" s="12">
        <v>462613</v>
      </c>
      <c r="AA103" s="12">
        <v>0</v>
      </c>
      <c r="AB103" s="12">
        <v>0</v>
      </c>
      <c r="AC103" s="12">
        <v>0</v>
      </c>
      <c r="AD103" s="12">
        <v>5050</v>
      </c>
      <c r="AE103" s="12">
        <v>0</v>
      </c>
      <c r="AF103" s="12">
        <v>10</v>
      </c>
      <c r="AG103" s="12">
        <v>10</v>
      </c>
      <c r="AH103" s="12">
        <v>0</v>
      </c>
      <c r="AI103" s="12">
        <v>188681.9</v>
      </c>
      <c r="AJ103" s="12">
        <v>7434</v>
      </c>
      <c r="AK103" s="12">
        <v>0</v>
      </c>
      <c r="AL103" s="12">
        <v>0</v>
      </c>
      <c r="AM103" s="12">
        <v>0</v>
      </c>
      <c r="AN103" s="12">
        <v>3767</v>
      </c>
      <c r="AO103" s="12">
        <v>2906</v>
      </c>
      <c r="AP103" s="12">
        <v>0</v>
      </c>
      <c r="AQ103" s="12">
        <v>3422</v>
      </c>
      <c r="AR103" s="12">
        <v>4</v>
      </c>
      <c r="AS103" s="12">
        <v>0</v>
      </c>
      <c r="AT103" s="12">
        <v>502</v>
      </c>
      <c r="AU103" s="12">
        <v>23</v>
      </c>
      <c r="AV103" s="12">
        <v>2553</v>
      </c>
      <c r="AW103" s="12">
        <v>0</v>
      </c>
      <c r="AX103" s="12">
        <v>10000</v>
      </c>
      <c r="AY103" s="12">
        <v>0</v>
      </c>
      <c r="AZ103" s="12">
        <v>0</v>
      </c>
      <c r="BA103" s="12">
        <v>5</v>
      </c>
      <c r="BB103" s="12">
        <v>0</v>
      </c>
      <c r="BC103" s="12">
        <v>1161</v>
      </c>
      <c r="BD103" s="12">
        <v>0</v>
      </c>
      <c r="BE103" s="12">
        <v>2905052.49</v>
      </c>
      <c r="BF103" s="12">
        <v>0</v>
      </c>
      <c r="BG103" s="75">
        <f t="shared" si="19"/>
        <v>3708251.39</v>
      </c>
      <c r="BH103" s="75">
        <f t="shared" si="16"/>
        <v>115045</v>
      </c>
      <c r="BI103" s="75">
        <f t="shared" si="17"/>
        <v>663810.9</v>
      </c>
      <c r="BJ103" s="75">
        <f t="shared" si="18"/>
        <v>2929395.49</v>
      </c>
    </row>
    <row r="104" spans="3:62" x14ac:dyDescent="0.25">
      <c r="D104" s="7">
        <v>1456</v>
      </c>
      <c r="E104" s="7" t="s">
        <v>381</v>
      </c>
      <c r="F104" s="12">
        <v>0</v>
      </c>
      <c r="G104" s="12">
        <v>0</v>
      </c>
      <c r="H104" s="12">
        <v>0</v>
      </c>
      <c r="I104" s="12">
        <v>0</v>
      </c>
      <c r="J104" s="12">
        <v>0</v>
      </c>
      <c r="K104" s="12">
        <v>0</v>
      </c>
      <c r="L104" s="12">
        <v>0</v>
      </c>
      <c r="M104" s="12">
        <v>0</v>
      </c>
      <c r="N104" s="12">
        <v>0</v>
      </c>
      <c r="O104" s="12">
        <v>0</v>
      </c>
      <c r="P104" s="12">
        <v>0</v>
      </c>
      <c r="Q104" s="12">
        <v>0</v>
      </c>
      <c r="R104" s="12">
        <v>0</v>
      </c>
      <c r="S104" s="12">
        <v>0</v>
      </c>
      <c r="T104" s="12">
        <v>0</v>
      </c>
      <c r="U104" s="12">
        <v>0</v>
      </c>
      <c r="V104" s="12">
        <v>0</v>
      </c>
      <c r="W104" s="12">
        <v>0</v>
      </c>
      <c r="X104" s="12">
        <v>0</v>
      </c>
      <c r="Y104" s="12">
        <v>0</v>
      </c>
      <c r="Z104" s="12">
        <v>0</v>
      </c>
      <c r="AA104" s="12">
        <v>0</v>
      </c>
      <c r="AB104" s="12">
        <v>0</v>
      </c>
      <c r="AC104" s="12">
        <v>0</v>
      </c>
      <c r="AD104" s="12">
        <v>143100</v>
      </c>
      <c r="AE104" s="12">
        <v>0</v>
      </c>
      <c r="AF104" s="12">
        <v>0</v>
      </c>
      <c r="AG104" s="12">
        <v>0</v>
      </c>
      <c r="AH104" s="12">
        <v>0</v>
      </c>
      <c r="AI104" s="12">
        <v>0</v>
      </c>
      <c r="AJ104" s="12">
        <v>0</v>
      </c>
      <c r="AK104" s="12">
        <v>0</v>
      </c>
      <c r="AL104" s="12">
        <v>0</v>
      </c>
      <c r="AM104" s="12">
        <v>0</v>
      </c>
      <c r="AN104" s="12">
        <v>0</v>
      </c>
      <c r="AO104" s="12">
        <v>0</v>
      </c>
      <c r="AP104" s="12">
        <v>0</v>
      </c>
      <c r="AQ104" s="12">
        <v>0</v>
      </c>
      <c r="AR104" s="12">
        <v>0</v>
      </c>
      <c r="AS104" s="12">
        <v>0</v>
      </c>
      <c r="AT104" s="12">
        <v>0</v>
      </c>
      <c r="AU104" s="12">
        <v>0</v>
      </c>
      <c r="AV104" s="12">
        <v>0</v>
      </c>
      <c r="AW104" s="12">
        <v>0</v>
      </c>
      <c r="AX104" s="12">
        <v>0</v>
      </c>
      <c r="AY104" s="12">
        <v>0</v>
      </c>
      <c r="AZ104" s="12">
        <v>0</v>
      </c>
      <c r="BA104" s="12">
        <v>0</v>
      </c>
      <c r="BB104" s="12">
        <v>0</v>
      </c>
      <c r="BC104" s="12">
        <v>0</v>
      </c>
      <c r="BD104" s="12">
        <v>0</v>
      </c>
      <c r="BE104" s="12">
        <v>0</v>
      </c>
      <c r="BF104" s="12">
        <v>0</v>
      </c>
      <c r="BG104" s="75">
        <f t="shared" si="19"/>
        <v>143100</v>
      </c>
      <c r="BH104" s="75">
        <f t="shared" si="16"/>
        <v>0</v>
      </c>
      <c r="BI104" s="75">
        <f t="shared" si="17"/>
        <v>143100</v>
      </c>
      <c r="BJ104" s="75">
        <f t="shared" si="18"/>
        <v>0</v>
      </c>
    </row>
    <row r="105" spans="3:62" x14ac:dyDescent="0.25">
      <c r="D105" s="7">
        <v>1457</v>
      </c>
      <c r="E105" s="7" t="s">
        <v>382</v>
      </c>
      <c r="F105" s="12">
        <v>0</v>
      </c>
      <c r="G105" s="12">
        <v>0</v>
      </c>
      <c r="H105" s="12">
        <v>0</v>
      </c>
      <c r="I105" s="12">
        <v>0</v>
      </c>
      <c r="J105" s="12">
        <v>0</v>
      </c>
      <c r="K105" s="12">
        <v>0</v>
      </c>
      <c r="L105" s="12">
        <v>0</v>
      </c>
      <c r="M105" s="12">
        <v>0</v>
      </c>
      <c r="N105" s="12">
        <v>0</v>
      </c>
      <c r="O105" s="12">
        <v>0</v>
      </c>
      <c r="P105" s="12">
        <v>0</v>
      </c>
      <c r="Q105" s="12">
        <v>0</v>
      </c>
      <c r="R105" s="12">
        <v>0</v>
      </c>
      <c r="S105" s="12">
        <v>0</v>
      </c>
      <c r="T105" s="12">
        <v>0</v>
      </c>
      <c r="U105" s="12">
        <v>0</v>
      </c>
      <c r="V105" s="12">
        <v>0</v>
      </c>
      <c r="W105" s="12">
        <v>0</v>
      </c>
      <c r="X105" s="12">
        <v>0</v>
      </c>
      <c r="Y105" s="12">
        <v>0</v>
      </c>
      <c r="Z105" s="12">
        <v>0</v>
      </c>
      <c r="AA105" s="12">
        <v>0</v>
      </c>
      <c r="AB105" s="12">
        <v>0</v>
      </c>
      <c r="AC105" s="12">
        <v>0</v>
      </c>
      <c r="AD105" s="12">
        <v>0</v>
      </c>
      <c r="AE105" s="12">
        <v>0</v>
      </c>
      <c r="AF105" s="12">
        <v>0</v>
      </c>
      <c r="AG105" s="12">
        <v>0</v>
      </c>
      <c r="AH105" s="12">
        <v>0</v>
      </c>
      <c r="AI105" s="12">
        <v>0</v>
      </c>
      <c r="AJ105" s="12">
        <v>0</v>
      </c>
      <c r="AK105" s="12">
        <v>0</v>
      </c>
      <c r="AL105" s="12">
        <v>0</v>
      </c>
      <c r="AM105" s="12">
        <v>0</v>
      </c>
      <c r="AN105" s="12">
        <v>0</v>
      </c>
      <c r="AO105" s="12">
        <v>0</v>
      </c>
      <c r="AP105" s="12">
        <v>0</v>
      </c>
      <c r="AQ105" s="12">
        <v>0</v>
      </c>
      <c r="AR105" s="12">
        <v>0</v>
      </c>
      <c r="AS105" s="12">
        <v>0</v>
      </c>
      <c r="AT105" s="12">
        <v>0</v>
      </c>
      <c r="AU105" s="12">
        <v>0</v>
      </c>
      <c r="AV105" s="12">
        <v>0</v>
      </c>
      <c r="AW105" s="12">
        <v>0</v>
      </c>
      <c r="AX105" s="12">
        <v>0</v>
      </c>
      <c r="AY105" s="12">
        <v>0</v>
      </c>
      <c r="AZ105" s="12">
        <v>0</v>
      </c>
      <c r="BA105" s="12">
        <v>0</v>
      </c>
      <c r="BB105" s="12">
        <v>0</v>
      </c>
      <c r="BC105" s="12">
        <v>0</v>
      </c>
      <c r="BD105" s="12">
        <v>0</v>
      </c>
      <c r="BE105" s="12">
        <v>0</v>
      </c>
      <c r="BF105" s="12">
        <v>0</v>
      </c>
      <c r="BG105" s="75">
        <f t="shared" si="19"/>
        <v>0</v>
      </c>
      <c r="BH105" s="75">
        <f t="shared" si="16"/>
        <v>0</v>
      </c>
      <c r="BI105" s="75">
        <f t="shared" si="17"/>
        <v>0</v>
      </c>
      <c r="BJ105" s="75">
        <f t="shared" si="18"/>
        <v>0</v>
      </c>
    </row>
    <row r="106" spans="3:62" x14ac:dyDescent="0.25">
      <c r="D106" s="7">
        <v>1458</v>
      </c>
      <c r="E106" s="7" t="s">
        <v>383</v>
      </c>
      <c r="F106" s="12">
        <v>0</v>
      </c>
      <c r="G106" s="12">
        <v>0</v>
      </c>
      <c r="H106" s="12">
        <v>0</v>
      </c>
      <c r="I106" s="12">
        <v>0</v>
      </c>
      <c r="J106" s="12">
        <v>0</v>
      </c>
      <c r="K106" s="12">
        <v>0</v>
      </c>
      <c r="L106" s="12">
        <v>0</v>
      </c>
      <c r="M106" s="12">
        <v>0</v>
      </c>
      <c r="N106" s="12">
        <v>0</v>
      </c>
      <c r="O106" s="12">
        <v>0</v>
      </c>
      <c r="P106" s="12">
        <v>0</v>
      </c>
      <c r="Q106" s="12">
        <v>0</v>
      </c>
      <c r="R106" s="12">
        <v>0</v>
      </c>
      <c r="S106" s="12">
        <v>0</v>
      </c>
      <c r="T106" s="12">
        <v>0</v>
      </c>
      <c r="U106" s="12">
        <v>0</v>
      </c>
      <c r="V106" s="12">
        <v>0</v>
      </c>
      <c r="W106" s="12">
        <v>0</v>
      </c>
      <c r="X106" s="12">
        <v>0</v>
      </c>
      <c r="Y106" s="12">
        <v>0</v>
      </c>
      <c r="Z106" s="12">
        <v>0</v>
      </c>
      <c r="AA106" s="12">
        <v>0</v>
      </c>
      <c r="AB106" s="12">
        <v>0</v>
      </c>
      <c r="AC106" s="12">
        <v>0</v>
      </c>
      <c r="AD106" s="12">
        <v>0</v>
      </c>
      <c r="AE106" s="12">
        <v>0</v>
      </c>
      <c r="AF106" s="12">
        <v>0</v>
      </c>
      <c r="AG106" s="12">
        <v>0</v>
      </c>
      <c r="AH106" s="12">
        <v>0</v>
      </c>
      <c r="AI106" s="12">
        <v>0</v>
      </c>
      <c r="AJ106" s="12">
        <v>0</v>
      </c>
      <c r="AK106" s="12">
        <v>0</v>
      </c>
      <c r="AL106" s="12">
        <v>0</v>
      </c>
      <c r="AM106" s="12">
        <v>0</v>
      </c>
      <c r="AN106" s="12">
        <v>0</v>
      </c>
      <c r="AO106" s="12">
        <v>0</v>
      </c>
      <c r="AP106" s="12">
        <v>0</v>
      </c>
      <c r="AQ106" s="12">
        <v>0</v>
      </c>
      <c r="AR106" s="12">
        <v>0</v>
      </c>
      <c r="AS106" s="12">
        <v>0</v>
      </c>
      <c r="AT106" s="12">
        <v>0</v>
      </c>
      <c r="AU106" s="12">
        <v>0</v>
      </c>
      <c r="AV106" s="12">
        <v>0</v>
      </c>
      <c r="AW106" s="12">
        <v>0</v>
      </c>
      <c r="AX106" s="12">
        <v>0</v>
      </c>
      <c r="AY106" s="12">
        <v>0</v>
      </c>
      <c r="AZ106" s="12">
        <v>0</v>
      </c>
      <c r="BA106" s="12">
        <v>0</v>
      </c>
      <c r="BB106" s="12">
        <v>0</v>
      </c>
      <c r="BC106" s="12">
        <v>0</v>
      </c>
      <c r="BD106" s="12">
        <v>0</v>
      </c>
      <c r="BE106" s="12">
        <v>0</v>
      </c>
      <c r="BF106" s="12">
        <v>0</v>
      </c>
      <c r="BG106" s="75">
        <f t="shared" si="19"/>
        <v>0</v>
      </c>
      <c r="BH106" s="75">
        <f t="shared" si="16"/>
        <v>0</v>
      </c>
      <c r="BI106" s="75">
        <f t="shared" si="17"/>
        <v>0</v>
      </c>
      <c r="BJ106" s="75">
        <f t="shared" si="18"/>
        <v>0</v>
      </c>
    </row>
    <row r="107" spans="3:62" x14ac:dyDescent="0.25">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75"/>
      <c r="BH107" s="75"/>
      <c r="BI107" s="75"/>
      <c r="BJ107" s="75"/>
    </row>
    <row r="108" spans="3:62" x14ac:dyDescent="0.25">
      <c r="C108" s="76">
        <v>146</v>
      </c>
      <c r="D108" s="76"/>
      <c r="E108" s="76" t="s">
        <v>394</v>
      </c>
      <c r="F108" s="96">
        <f>F109+F110+F111+F112+F113+F114+F115+F116+F117+F118</f>
        <v>258939.53</v>
      </c>
      <c r="G108" s="96">
        <f t="shared" ref="G108:BF108" si="24">G109+G110+G111+G112+G113+G114+G115+G116+G117+G118</f>
        <v>0</v>
      </c>
      <c r="H108" s="96">
        <f t="shared" si="24"/>
        <v>0</v>
      </c>
      <c r="I108" s="96">
        <f t="shared" si="24"/>
        <v>0</v>
      </c>
      <c r="J108" s="96">
        <f t="shared" si="24"/>
        <v>63986.400000000001</v>
      </c>
      <c r="K108" s="96">
        <f t="shared" si="24"/>
        <v>705387.3</v>
      </c>
      <c r="L108" s="96">
        <f t="shared" si="24"/>
        <v>597782.4</v>
      </c>
      <c r="M108" s="96">
        <f t="shared" si="24"/>
        <v>274394</v>
      </c>
      <c r="N108" s="96">
        <f t="shared" si="24"/>
        <v>370917.3</v>
      </c>
      <c r="O108" s="96">
        <f t="shared" si="24"/>
        <v>0</v>
      </c>
      <c r="P108" s="96">
        <f t="shared" si="24"/>
        <v>2196517.2799999998</v>
      </c>
      <c r="Q108" s="96">
        <f t="shared" si="24"/>
        <v>0</v>
      </c>
      <c r="R108" s="96">
        <f t="shared" si="24"/>
        <v>4261.1499999999996</v>
      </c>
      <c r="S108" s="96">
        <f t="shared" si="24"/>
        <v>0</v>
      </c>
      <c r="T108" s="96">
        <f t="shared" si="24"/>
        <v>0</v>
      </c>
      <c r="U108" s="96">
        <f t="shared" si="24"/>
        <v>0</v>
      </c>
      <c r="V108" s="96">
        <f t="shared" si="24"/>
        <v>12221.05</v>
      </c>
      <c r="W108" s="96">
        <f t="shared" si="24"/>
        <v>0</v>
      </c>
      <c r="X108" s="96">
        <f t="shared" si="24"/>
        <v>622812.56999999995</v>
      </c>
      <c r="Y108" s="96">
        <f t="shared" si="24"/>
        <v>0</v>
      </c>
      <c r="Z108" s="96">
        <f t="shared" si="24"/>
        <v>15000</v>
      </c>
      <c r="AA108" s="96">
        <f t="shared" si="24"/>
        <v>0</v>
      </c>
      <c r="AB108" s="96">
        <f t="shared" si="24"/>
        <v>140000</v>
      </c>
      <c r="AC108" s="96">
        <f t="shared" si="24"/>
        <v>0</v>
      </c>
      <c r="AD108" s="96">
        <f t="shared" si="24"/>
        <v>0</v>
      </c>
      <c r="AE108" s="96">
        <f t="shared" si="24"/>
        <v>0</v>
      </c>
      <c r="AF108" s="96">
        <f t="shared" si="24"/>
        <v>0</v>
      </c>
      <c r="AG108" s="96">
        <f t="shared" si="24"/>
        <v>0</v>
      </c>
      <c r="AH108" s="96">
        <f t="shared" si="24"/>
        <v>0</v>
      </c>
      <c r="AI108" s="96">
        <f t="shared" si="24"/>
        <v>0</v>
      </c>
      <c r="AJ108" s="96">
        <f t="shared" si="24"/>
        <v>240272.27</v>
      </c>
      <c r="AK108" s="96">
        <f t="shared" si="24"/>
        <v>0</v>
      </c>
      <c r="AL108" s="96">
        <f t="shared" si="24"/>
        <v>0</v>
      </c>
      <c r="AM108" s="96">
        <f t="shared" si="24"/>
        <v>0</v>
      </c>
      <c r="AN108" s="96">
        <f t="shared" si="24"/>
        <v>0</v>
      </c>
      <c r="AO108" s="96">
        <f t="shared" si="24"/>
        <v>0</v>
      </c>
      <c r="AP108" s="96">
        <f t="shared" si="24"/>
        <v>0</v>
      </c>
      <c r="AQ108" s="96">
        <f t="shared" si="24"/>
        <v>32828</v>
      </c>
      <c r="AR108" s="96">
        <f t="shared" si="24"/>
        <v>24512</v>
      </c>
      <c r="AS108" s="96">
        <f t="shared" si="24"/>
        <v>0</v>
      </c>
      <c r="AT108" s="96">
        <f t="shared" si="24"/>
        <v>17321</v>
      </c>
      <c r="AU108" s="96">
        <f t="shared" si="24"/>
        <v>1</v>
      </c>
      <c r="AV108" s="96">
        <f t="shared" si="24"/>
        <v>15120</v>
      </c>
      <c r="AW108" s="96">
        <f t="shared" si="24"/>
        <v>0</v>
      </c>
      <c r="AX108" s="96">
        <f t="shared" si="24"/>
        <v>27435</v>
      </c>
      <c r="AY108" s="96">
        <f t="shared" si="24"/>
        <v>9296</v>
      </c>
      <c r="AZ108" s="96">
        <f t="shared" si="24"/>
        <v>13508</v>
      </c>
      <c r="BA108" s="96">
        <f t="shared" si="24"/>
        <v>70211</v>
      </c>
      <c r="BB108" s="96">
        <f t="shared" si="24"/>
        <v>14019</v>
      </c>
      <c r="BC108" s="96">
        <f t="shared" si="24"/>
        <v>47620</v>
      </c>
      <c r="BD108" s="96">
        <f t="shared" si="24"/>
        <v>10578</v>
      </c>
      <c r="BE108" s="96">
        <f t="shared" si="24"/>
        <v>994400</v>
      </c>
      <c r="BF108" s="96">
        <f t="shared" si="24"/>
        <v>0</v>
      </c>
      <c r="BG108" s="96">
        <f t="shared" si="19"/>
        <v>6779340.2499999991</v>
      </c>
      <c r="BH108" s="96">
        <f t="shared" si="16"/>
        <v>5107218.9799999995</v>
      </c>
      <c r="BI108" s="96">
        <f t="shared" si="17"/>
        <v>395272.27</v>
      </c>
      <c r="BJ108" s="96">
        <f t="shared" si="18"/>
        <v>1276849</v>
      </c>
    </row>
    <row r="109" spans="3:62" x14ac:dyDescent="0.25">
      <c r="D109" s="7">
        <v>1460</v>
      </c>
      <c r="E109" s="7" t="s">
        <v>391</v>
      </c>
      <c r="F109" s="12">
        <v>0</v>
      </c>
      <c r="G109" s="12">
        <v>0</v>
      </c>
      <c r="H109" s="12">
        <v>0</v>
      </c>
      <c r="I109" s="12">
        <v>0</v>
      </c>
      <c r="J109" s="12">
        <v>0</v>
      </c>
      <c r="K109" s="12">
        <v>0</v>
      </c>
      <c r="L109" s="12">
        <v>0</v>
      </c>
      <c r="M109" s="12">
        <v>0</v>
      </c>
      <c r="N109" s="12">
        <v>0</v>
      </c>
      <c r="O109" s="12">
        <v>0</v>
      </c>
      <c r="P109" s="12">
        <v>0</v>
      </c>
      <c r="Q109" s="12">
        <v>0</v>
      </c>
      <c r="R109" s="12">
        <v>0</v>
      </c>
      <c r="S109" s="12">
        <v>0</v>
      </c>
      <c r="T109" s="12">
        <v>0</v>
      </c>
      <c r="U109" s="12">
        <v>0</v>
      </c>
      <c r="V109" s="12">
        <v>0</v>
      </c>
      <c r="W109" s="12">
        <v>0</v>
      </c>
      <c r="X109" s="12">
        <v>0</v>
      </c>
      <c r="Y109" s="12">
        <v>0</v>
      </c>
      <c r="Z109" s="12">
        <v>0</v>
      </c>
      <c r="AA109" s="12">
        <v>0</v>
      </c>
      <c r="AB109" s="12">
        <v>0</v>
      </c>
      <c r="AC109" s="12">
        <v>0</v>
      </c>
      <c r="AD109" s="12">
        <v>0</v>
      </c>
      <c r="AE109" s="12">
        <v>0</v>
      </c>
      <c r="AF109" s="12">
        <v>0</v>
      </c>
      <c r="AG109" s="12">
        <v>0</v>
      </c>
      <c r="AH109" s="12">
        <v>0</v>
      </c>
      <c r="AI109" s="12">
        <v>0</v>
      </c>
      <c r="AJ109" s="12">
        <v>0</v>
      </c>
      <c r="AK109" s="12">
        <v>0</v>
      </c>
      <c r="AL109" s="12">
        <v>0</v>
      </c>
      <c r="AM109" s="12">
        <v>0</v>
      </c>
      <c r="AN109" s="12">
        <v>0</v>
      </c>
      <c r="AO109" s="12">
        <v>0</v>
      </c>
      <c r="AP109" s="12">
        <v>0</v>
      </c>
      <c r="AQ109" s="12">
        <v>0</v>
      </c>
      <c r="AR109" s="12">
        <v>0</v>
      </c>
      <c r="AS109" s="12">
        <v>0</v>
      </c>
      <c r="AT109" s="12">
        <v>0</v>
      </c>
      <c r="AU109" s="12">
        <v>0</v>
      </c>
      <c r="AV109" s="12">
        <v>0</v>
      </c>
      <c r="AW109" s="12">
        <v>0</v>
      </c>
      <c r="AX109" s="12">
        <v>0</v>
      </c>
      <c r="AY109" s="12">
        <v>0</v>
      </c>
      <c r="AZ109" s="12">
        <v>0</v>
      </c>
      <c r="BA109" s="12">
        <v>0</v>
      </c>
      <c r="BB109" s="12">
        <v>0</v>
      </c>
      <c r="BC109" s="12">
        <v>0</v>
      </c>
      <c r="BD109" s="12">
        <v>0</v>
      </c>
      <c r="BE109" s="12">
        <v>0</v>
      </c>
      <c r="BF109" s="12">
        <v>0</v>
      </c>
      <c r="BG109" s="75">
        <f t="shared" si="19"/>
        <v>0</v>
      </c>
      <c r="BH109" s="75">
        <f t="shared" si="16"/>
        <v>0</v>
      </c>
      <c r="BI109" s="75">
        <f t="shared" si="17"/>
        <v>0</v>
      </c>
      <c r="BJ109" s="75">
        <f t="shared" si="18"/>
        <v>0</v>
      </c>
    </row>
    <row r="110" spans="3:62" x14ac:dyDescent="0.25">
      <c r="D110" s="7">
        <v>1461</v>
      </c>
      <c r="E110" s="7" t="s">
        <v>392</v>
      </c>
      <c r="F110" s="12">
        <v>0</v>
      </c>
      <c r="G110" s="12">
        <v>0</v>
      </c>
      <c r="H110" s="12">
        <v>0</v>
      </c>
      <c r="I110" s="12">
        <v>0</v>
      </c>
      <c r="J110" s="12">
        <v>0</v>
      </c>
      <c r="K110" s="12">
        <v>0</v>
      </c>
      <c r="L110" s="12">
        <v>0</v>
      </c>
      <c r="M110" s="12">
        <v>0</v>
      </c>
      <c r="N110" s="12">
        <v>0</v>
      </c>
      <c r="O110" s="12">
        <v>0</v>
      </c>
      <c r="P110" s="12">
        <v>86616.9</v>
      </c>
      <c r="Q110" s="12">
        <v>0</v>
      </c>
      <c r="R110" s="12">
        <v>0</v>
      </c>
      <c r="S110" s="12">
        <v>0</v>
      </c>
      <c r="T110" s="12">
        <v>0</v>
      </c>
      <c r="U110" s="12">
        <v>0</v>
      </c>
      <c r="V110" s="12">
        <v>0</v>
      </c>
      <c r="W110" s="12">
        <v>0</v>
      </c>
      <c r="X110" s="12">
        <v>0</v>
      </c>
      <c r="Y110" s="12">
        <v>0</v>
      </c>
      <c r="Z110" s="12">
        <v>0</v>
      </c>
      <c r="AA110" s="12">
        <v>0</v>
      </c>
      <c r="AB110" s="12">
        <v>0</v>
      </c>
      <c r="AC110" s="12">
        <v>0</v>
      </c>
      <c r="AD110" s="12">
        <v>0</v>
      </c>
      <c r="AE110" s="12">
        <v>0</v>
      </c>
      <c r="AF110" s="12">
        <v>0</v>
      </c>
      <c r="AG110" s="12">
        <v>0</v>
      </c>
      <c r="AH110" s="12">
        <v>0</v>
      </c>
      <c r="AI110" s="12">
        <v>0</v>
      </c>
      <c r="AJ110" s="12">
        <v>0</v>
      </c>
      <c r="AK110" s="12">
        <v>0</v>
      </c>
      <c r="AL110" s="12">
        <v>0</v>
      </c>
      <c r="AM110" s="12">
        <v>0</v>
      </c>
      <c r="AN110" s="12">
        <v>0</v>
      </c>
      <c r="AO110" s="12">
        <v>0</v>
      </c>
      <c r="AP110" s="12">
        <v>0</v>
      </c>
      <c r="AQ110" s="12">
        <v>0</v>
      </c>
      <c r="AR110" s="12">
        <v>0</v>
      </c>
      <c r="AS110" s="12">
        <v>0</v>
      </c>
      <c r="AT110" s="12">
        <v>0</v>
      </c>
      <c r="AU110" s="12">
        <v>0</v>
      </c>
      <c r="AV110" s="12">
        <v>0</v>
      </c>
      <c r="AW110" s="12">
        <v>0</v>
      </c>
      <c r="AX110" s="12">
        <v>0</v>
      </c>
      <c r="AY110" s="12">
        <v>0</v>
      </c>
      <c r="AZ110" s="12">
        <v>0</v>
      </c>
      <c r="BA110" s="12">
        <v>0</v>
      </c>
      <c r="BB110" s="12">
        <v>0</v>
      </c>
      <c r="BC110" s="12">
        <v>0</v>
      </c>
      <c r="BD110" s="12">
        <v>0</v>
      </c>
      <c r="BE110" s="12">
        <v>0</v>
      </c>
      <c r="BF110" s="12">
        <v>0</v>
      </c>
      <c r="BG110" s="75">
        <f t="shared" si="19"/>
        <v>86616.9</v>
      </c>
      <c r="BH110" s="75">
        <f t="shared" si="16"/>
        <v>86616.9</v>
      </c>
      <c r="BI110" s="75">
        <f t="shared" si="17"/>
        <v>0</v>
      </c>
      <c r="BJ110" s="75">
        <f t="shared" si="18"/>
        <v>0</v>
      </c>
    </row>
    <row r="111" spans="3:62" x14ac:dyDescent="0.25">
      <c r="D111" s="7">
        <v>1462</v>
      </c>
      <c r="E111" s="7" t="s">
        <v>384</v>
      </c>
      <c r="F111" s="12">
        <v>258939.53</v>
      </c>
      <c r="G111" s="12">
        <v>0</v>
      </c>
      <c r="H111" s="12">
        <v>0</v>
      </c>
      <c r="I111" s="12">
        <v>0</v>
      </c>
      <c r="J111" s="12">
        <v>63986.400000000001</v>
      </c>
      <c r="K111" s="12">
        <v>705387.3</v>
      </c>
      <c r="L111" s="12">
        <v>522250.3</v>
      </c>
      <c r="M111" s="12">
        <v>274394</v>
      </c>
      <c r="N111" s="12">
        <v>370917.3</v>
      </c>
      <c r="O111" s="12">
        <v>0</v>
      </c>
      <c r="P111" s="12">
        <v>1976903.63</v>
      </c>
      <c r="Q111" s="12">
        <v>0</v>
      </c>
      <c r="R111" s="12">
        <v>4261.1499999999996</v>
      </c>
      <c r="S111" s="12">
        <v>0</v>
      </c>
      <c r="T111" s="12">
        <v>0</v>
      </c>
      <c r="U111" s="12">
        <v>0</v>
      </c>
      <c r="V111" s="12">
        <v>12221.05</v>
      </c>
      <c r="W111" s="12">
        <v>0</v>
      </c>
      <c r="X111" s="12">
        <v>622812.56999999995</v>
      </c>
      <c r="Y111" s="12">
        <v>0</v>
      </c>
      <c r="Z111" s="12">
        <v>0</v>
      </c>
      <c r="AA111" s="12">
        <v>0</v>
      </c>
      <c r="AB111" s="12">
        <v>140000</v>
      </c>
      <c r="AC111" s="12">
        <v>0</v>
      </c>
      <c r="AD111" s="12">
        <v>0</v>
      </c>
      <c r="AE111" s="12">
        <v>0</v>
      </c>
      <c r="AF111" s="12">
        <v>0</v>
      </c>
      <c r="AG111" s="12">
        <v>0</v>
      </c>
      <c r="AH111" s="12">
        <v>0</v>
      </c>
      <c r="AI111" s="12">
        <v>0</v>
      </c>
      <c r="AJ111" s="12">
        <v>240272.27</v>
      </c>
      <c r="AK111" s="12">
        <v>0</v>
      </c>
      <c r="AL111" s="12">
        <v>0</v>
      </c>
      <c r="AM111" s="12">
        <v>0</v>
      </c>
      <c r="AN111" s="12">
        <v>0</v>
      </c>
      <c r="AO111" s="12">
        <v>0</v>
      </c>
      <c r="AP111" s="12">
        <v>0</v>
      </c>
      <c r="AQ111" s="12">
        <v>32828</v>
      </c>
      <c r="AR111" s="12">
        <v>24512</v>
      </c>
      <c r="AS111" s="12">
        <v>0</v>
      </c>
      <c r="AT111" s="12">
        <v>17321</v>
      </c>
      <c r="AU111" s="12">
        <v>1</v>
      </c>
      <c r="AV111" s="12">
        <v>15120</v>
      </c>
      <c r="AW111" s="12">
        <v>0</v>
      </c>
      <c r="AX111" s="12">
        <v>27435</v>
      </c>
      <c r="AY111" s="12">
        <v>9296</v>
      </c>
      <c r="AZ111" s="12">
        <v>13508</v>
      </c>
      <c r="BA111" s="12">
        <v>70211</v>
      </c>
      <c r="BB111" s="12">
        <v>14019</v>
      </c>
      <c r="BC111" s="12">
        <v>47620</v>
      </c>
      <c r="BD111" s="12">
        <v>10578</v>
      </c>
      <c r="BE111" s="12">
        <v>950400</v>
      </c>
      <c r="BF111" s="12">
        <v>0</v>
      </c>
      <c r="BG111" s="75">
        <f t="shared" si="19"/>
        <v>6425194.4999999991</v>
      </c>
      <c r="BH111" s="75">
        <f t="shared" si="16"/>
        <v>4812073.2299999995</v>
      </c>
      <c r="BI111" s="75">
        <f t="shared" si="17"/>
        <v>380272.27</v>
      </c>
      <c r="BJ111" s="75">
        <f t="shared" si="18"/>
        <v>1232849</v>
      </c>
    </row>
    <row r="112" spans="3:62" x14ac:dyDescent="0.25">
      <c r="D112" s="7">
        <v>1463</v>
      </c>
      <c r="E112" s="7" t="s">
        <v>385</v>
      </c>
      <c r="F112" s="12">
        <v>0</v>
      </c>
      <c r="G112" s="12">
        <v>0</v>
      </c>
      <c r="H112" s="12">
        <v>0</v>
      </c>
      <c r="I112" s="12">
        <v>0</v>
      </c>
      <c r="J112" s="12">
        <v>0</v>
      </c>
      <c r="K112" s="12">
        <v>0</v>
      </c>
      <c r="L112" s="12">
        <v>0</v>
      </c>
      <c r="M112" s="12">
        <v>0</v>
      </c>
      <c r="N112" s="12">
        <v>0</v>
      </c>
      <c r="O112" s="12">
        <v>0</v>
      </c>
      <c r="P112" s="12">
        <v>0</v>
      </c>
      <c r="Q112" s="12">
        <v>0</v>
      </c>
      <c r="R112" s="12">
        <v>0</v>
      </c>
      <c r="S112" s="12">
        <v>0</v>
      </c>
      <c r="T112" s="12">
        <v>0</v>
      </c>
      <c r="U112" s="12">
        <v>0</v>
      </c>
      <c r="V112" s="12">
        <v>0</v>
      </c>
      <c r="W112" s="12">
        <v>0</v>
      </c>
      <c r="X112" s="12">
        <v>0</v>
      </c>
      <c r="Y112" s="12">
        <v>0</v>
      </c>
      <c r="Z112" s="12">
        <v>0</v>
      </c>
      <c r="AA112" s="12">
        <v>0</v>
      </c>
      <c r="AB112" s="12">
        <v>0</v>
      </c>
      <c r="AC112" s="12">
        <v>0</v>
      </c>
      <c r="AD112" s="12">
        <v>0</v>
      </c>
      <c r="AE112" s="12">
        <v>0</v>
      </c>
      <c r="AF112" s="12">
        <v>0</v>
      </c>
      <c r="AG112" s="12">
        <v>0</v>
      </c>
      <c r="AH112" s="12">
        <v>0</v>
      </c>
      <c r="AI112" s="12">
        <v>0</v>
      </c>
      <c r="AJ112" s="12">
        <v>0</v>
      </c>
      <c r="AK112" s="12">
        <v>0</v>
      </c>
      <c r="AL112" s="12">
        <v>0</v>
      </c>
      <c r="AM112" s="12">
        <v>0</v>
      </c>
      <c r="AN112" s="12">
        <v>0</v>
      </c>
      <c r="AO112" s="12">
        <v>0</v>
      </c>
      <c r="AP112" s="12">
        <v>0</v>
      </c>
      <c r="AQ112" s="12">
        <v>0</v>
      </c>
      <c r="AR112" s="12">
        <v>0</v>
      </c>
      <c r="AS112" s="12">
        <v>0</v>
      </c>
      <c r="AT112" s="12">
        <v>0</v>
      </c>
      <c r="AU112" s="12">
        <v>0</v>
      </c>
      <c r="AV112" s="12">
        <v>0</v>
      </c>
      <c r="AW112" s="12">
        <v>0</v>
      </c>
      <c r="AX112" s="12">
        <v>0</v>
      </c>
      <c r="AY112" s="12">
        <v>0</v>
      </c>
      <c r="AZ112" s="12">
        <v>0</v>
      </c>
      <c r="BA112" s="12">
        <v>0</v>
      </c>
      <c r="BB112" s="12">
        <v>0</v>
      </c>
      <c r="BC112" s="12">
        <v>0</v>
      </c>
      <c r="BD112" s="12">
        <v>0</v>
      </c>
      <c r="BE112" s="12">
        <v>0</v>
      </c>
      <c r="BF112" s="12">
        <v>0</v>
      </c>
      <c r="BG112" s="75">
        <f t="shared" si="19"/>
        <v>0</v>
      </c>
      <c r="BH112" s="75">
        <f t="shared" si="16"/>
        <v>0</v>
      </c>
      <c r="BI112" s="75">
        <f t="shared" si="17"/>
        <v>0</v>
      </c>
      <c r="BJ112" s="75">
        <f t="shared" si="18"/>
        <v>0</v>
      </c>
    </row>
    <row r="113" spans="1:62" x14ac:dyDescent="0.25">
      <c r="D113" s="7">
        <v>1464</v>
      </c>
      <c r="E113" s="7" t="s">
        <v>386</v>
      </c>
      <c r="F113" s="12">
        <v>0</v>
      </c>
      <c r="G113" s="12">
        <v>0</v>
      </c>
      <c r="H113" s="12">
        <v>0</v>
      </c>
      <c r="I113" s="12">
        <v>0</v>
      </c>
      <c r="J113" s="12">
        <v>0</v>
      </c>
      <c r="K113" s="12">
        <v>0</v>
      </c>
      <c r="L113" s="12">
        <v>0</v>
      </c>
      <c r="M113" s="12">
        <v>0</v>
      </c>
      <c r="N113" s="12">
        <v>0</v>
      </c>
      <c r="O113" s="12">
        <v>0</v>
      </c>
      <c r="P113" s="12">
        <v>0</v>
      </c>
      <c r="Q113" s="12">
        <v>0</v>
      </c>
      <c r="R113" s="12">
        <v>0</v>
      </c>
      <c r="S113" s="12">
        <v>0</v>
      </c>
      <c r="T113" s="12">
        <v>0</v>
      </c>
      <c r="U113" s="12">
        <v>0</v>
      </c>
      <c r="V113" s="12">
        <v>0</v>
      </c>
      <c r="W113" s="12">
        <v>0</v>
      </c>
      <c r="X113" s="12">
        <v>0</v>
      </c>
      <c r="Y113" s="12">
        <v>0</v>
      </c>
      <c r="Z113" s="12">
        <v>0</v>
      </c>
      <c r="AA113" s="12">
        <v>0</v>
      </c>
      <c r="AB113" s="12">
        <v>0</v>
      </c>
      <c r="AC113" s="12">
        <v>0</v>
      </c>
      <c r="AD113" s="12">
        <v>0</v>
      </c>
      <c r="AE113" s="12">
        <v>0</v>
      </c>
      <c r="AF113" s="12">
        <v>0</v>
      </c>
      <c r="AG113" s="12">
        <v>0</v>
      </c>
      <c r="AH113" s="12">
        <v>0</v>
      </c>
      <c r="AI113" s="12">
        <v>0</v>
      </c>
      <c r="AJ113" s="12">
        <v>0</v>
      </c>
      <c r="AK113" s="12">
        <v>0</v>
      </c>
      <c r="AL113" s="12">
        <v>0</v>
      </c>
      <c r="AM113" s="12">
        <v>0</v>
      </c>
      <c r="AN113" s="12">
        <v>0</v>
      </c>
      <c r="AO113" s="12">
        <v>0</v>
      </c>
      <c r="AP113" s="12">
        <v>0</v>
      </c>
      <c r="AQ113" s="12">
        <v>0</v>
      </c>
      <c r="AR113" s="12">
        <v>0</v>
      </c>
      <c r="AS113" s="12">
        <v>0</v>
      </c>
      <c r="AT113" s="12">
        <v>0</v>
      </c>
      <c r="AU113" s="12">
        <v>0</v>
      </c>
      <c r="AV113" s="12">
        <v>0</v>
      </c>
      <c r="AW113" s="12">
        <v>0</v>
      </c>
      <c r="AX113" s="12">
        <v>0</v>
      </c>
      <c r="AY113" s="12">
        <v>0</v>
      </c>
      <c r="AZ113" s="12">
        <v>0</v>
      </c>
      <c r="BA113" s="12">
        <v>0</v>
      </c>
      <c r="BB113" s="12">
        <v>0</v>
      </c>
      <c r="BC113" s="12">
        <v>0</v>
      </c>
      <c r="BD113" s="12">
        <v>0</v>
      </c>
      <c r="BE113" s="12">
        <v>0</v>
      </c>
      <c r="BF113" s="12">
        <v>0</v>
      </c>
      <c r="BG113" s="75">
        <f t="shared" si="19"/>
        <v>0</v>
      </c>
      <c r="BH113" s="75">
        <f t="shared" si="16"/>
        <v>0</v>
      </c>
      <c r="BI113" s="75">
        <f t="shared" si="17"/>
        <v>0</v>
      </c>
      <c r="BJ113" s="75">
        <f t="shared" si="18"/>
        <v>0</v>
      </c>
    </row>
    <row r="114" spans="1:62" x14ac:dyDescent="0.25">
      <c r="D114" s="7">
        <v>1465</v>
      </c>
      <c r="E114" s="7" t="s">
        <v>387</v>
      </c>
      <c r="F114" s="12">
        <v>0</v>
      </c>
      <c r="G114" s="12">
        <v>0</v>
      </c>
      <c r="H114" s="12">
        <v>0</v>
      </c>
      <c r="I114" s="12">
        <v>0</v>
      </c>
      <c r="J114" s="12">
        <v>0</v>
      </c>
      <c r="K114" s="12">
        <v>0</v>
      </c>
      <c r="L114" s="12">
        <v>0</v>
      </c>
      <c r="M114" s="12">
        <v>0</v>
      </c>
      <c r="N114" s="12">
        <v>0</v>
      </c>
      <c r="O114" s="12">
        <v>0</v>
      </c>
      <c r="P114" s="12">
        <v>132996.75</v>
      </c>
      <c r="Q114" s="12">
        <v>0</v>
      </c>
      <c r="R114" s="12">
        <v>0</v>
      </c>
      <c r="S114" s="12">
        <v>0</v>
      </c>
      <c r="T114" s="12">
        <v>0</v>
      </c>
      <c r="U114" s="12">
        <v>0</v>
      </c>
      <c r="V114" s="12">
        <v>0</v>
      </c>
      <c r="W114" s="12">
        <v>0</v>
      </c>
      <c r="X114" s="12">
        <v>0</v>
      </c>
      <c r="Y114" s="12">
        <v>0</v>
      </c>
      <c r="Z114" s="12">
        <v>0</v>
      </c>
      <c r="AA114" s="12">
        <v>0</v>
      </c>
      <c r="AB114" s="12">
        <v>0</v>
      </c>
      <c r="AC114" s="12">
        <v>0</v>
      </c>
      <c r="AD114" s="12">
        <v>0</v>
      </c>
      <c r="AE114" s="12">
        <v>0</v>
      </c>
      <c r="AF114" s="12">
        <v>0</v>
      </c>
      <c r="AG114" s="12">
        <v>0</v>
      </c>
      <c r="AH114" s="12">
        <v>0</v>
      </c>
      <c r="AI114" s="12">
        <v>0</v>
      </c>
      <c r="AJ114" s="12">
        <v>0</v>
      </c>
      <c r="AK114" s="12">
        <v>0</v>
      </c>
      <c r="AL114" s="12">
        <v>0</v>
      </c>
      <c r="AM114" s="12">
        <v>0</v>
      </c>
      <c r="AN114" s="12">
        <v>0</v>
      </c>
      <c r="AO114" s="12">
        <v>0</v>
      </c>
      <c r="AP114" s="12">
        <v>0</v>
      </c>
      <c r="AQ114" s="12">
        <v>0</v>
      </c>
      <c r="AR114" s="12">
        <v>0</v>
      </c>
      <c r="AS114" s="12">
        <v>0</v>
      </c>
      <c r="AT114" s="12">
        <v>0</v>
      </c>
      <c r="AU114" s="12">
        <v>0</v>
      </c>
      <c r="AV114" s="12">
        <v>0</v>
      </c>
      <c r="AW114" s="12">
        <v>0</v>
      </c>
      <c r="AX114" s="12">
        <v>0</v>
      </c>
      <c r="AY114" s="12">
        <v>0</v>
      </c>
      <c r="AZ114" s="12">
        <v>0</v>
      </c>
      <c r="BA114" s="12">
        <v>0</v>
      </c>
      <c r="BB114" s="12">
        <v>0</v>
      </c>
      <c r="BC114" s="12">
        <v>0</v>
      </c>
      <c r="BD114" s="12">
        <v>0</v>
      </c>
      <c r="BE114" s="12">
        <v>0</v>
      </c>
      <c r="BF114" s="12">
        <v>0</v>
      </c>
      <c r="BG114" s="75">
        <f t="shared" si="19"/>
        <v>132996.75</v>
      </c>
      <c r="BH114" s="75">
        <f t="shared" si="16"/>
        <v>132996.75</v>
      </c>
      <c r="BI114" s="75">
        <f t="shared" si="17"/>
        <v>0</v>
      </c>
      <c r="BJ114" s="75">
        <f t="shared" si="18"/>
        <v>0</v>
      </c>
    </row>
    <row r="115" spans="1:62" x14ac:dyDescent="0.25">
      <c r="D115" s="7">
        <v>1466</v>
      </c>
      <c r="E115" s="7" t="s">
        <v>393</v>
      </c>
      <c r="F115" s="12">
        <v>0</v>
      </c>
      <c r="G115" s="12">
        <v>0</v>
      </c>
      <c r="H115" s="12">
        <v>0</v>
      </c>
      <c r="I115" s="12">
        <v>0</v>
      </c>
      <c r="J115" s="12">
        <v>0</v>
      </c>
      <c r="K115" s="12">
        <v>0</v>
      </c>
      <c r="L115" s="12">
        <v>75532.100000000006</v>
      </c>
      <c r="M115" s="12">
        <v>0</v>
      </c>
      <c r="N115" s="12">
        <v>0</v>
      </c>
      <c r="O115" s="12">
        <v>0</v>
      </c>
      <c r="P115" s="12">
        <v>0</v>
      </c>
      <c r="Q115" s="12">
        <v>0</v>
      </c>
      <c r="R115" s="12">
        <v>0</v>
      </c>
      <c r="S115" s="12">
        <v>0</v>
      </c>
      <c r="T115" s="12">
        <v>0</v>
      </c>
      <c r="U115" s="12">
        <v>0</v>
      </c>
      <c r="V115" s="12">
        <v>0</v>
      </c>
      <c r="W115" s="12">
        <v>0</v>
      </c>
      <c r="X115" s="12">
        <v>0</v>
      </c>
      <c r="Y115" s="12">
        <v>0</v>
      </c>
      <c r="Z115" s="12">
        <v>15000</v>
      </c>
      <c r="AA115" s="12">
        <v>0</v>
      </c>
      <c r="AB115" s="12">
        <v>0</v>
      </c>
      <c r="AC115" s="12">
        <v>0</v>
      </c>
      <c r="AD115" s="12">
        <v>0</v>
      </c>
      <c r="AE115" s="12">
        <v>0</v>
      </c>
      <c r="AF115" s="12">
        <v>0</v>
      </c>
      <c r="AG115" s="12">
        <v>0</v>
      </c>
      <c r="AH115" s="12">
        <v>0</v>
      </c>
      <c r="AI115" s="12">
        <v>0</v>
      </c>
      <c r="AJ115" s="12">
        <v>0</v>
      </c>
      <c r="AK115" s="12">
        <v>0</v>
      </c>
      <c r="AL115" s="12">
        <v>0</v>
      </c>
      <c r="AM115" s="12">
        <v>0</v>
      </c>
      <c r="AN115" s="12">
        <v>0</v>
      </c>
      <c r="AO115" s="12">
        <v>0</v>
      </c>
      <c r="AP115" s="12">
        <v>0</v>
      </c>
      <c r="AQ115" s="12">
        <v>0</v>
      </c>
      <c r="AR115" s="12">
        <v>0</v>
      </c>
      <c r="AS115" s="12">
        <v>0</v>
      </c>
      <c r="AT115" s="12">
        <v>0</v>
      </c>
      <c r="AU115" s="12">
        <v>0</v>
      </c>
      <c r="AV115" s="12">
        <v>0</v>
      </c>
      <c r="AW115" s="12">
        <v>0</v>
      </c>
      <c r="AX115" s="12">
        <v>0</v>
      </c>
      <c r="AY115" s="12">
        <v>0</v>
      </c>
      <c r="AZ115" s="12">
        <v>0</v>
      </c>
      <c r="BA115" s="12">
        <v>0</v>
      </c>
      <c r="BB115" s="12">
        <v>0</v>
      </c>
      <c r="BC115" s="12">
        <v>0</v>
      </c>
      <c r="BD115" s="12">
        <v>0</v>
      </c>
      <c r="BE115" s="12">
        <v>44000</v>
      </c>
      <c r="BF115" s="12">
        <v>0</v>
      </c>
      <c r="BG115" s="75">
        <f t="shared" si="19"/>
        <v>134532.1</v>
      </c>
      <c r="BH115" s="75">
        <f t="shared" si="16"/>
        <v>75532.100000000006</v>
      </c>
      <c r="BI115" s="75">
        <f t="shared" si="17"/>
        <v>15000</v>
      </c>
      <c r="BJ115" s="75">
        <f t="shared" si="18"/>
        <v>44000</v>
      </c>
    </row>
    <row r="116" spans="1:62" x14ac:dyDescent="0.25">
      <c r="D116" s="7">
        <v>1467</v>
      </c>
      <c r="E116" s="7" t="s">
        <v>388</v>
      </c>
      <c r="F116" s="12">
        <v>0</v>
      </c>
      <c r="G116" s="12">
        <v>0</v>
      </c>
      <c r="H116" s="12">
        <v>0</v>
      </c>
      <c r="I116" s="12">
        <v>0</v>
      </c>
      <c r="J116" s="12">
        <v>0</v>
      </c>
      <c r="K116" s="12">
        <v>0</v>
      </c>
      <c r="L116" s="12">
        <v>0</v>
      </c>
      <c r="M116" s="12">
        <v>0</v>
      </c>
      <c r="N116" s="12">
        <v>0</v>
      </c>
      <c r="O116" s="12">
        <v>0</v>
      </c>
      <c r="P116" s="12">
        <v>0</v>
      </c>
      <c r="Q116" s="12">
        <v>0</v>
      </c>
      <c r="R116" s="12">
        <v>0</v>
      </c>
      <c r="S116" s="12">
        <v>0</v>
      </c>
      <c r="T116" s="12">
        <v>0</v>
      </c>
      <c r="U116" s="12">
        <v>0</v>
      </c>
      <c r="V116" s="12">
        <v>0</v>
      </c>
      <c r="W116" s="12">
        <v>0</v>
      </c>
      <c r="X116" s="12">
        <v>0</v>
      </c>
      <c r="Y116" s="12">
        <v>0</v>
      </c>
      <c r="Z116" s="12">
        <v>0</v>
      </c>
      <c r="AA116" s="12">
        <v>0</v>
      </c>
      <c r="AB116" s="12">
        <v>0</v>
      </c>
      <c r="AC116" s="12">
        <v>0</v>
      </c>
      <c r="AD116" s="12">
        <v>0</v>
      </c>
      <c r="AE116" s="12">
        <v>0</v>
      </c>
      <c r="AF116" s="12">
        <v>0</v>
      </c>
      <c r="AG116" s="12">
        <v>0</v>
      </c>
      <c r="AH116" s="12">
        <v>0</v>
      </c>
      <c r="AI116" s="12">
        <v>0</v>
      </c>
      <c r="AJ116" s="12">
        <v>0</v>
      </c>
      <c r="AK116" s="12">
        <v>0</v>
      </c>
      <c r="AL116" s="12">
        <v>0</v>
      </c>
      <c r="AM116" s="12">
        <v>0</v>
      </c>
      <c r="AN116" s="12">
        <v>0</v>
      </c>
      <c r="AO116" s="12">
        <v>0</v>
      </c>
      <c r="AP116" s="12">
        <v>0</v>
      </c>
      <c r="AQ116" s="12">
        <v>0</v>
      </c>
      <c r="AR116" s="12">
        <v>0</v>
      </c>
      <c r="AS116" s="12">
        <v>0</v>
      </c>
      <c r="AT116" s="12">
        <v>0</v>
      </c>
      <c r="AU116" s="12">
        <v>0</v>
      </c>
      <c r="AV116" s="12">
        <v>0</v>
      </c>
      <c r="AW116" s="12">
        <v>0</v>
      </c>
      <c r="AX116" s="12">
        <v>0</v>
      </c>
      <c r="AY116" s="12">
        <v>0</v>
      </c>
      <c r="AZ116" s="12">
        <v>0</v>
      </c>
      <c r="BA116" s="12">
        <v>0</v>
      </c>
      <c r="BB116" s="12">
        <v>0</v>
      </c>
      <c r="BC116" s="12">
        <v>0</v>
      </c>
      <c r="BD116" s="12">
        <v>0</v>
      </c>
      <c r="BE116" s="12">
        <v>0</v>
      </c>
      <c r="BF116" s="12">
        <v>0</v>
      </c>
      <c r="BG116" s="75">
        <f t="shared" si="19"/>
        <v>0</v>
      </c>
      <c r="BH116" s="75">
        <f t="shared" si="16"/>
        <v>0</v>
      </c>
      <c r="BI116" s="75">
        <f t="shared" si="17"/>
        <v>0</v>
      </c>
      <c r="BJ116" s="75">
        <f t="shared" si="18"/>
        <v>0</v>
      </c>
    </row>
    <row r="117" spans="1:62" x14ac:dyDescent="0.25">
      <c r="D117" s="7">
        <v>1468</v>
      </c>
      <c r="E117" s="7" t="s">
        <v>389</v>
      </c>
      <c r="F117" s="12">
        <v>0</v>
      </c>
      <c r="G117" s="12">
        <v>0</v>
      </c>
      <c r="H117" s="12">
        <v>0</v>
      </c>
      <c r="I117" s="12">
        <v>0</v>
      </c>
      <c r="J117" s="12">
        <v>0</v>
      </c>
      <c r="K117" s="12">
        <v>0</v>
      </c>
      <c r="L117" s="12">
        <v>0</v>
      </c>
      <c r="M117" s="12">
        <v>0</v>
      </c>
      <c r="N117" s="12">
        <v>0</v>
      </c>
      <c r="O117" s="12">
        <v>0</v>
      </c>
      <c r="P117" s="12">
        <v>0</v>
      </c>
      <c r="Q117" s="12">
        <v>0</v>
      </c>
      <c r="R117" s="12">
        <v>0</v>
      </c>
      <c r="S117" s="12">
        <v>0</v>
      </c>
      <c r="T117" s="12">
        <v>0</v>
      </c>
      <c r="U117" s="12">
        <v>0</v>
      </c>
      <c r="V117" s="12">
        <v>0</v>
      </c>
      <c r="W117" s="12">
        <v>0</v>
      </c>
      <c r="X117" s="12">
        <v>0</v>
      </c>
      <c r="Y117" s="12">
        <v>0</v>
      </c>
      <c r="Z117" s="12">
        <v>0</v>
      </c>
      <c r="AA117" s="12">
        <v>0</v>
      </c>
      <c r="AB117" s="12">
        <v>0</v>
      </c>
      <c r="AC117" s="12">
        <v>0</v>
      </c>
      <c r="AD117" s="12">
        <v>0</v>
      </c>
      <c r="AE117" s="12">
        <v>0</v>
      </c>
      <c r="AF117" s="12">
        <v>0</v>
      </c>
      <c r="AG117" s="12">
        <v>0</v>
      </c>
      <c r="AH117" s="12">
        <v>0</v>
      </c>
      <c r="AI117" s="12">
        <v>0</v>
      </c>
      <c r="AJ117" s="12">
        <v>0</v>
      </c>
      <c r="AK117" s="12">
        <v>0</v>
      </c>
      <c r="AL117" s="12">
        <v>0</v>
      </c>
      <c r="AM117" s="12">
        <v>0</v>
      </c>
      <c r="AN117" s="12">
        <v>0</v>
      </c>
      <c r="AO117" s="12">
        <v>0</v>
      </c>
      <c r="AP117" s="12">
        <v>0</v>
      </c>
      <c r="AQ117" s="12">
        <v>0</v>
      </c>
      <c r="AR117" s="12">
        <v>0</v>
      </c>
      <c r="AS117" s="12">
        <v>0</v>
      </c>
      <c r="AT117" s="12">
        <v>0</v>
      </c>
      <c r="AU117" s="12">
        <v>0</v>
      </c>
      <c r="AV117" s="12">
        <v>0</v>
      </c>
      <c r="AW117" s="12">
        <v>0</v>
      </c>
      <c r="AX117" s="12">
        <v>0</v>
      </c>
      <c r="AY117" s="12">
        <v>0</v>
      </c>
      <c r="AZ117" s="12">
        <v>0</v>
      </c>
      <c r="BA117" s="12">
        <v>0</v>
      </c>
      <c r="BB117" s="12">
        <v>0</v>
      </c>
      <c r="BC117" s="12">
        <v>0</v>
      </c>
      <c r="BD117" s="12">
        <v>0</v>
      </c>
      <c r="BE117" s="12">
        <v>0</v>
      </c>
      <c r="BF117" s="12">
        <v>0</v>
      </c>
      <c r="BG117" s="75">
        <f t="shared" si="19"/>
        <v>0</v>
      </c>
      <c r="BH117" s="75">
        <f t="shared" si="16"/>
        <v>0</v>
      </c>
      <c r="BI117" s="75">
        <f t="shared" si="17"/>
        <v>0</v>
      </c>
      <c r="BJ117" s="75">
        <f t="shared" si="18"/>
        <v>0</v>
      </c>
    </row>
    <row r="118" spans="1:62" x14ac:dyDescent="0.25">
      <c r="D118" s="7">
        <v>1469</v>
      </c>
      <c r="E118" s="7" t="s">
        <v>390</v>
      </c>
      <c r="F118" s="12">
        <v>0</v>
      </c>
      <c r="G118" s="12">
        <v>0</v>
      </c>
      <c r="H118" s="12">
        <v>0</v>
      </c>
      <c r="I118" s="12">
        <v>0</v>
      </c>
      <c r="J118" s="12">
        <v>0</v>
      </c>
      <c r="K118" s="12">
        <v>0</v>
      </c>
      <c r="L118" s="12">
        <v>0</v>
      </c>
      <c r="M118" s="12">
        <v>0</v>
      </c>
      <c r="N118" s="12">
        <v>0</v>
      </c>
      <c r="O118" s="12">
        <v>0</v>
      </c>
      <c r="P118" s="12">
        <v>0</v>
      </c>
      <c r="Q118" s="12">
        <v>0</v>
      </c>
      <c r="R118" s="12">
        <v>0</v>
      </c>
      <c r="S118" s="12">
        <v>0</v>
      </c>
      <c r="T118" s="12">
        <v>0</v>
      </c>
      <c r="U118" s="12">
        <v>0</v>
      </c>
      <c r="V118" s="12">
        <v>0</v>
      </c>
      <c r="W118" s="12">
        <v>0</v>
      </c>
      <c r="X118" s="12">
        <v>0</v>
      </c>
      <c r="Y118" s="12">
        <v>0</v>
      </c>
      <c r="Z118" s="12">
        <v>0</v>
      </c>
      <c r="AA118" s="12">
        <v>0</v>
      </c>
      <c r="AB118" s="12">
        <v>0</v>
      </c>
      <c r="AC118" s="12">
        <v>0</v>
      </c>
      <c r="AD118" s="12">
        <v>0</v>
      </c>
      <c r="AE118" s="12">
        <v>0</v>
      </c>
      <c r="AF118" s="12">
        <v>0</v>
      </c>
      <c r="AG118" s="12">
        <v>0</v>
      </c>
      <c r="AH118" s="12">
        <v>0</v>
      </c>
      <c r="AI118" s="12">
        <v>0</v>
      </c>
      <c r="AJ118" s="12">
        <v>0</v>
      </c>
      <c r="AK118" s="12">
        <v>0</v>
      </c>
      <c r="AL118" s="12">
        <v>0</v>
      </c>
      <c r="AM118" s="12">
        <v>0</v>
      </c>
      <c r="AN118" s="12">
        <v>0</v>
      </c>
      <c r="AO118" s="12">
        <v>0</v>
      </c>
      <c r="AP118" s="12">
        <v>0</v>
      </c>
      <c r="AQ118" s="12">
        <v>0</v>
      </c>
      <c r="AR118" s="12">
        <v>0</v>
      </c>
      <c r="AS118" s="12">
        <v>0</v>
      </c>
      <c r="AT118" s="12">
        <v>0</v>
      </c>
      <c r="AU118" s="12">
        <v>0</v>
      </c>
      <c r="AV118" s="12">
        <v>0</v>
      </c>
      <c r="AW118" s="12">
        <v>0</v>
      </c>
      <c r="AX118" s="12">
        <v>0</v>
      </c>
      <c r="AY118" s="12">
        <v>0</v>
      </c>
      <c r="AZ118" s="12">
        <v>0</v>
      </c>
      <c r="BA118" s="12">
        <v>0</v>
      </c>
      <c r="BB118" s="12">
        <v>0</v>
      </c>
      <c r="BC118" s="12">
        <v>0</v>
      </c>
      <c r="BD118" s="12">
        <v>0</v>
      </c>
      <c r="BE118" s="12">
        <v>0</v>
      </c>
      <c r="BF118" s="12">
        <v>0</v>
      </c>
      <c r="BG118" s="75">
        <f t="shared" si="19"/>
        <v>0</v>
      </c>
      <c r="BH118" s="75">
        <f t="shared" si="16"/>
        <v>0</v>
      </c>
      <c r="BI118" s="75">
        <f t="shared" si="17"/>
        <v>0</v>
      </c>
      <c r="BJ118" s="75">
        <f t="shared" si="18"/>
        <v>0</v>
      </c>
    </row>
    <row r="119" spans="1:62" x14ac:dyDescent="0.25">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75"/>
      <c r="BH119" s="75"/>
      <c r="BI119" s="75"/>
      <c r="BJ119" s="75"/>
    </row>
    <row r="120" spans="1:62" x14ac:dyDescent="0.25">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75"/>
      <c r="BH120" s="75"/>
      <c r="BI120" s="75"/>
      <c r="BJ120" s="75"/>
    </row>
    <row r="121" spans="1:62" ht="21" x14ac:dyDescent="0.4">
      <c r="A121" s="17">
        <v>2</v>
      </c>
      <c r="B121" s="17"/>
      <c r="C121" s="17"/>
      <c r="D121" s="17"/>
      <c r="E121" s="17" t="s">
        <v>250</v>
      </c>
      <c r="F121" s="108">
        <f>F123+F133+F143+F153+F165+F173+F184+F191+F194+F198+F201+F204+F207+F210+F213+F216</f>
        <v>15351471.699999997</v>
      </c>
      <c r="G121" s="108">
        <f t="shared" ref="G121:BF121" si="25">G123+G133+G143+G153+G165+G173+G184+G191+G194+G198+G201+G204+G207+G210+G213+G216</f>
        <v>2857236.1700000004</v>
      </c>
      <c r="H121" s="108">
        <f t="shared" si="25"/>
        <v>6188463.8300000001</v>
      </c>
      <c r="I121" s="108">
        <f t="shared" si="25"/>
        <v>7036933.3000000007</v>
      </c>
      <c r="J121" s="108">
        <f t="shared" si="25"/>
        <v>38243525.109999999</v>
      </c>
      <c r="K121" s="108">
        <f t="shared" si="25"/>
        <v>32393668.550000004</v>
      </c>
      <c r="L121" s="108">
        <f t="shared" si="25"/>
        <v>22690900.720000003</v>
      </c>
      <c r="M121" s="108">
        <f t="shared" si="25"/>
        <v>199961273.16000003</v>
      </c>
      <c r="N121" s="108">
        <f t="shared" si="25"/>
        <v>11629026.99</v>
      </c>
      <c r="O121" s="108">
        <f t="shared" si="25"/>
        <v>1629566.81</v>
      </c>
      <c r="P121" s="108">
        <f t="shared" si="25"/>
        <v>59034862.589999996</v>
      </c>
      <c r="Q121" s="108">
        <f t="shared" si="25"/>
        <v>4165762.4299999997</v>
      </c>
      <c r="R121" s="108">
        <f t="shared" si="25"/>
        <v>782003.11</v>
      </c>
      <c r="S121" s="108">
        <f t="shared" si="25"/>
        <v>4004983.25</v>
      </c>
      <c r="T121" s="108">
        <f t="shared" si="25"/>
        <v>5359003.9800000004</v>
      </c>
      <c r="U121" s="108">
        <f t="shared" si="25"/>
        <v>8963799.959999999</v>
      </c>
      <c r="V121" s="108">
        <f t="shared" si="25"/>
        <v>2074760.85</v>
      </c>
      <c r="W121" s="108">
        <f t="shared" si="25"/>
        <v>4548523.43</v>
      </c>
      <c r="X121" s="108">
        <f t="shared" si="25"/>
        <v>23572572.590000004</v>
      </c>
      <c r="Y121" s="108">
        <f t="shared" si="25"/>
        <v>3928455.8200000003</v>
      </c>
      <c r="Z121" s="108">
        <f t="shared" si="25"/>
        <v>14906642.149999999</v>
      </c>
      <c r="AA121" s="108">
        <f t="shared" si="25"/>
        <v>33084882.600000001</v>
      </c>
      <c r="AB121" s="108">
        <f t="shared" si="25"/>
        <v>1816922.9</v>
      </c>
      <c r="AC121" s="108">
        <f t="shared" si="25"/>
        <v>3097266.8600000003</v>
      </c>
      <c r="AD121" s="108">
        <f t="shared" si="25"/>
        <v>6482861.1500000004</v>
      </c>
      <c r="AE121" s="108">
        <f t="shared" si="25"/>
        <v>9794411.2100000028</v>
      </c>
      <c r="AF121" s="108">
        <f t="shared" si="25"/>
        <v>6906971.9199999999</v>
      </c>
      <c r="AG121" s="108">
        <f t="shared" si="25"/>
        <v>9417073.4000000004</v>
      </c>
      <c r="AH121" s="108">
        <f t="shared" si="25"/>
        <v>16570878.16</v>
      </c>
      <c r="AI121" s="108">
        <f t="shared" si="25"/>
        <v>27685699.700000003</v>
      </c>
      <c r="AJ121" s="108">
        <f t="shared" si="25"/>
        <v>3910910.17</v>
      </c>
      <c r="AK121" s="108">
        <f t="shared" si="25"/>
        <v>3178651.16</v>
      </c>
      <c r="AL121" s="108">
        <f t="shared" si="25"/>
        <v>23583016.650000002</v>
      </c>
      <c r="AM121" s="108">
        <f t="shared" si="25"/>
        <v>15554837.060000002</v>
      </c>
      <c r="AN121" s="108">
        <f t="shared" si="25"/>
        <v>15693458.240000002</v>
      </c>
      <c r="AO121" s="108">
        <f t="shared" si="25"/>
        <v>2776977.8499999996</v>
      </c>
      <c r="AP121" s="108">
        <f t="shared" si="25"/>
        <v>32344669.98</v>
      </c>
      <c r="AQ121" s="108">
        <f t="shared" si="25"/>
        <v>8074767.4399999995</v>
      </c>
      <c r="AR121" s="108">
        <f t="shared" si="25"/>
        <v>7196995.9100000001</v>
      </c>
      <c r="AS121" s="108">
        <f t="shared" si="25"/>
        <v>21198451.719999999</v>
      </c>
      <c r="AT121" s="108">
        <f t="shared" si="25"/>
        <v>7758416.0800000001</v>
      </c>
      <c r="AU121" s="108">
        <f t="shared" si="25"/>
        <v>11361991.6</v>
      </c>
      <c r="AV121" s="108">
        <f t="shared" si="25"/>
        <v>5420580.8200000003</v>
      </c>
      <c r="AW121" s="108">
        <f t="shared" si="25"/>
        <v>21906291.82</v>
      </c>
      <c r="AX121" s="108">
        <f t="shared" si="25"/>
        <v>9263098.4100000001</v>
      </c>
      <c r="AY121" s="108">
        <f t="shared" si="25"/>
        <v>1464683.1600000001</v>
      </c>
      <c r="AZ121" s="108">
        <f t="shared" si="25"/>
        <v>3598958.94</v>
      </c>
      <c r="BA121" s="108">
        <f t="shared" si="25"/>
        <v>23126386.779999997</v>
      </c>
      <c r="BB121" s="108">
        <f t="shared" si="25"/>
        <v>6516596.6699999999</v>
      </c>
      <c r="BC121" s="108">
        <f t="shared" si="25"/>
        <v>16415270.009999998</v>
      </c>
      <c r="BD121" s="108">
        <f t="shared" si="25"/>
        <v>1775646.7400000002</v>
      </c>
      <c r="BE121" s="108">
        <f t="shared" si="25"/>
        <v>83044399.940000013</v>
      </c>
      <c r="BF121" s="108">
        <f t="shared" si="25"/>
        <v>5839910.9000000004</v>
      </c>
      <c r="BG121" s="18">
        <f t="shared" si="19"/>
        <v>915185372.45000029</v>
      </c>
      <c r="BH121" s="108">
        <f t="shared" si="16"/>
        <v>450488338.53000009</v>
      </c>
      <c r="BI121" s="108">
        <f t="shared" si="17"/>
        <v>140781627.19999999</v>
      </c>
      <c r="BJ121" s="108">
        <f t="shared" si="18"/>
        <v>323915406.71999997</v>
      </c>
    </row>
    <row r="122" spans="1:62" x14ac:dyDescent="0.25">
      <c r="A122" s="6"/>
      <c r="B122" s="109">
        <v>20</v>
      </c>
      <c r="C122" s="109"/>
      <c r="D122" s="109"/>
      <c r="E122" s="109" t="s">
        <v>251</v>
      </c>
      <c r="F122" s="110">
        <f>F123+F133+F143+F153+F165+F173+F184</f>
        <v>10387762</v>
      </c>
      <c r="G122" s="110">
        <f t="shared" ref="G122:BF122" si="26">G123+G133+G143+G153+G165+G173+G184</f>
        <v>2458341.4500000002</v>
      </c>
      <c r="H122" s="110">
        <f t="shared" si="26"/>
        <v>5663438.9000000004</v>
      </c>
      <c r="I122" s="110">
        <f t="shared" si="26"/>
        <v>4613675.95</v>
      </c>
      <c r="J122" s="110">
        <f t="shared" si="26"/>
        <v>26620617.579999998</v>
      </c>
      <c r="K122" s="110">
        <f t="shared" si="26"/>
        <v>24892414.510000002</v>
      </c>
      <c r="L122" s="110">
        <f t="shared" si="26"/>
        <v>11320234.83</v>
      </c>
      <c r="M122" s="110">
        <f t="shared" si="26"/>
        <v>172023431.55000001</v>
      </c>
      <c r="N122" s="110">
        <f t="shared" si="26"/>
        <v>7707490.3399999999</v>
      </c>
      <c r="O122" s="110">
        <f t="shared" si="26"/>
        <v>1081046.8900000001</v>
      </c>
      <c r="P122" s="110">
        <f t="shared" si="26"/>
        <v>47318439.43</v>
      </c>
      <c r="Q122" s="110">
        <f t="shared" si="26"/>
        <v>3246426.65</v>
      </c>
      <c r="R122" s="110">
        <f t="shared" si="26"/>
        <v>516713.91000000003</v>
      </c>
      <c r="S122" s="110">
        <f t="shared" si="26"/>
        <v>3206301.96</v>
      </c>
      <c r="T122" s="110">
        <f t="shared" si="26"/>
        <v>4198890.09</v>
      </c>
      <c r="U122" s="110">
        <f t="shared" si="26"/>
        <v>5743955.0699999994</v>
      </c>
      <c r="V122" s="110">
        <f t="shared" si="26"/>
        <v>1376416.56</v>
      </c>
      <c r="W122" s="110">
        <f t="shared" si="26"/>
        <v>3850042.2199999997</v>
      </c>
      <c r="X122" s="110">
        <f t="shared" si="26"/>
        <v>16558833.02</v>
      </c>
      <c r="Y122" s="110">
        <f t="shared" si="26"/>
        <v>557289.15</v>
      </c>
      <c r="Z122" s="110">
        <f t="shared" si="26"/>
        <v>10023871.58</v>
      </c>
      <c r="AA122" s="110">
        <f t="shared" si="26"/>
        <v>11609126.439999999</v>
      </c>
      <c r="AB122" s="110">
        <f t="shared" si="26"/>
        <v>1134572.45</v>
      </c>
      <c r="AC122" s="110">
        <f t="shared" si="26"/>
        <v>1455772.58</v>
      </c>
      <c r="AD122" s="110">
        <f t="shared" si="26"/>
        <v>4809335.9300000006</v>
      </c>
      <c r="AE122" s="110">
        <f t="shared" si="26"/>
        <v>8125283.04</v>
      </c>
      <c r="AF122" s="110">
        <f t="shared" si="26"/>
        <v>4282275.18</v>
      </c>
      <c r="AG122" s="110">
        <f t="shared" si="26"/>
        <v>2332429.3199999998</v>
      </c>
      <c r="AH122" s="110">
        <f t="shared" si="26"/>
        <v>6112885.5499999998</v>
      </c>
      <c r="AI122" s="110">
        <f t="shared" si="26"/>
        <v>17455328.25</v>
      </c>
      <c r="AJ122" s="110">
        <f t="shared" si="26"/>
        <v>1696806.31</v>
      </c>
      <c r="AK122" s="110">
        <f t="shared" si="26"/>
        <v>955647.76</v>
      </c>
      <c r="AL122" s="110">
        <f t="shared" si="26"/>
        <v>18480685.75</v>
      </c>
      <c r="AM122" s="110">
        <f t="shared" si="26"/>
        <v>9082156.0500000007</v>
      </c>
      <c r="AN122" s="110">
        <f t="shared" si="26"/>
        <v>12207406.350000001</v>
      </c>
      <c r="AO122" s="110">
        <f t="shared" si="26"/>
        <v>1433220.07</v>
      </c>
      <c r="AP122" s="110">
        <f t="shared" si="26"/>
        <v>9780990.1600000001</v>
      </c>
      <c r="AQ122" s="110">
        <f t="shared" si="26"/>
        <v>5325818.5199999996</v>
      </c>
      <c r="AR122" s="110">
        <f t="shared" si="26"/>
        <v>4789846.6900000004</v>
      </c>
      <c r="AS122" s="110">
        <f t="shared" si="26"/>
        <v>10750093.829999998</v>
      </c>
      <c r="AT122" s="110">
        <f t="shared" si="26"/>
        <v>5683203.0499999998</v>
      </c>
      <c r="AU122" s="110">
        <f t="shared" si="26"/>
        <v>9689539.4199999999</v>
      </c>
      <c r="AV122" s="110">
        <f t="shared" si="26"/>
        <v>1923504.9000000001</v>
      </c>
      <c r="AW122" s="110">
        <f t="shared" si="26"/>
        <v>14166790.52</v>
      </c>
      <c r="AX122" s="110">
        <f t="shared" si="26"/>
        <v>6251229.9899999993</v>
      </c>
      <c r="AY122" s="110">
        <f t="shared" si="26"/>
        <v>861801.6</v>
      </c>
      <c r="AZ122" s="110">
        <f t="shared" si="26"/>
        <v>2114057.42</v>
      </c>
      <c r="BA122" s="110">
        <f t="shared" si="26"/>
        <v>19788217.459999997</v>
      </c>
      <c r="BB122" s="110">
        <f t="shared" si="26"/>
        <v>3124082.63</v>
      </c>
      <c r="BC122" s="110">
        <f t="shared" si="26"/>
        <v>11179720.809999999</v>
      </c>
      <c r="BD122" s="110">
        <f t="shared" si="26"/>
        <v>476804.52999999997</v>
      </c>
      <c r="BE122" s="110">
        <f t="shared" si="26"/>
        <v>71918102.74000001</v>
      </c>
      <c r="BF122" s="110">
        <f t="shared" si="26"/>
        <v>4255168.32</v>
      </c>
      <c r="BG122" s="110">
        <f t="shared" si="19"/>
        <v>646617537.25999999</v>
      </c>
      <c r="BH122" s="110">
        <f t="shared" si="16"/>
        <v>352784472.90999997</v>
      </c>
      <c r="BI122" s="110">
        <f t="shared" si="17"/>
        <v>70550623.540000007</v>
      </c>
      <c r="BJ122" s="110">
        <f t="shared" si="18"/>
        <v>223282440.81</v>
      </c>
    </row>
    <row r="123" spans="1:62" x14ac:dyDescent="0.25">
      <c r="C123" s="111">
        <v>200</v>
      </c>
      <c r="D123" s="111"/>
      <c r="E123" s="111" t="s">
        <v>252</v>
      </c>
      <c r="F123" s="112">
        <f>F124+F125+F126+F127+F128+F129+F130+F131</f>
        <v>87051.650000000009</v>
      </c>
      <c r="G123" s="112">
        <f t="shared" ref="G123:BF123" si="27">G124+G125+G126+G127+G128+G129+G130+G131</f>
        <v>127449.95</v>
      </c>
      <c r="H123" s="112">
        <f t="shared" si="27"/>
        <v>35980.85</v>
      </c>
      <c r="I123" s="112">
        <f t="shared" si="27"/>
        <v>303392.63</v>
      </c>
      <c r="J123" s="112">
        <f t="shared" si="27"/>
        <v>1690155.04</v>
      </c>
      <c r="K123" s="112">
        <f t="shared" si="27"/>
        <v>1780885.62</v>
      </c>
      <c r="L123" s="112">
        <f t="shared" si="27"/>
        <v>289947.59000000003</v>
      </c>
      <c r="M123" s="112">
        <f t="shared" si="27"/>
        <v>10184153.890000001</v>
      </c>
      <c r="N123" s="112">
        <f t="shared" si="27"/>
        <v>582457.34</v>
      </c>
      <c r="O123" s="112">
        <f t="shared" si="27"/>
        <v>0</v>
      </c>
      <c r="P123" s="112">
        <f t="shared" si="27"/>
        <v>2440635.39</v>
      </c>
      <c r="Q123" s="112">
        <f t="shared" si="27"/>
        <v>123486.63</v>
      </c>
      <c r="R123" s="112">
        <f t="shared" si="27"/>
        <v>9398.2999999999993</v>
      </c>
      <c r="S123" s="112">
        <f t="shared" si="27"/>
        <v>297493.89</v>
      </c>
      <c r="T123" s="112">
        <f t="shared" si="27"/>
        <v>104966.15</v>
      </c>
      <c r="U123" s="112">
        <f t="shared" si="27"/>
        <v>509439.42</v>
      </c>
      <c r="V123" s="112">
        <f t="shared" si="27"/>
        <v>294338.49</v>
      </c>
      <c r="W123" s="112">
        <f t="shared" si="27"/>
        <v>136932.75</v>
      </c>
      <c r="X123" s="112">
        <f t="shared" si="27"/>
        <v>1599706.82</v>
      </c>
      <c r="Y123" s="112">
        <f t="shared" si="27"/>
        <v>0</v>
      </c>
      <c r="Z123" s="112">
        <f t="shared" si="27"/>
        <v>348103.17</v>
      </c>
      <c r="AA123" s="112">
        <f t="shared" si="27"/>
        <v>4277683.17</v>
      </c>
      <c r="AB123" s="112">
        <f t="shared" si="27"/>
        <v>200525.4</v>
      </c>
      <c r="AC123" s="112">
        <f t="shared" si="27"/>
        <v>129927.81</v>
      </c>
      <c r="AD123" s="112">
        <f t="shared" si="27"/>
        <v>347859.56000000006</v>
      </c>
      <c r="AE123" s="112">
        <f t="shared" si="27"/>
        <v>511995.85000000003</v>
      </c>
      <c r="AF123" s="112">
        <f t="shared" si="27"/>
        <v>197555.05000000002</v>
      </c>
      <c r="AG123" s="112">
        <f t="shared" si="27"/>
        <v>129222.31999999999</v>
      </c>
      <c r="AH123" s="112">
        <f t="shared" si="27"/>
        <v>1155037.94</v>
      </c>
      <c r="AI123" s="112">
        <f t="shared" si="27"/>
        <v>555580.65</v>
      </c>
      <c r="AJ123" s="112">
        <f t="shared" si="27"/>
        <v>616045.5</v>
      </c>
      <c r="AK123" s="112">
        <f t="shared" si="27"/>
        <v>39753.160000000003</v>
      </c>
      <c r="AL123" s="112">
        <f t="shared" si="27"/>
        <v>553527.1</v>
      </c>
      <c r="AM123" s="112">
        <f t="shared" si="27"/>
        <v>130197.35</v>
      </c>
      <c r="AN123" s="112">
        <f t="shared" si="27"/>
        <v>463530.21</v>
      </c>
      <c r="AO123" s="112">
        <f t="shared" si="27"/>
        <v>30031.52</v>
      </c>
      <c r="AP123" s="112">
        <f t="shared" si="27"/>
        <v>905669.76</v>
      </c>
      <c r="AQ123" s="112">
        <f t="shared" si="27"/>
        <v>504602.57</v>
      </c>
      <c r="AR123" s="112">
        <f t="shared" si="27"/>
        <v>178668.7</v>
      </c>
      <c r="AS123" s="112">
        <f t="shared" si="27"/>
        <v>472209.85</v>
      </c>
      <c r="AT123" s="112">
        <f t="shared" si="27"/>
        <v>678578.01</v>
      </c>
      <c r="AU123" s="112">
        <f t="shared" si="27"/>
        <v>218104.88999999998</v>
      </c>
      <c r="AV123" s="112">
        <f t="shared" si="27"/>
        <v>85812.35</v>
      </c>
      <c r="AW123" s="112">
        <f t="shared" si="27"/>
        <v>337466.31</v>
      </c>
      <c r="AX123" s="112">
        <f t="shared" si="27"/>
        <v>226976.44</v>
      </c>
      <c r="AY123" s="112">
        <f t="shared" si="27"/>
        <v>50732.4</v>
      </c>
      <c r="AZ123" s="112">
        <f t="shared" si="27"/>
        <v>189382.59</v>
      </c>
      <c r="BA123" s="112">
        <f t="shared" si="27"/>
        <v>1145974.3</v>
      </c>
      <c r="BB123" s="112">
        <f t="shared" si="27"/>
        <v>87775.61</v>
      </c>
      <c r="BC123" s="112">
        <f t="shared" si="27"/>
        <v>423582.76999999996</v>
      </c>
      <c r="BD123" s="112">
        <f t="shared" si="27"/>
        <v>27000</v>
      </c>
      <c r="BE123" s="112">
        <f t="shared" si="27"/>
        <v>3439064.8299999996</v>
      </c>
      <c r="BF123" s="112">
        <f t="shared" si="27"/>
        <v>240647.07</v>
      </c>
      <c r="BG123" s="112">
        <f t="shared" si="19"/>
        <v>39496696.610000007</v>
      </c>
      <c r="BH123" s="112">
        <f t="shared" si="16"/>
        <v>20597872.399999999</v>
      </c>
      <c r="BI123" s="112">
        <f t="shared" si="17"/>
        <v>8509289.5800000001</v>
      </c>
      <c r="BJ123" s="112">
        <f t="shared" si="18"/>
        <v>10389534.630000001</v>
      </c>
    </row>
    <row r="124" spans="1:62" x14ac:dyDescent="0.25">
      <c r="D124" s="7">
        <v>2000</v>
      </c>
      <c r="E124" s="7" t="s">
        <v>395</v>
      </c>
      <c r="F124" s="12">
        <v>87058.1</v>
      </c>
      <c r="G124" s="12">
        <v>125526.3</v>
      </c>
      <c r="H124" s="12">
        <v>35555.85</v>
      </c>
      <c r="I124" s="12">
        <v>189035.64</v>
      </c>
      <c r="J124" s="12">
        <v>1690155.04</v>
      </c>
      <c r="K124" s="12">
        <v>1171662.8700000001</v>
      </c>
      <c r="L124" s="12">
        <v>279020.59000000003</v>
      </c>
      <c r="M124" s="12">
        <v>10060131.99</v>
      </c>
      <c r="N124" s="12">
        <v>583087.18999999994</v>
      </c>
      <c r="O124" s="12">
        <v>0</v>
      </c>
      <c r="P124" s="12">
        <v>2219570.15</v>
      </c>
      <c r="Q124" s="12">
        <v>123486.63</v>
      </c>
      <c r="R124" s="12">
        <v>9398.2999999999993</v>
      </c>
      <c r="S124" s="12">
        <v>297493.89</v>
      </c>
      <c r="T124" s="12">
        <v>104966.15</v>
      </c>
      <c r="U124" s="12">
        <v>509437.87</v>
      </c>
      <c r="V124" s="12">
        <v>119304.36</v>
      </c>
      <c r="W124" s="12">
        <v>136652.75</v>
      </c>
      <c r="X124" s="12">
        <v>750693.3</v>
      </c>
      <c r="Y124" s="12">
        <v>0</v>
      </c>
      <c r="Z124" s="12">
        <v>296432.05</v>
      </c>
      <c r="AA124" s="12">
        <v>732881.42</v>
      </c>
      <c r="AB124" s="12">
        <v>200525.4</v>
      </c>
      <c r="AC124" s="12">
        <v>118820.65</v>
      </c>
      <c r="AD124" s="12">
        <v>264839.46000000002</v>
      </c>
      <c r="AE124" s="12">
        <v>551521.75</v>
      </c>
      <c r="AF124" s="12">
        <v>186787.75</v>
      </c>
      <c r="AG124" s="12">
        <v>129147.05</v>
      </c>
      <c r="AH124" s="12">
        <v>1107838.04</v>
      </c>
      <c r="AI124" s="12">
        <v>489640.05</v>
      </c>
      <c r="AJ124" s="12">
        <v>0</v>
      </c>
      <c r="AK124" s="12">
        <v>14395.05</v>
      </c>
      <c r="AL124" s="12">
        <v>517242.15</v>
      </c>
      <c r="AM124" s="12">
        <v>130197.35</v>
      </c>
      <c r="AN124" s="12">
        <v>460870.21</v>
      </c>
      <c r="AO124" s="12">
        <v>30031.52</v>
      </c>
      <c r="AP124" s="12">
        <v>904769.76</v>
      </c>
      <c r="AQ124" s="12">
        <v>203790.88</v>
      </c>
      <c r="AR124" s="12">
        <v>178668.7</v>
      </c>
      <c r="AS124" s="12">
        <v>468673.05</v>
      </c>
      <c r="AT124" s="12">
        <v>678565.17</v>
      </c>
      <c r="AU124" s="12">
        <v>111321.43</v>
      </c>
      <c r="AV124" s="12">
        <v>85812.35</v>
      </c>
      <c r="AW124" s="12">
        <v>349090.7</v>
      </c>
      <c r="AX124" s="12">
        <v>226976.44</v>
      </c>
      <c r="AY124" s="12">
        <v>49982.400000000001</v>
      </c>
      <c r="AZ124" s="12">
        <v>187646.6</v>
      </c>
      <c r="BA124" s="12">
        <v>1145974.3</v>
      </c>
      <c r="BB124" s="12">
        <v>87775.61</v>
      </c>
      <c r="BC124" s="12">
        <v>338227.86</v>
      </c>
      <c r="BD124" s="12">
        <v>0</v>
      </c>
      <c r="BE124" s="12">
        <v>3200264.05</v>
      </c>
      <c r="BF124" s="12">
        <v>238645.25</v>
      </c>
      <c r="BG124" s="75">
        <f t="shared" si="19"/>
        <v>32179591.420000009</v>
      </c>
      <c r="BH124" s="75">
        <f t="shared" si="16"/>
        <v>18492236.970000003</v>
      </c>
      <c r="BI124" s="75">
        <f t="shared" si="17"/>
        <v>4092828.669999999</v>
      </c>
      <c r="BJ124" s="75">
        <f t="shared" si="18"/>
        <v>9594525.7800000012</v>
      </c>
    </row>
    <row r="125" spans="1:62" x14ac:dyDescent="0.25">
      <c r="D125" s="7">
        <v>2001</v>
      </c>
      <c r="E125" s="7" t="s">
        <v>396</v>
      </c>
      <c r="F125" s="12">
        <v>0.03</v>
      </c>
      <c r="G125" s="12">
        <v>523.65</v>
      </c>
      <c r="H125" s="12">
        <v>-46742</v>
      </c>
      <c r="I125" s="12">
        <v>0</v>
      </c>
      <c r="J125" s="12">
        <v>0</v>
      </c>
      <c r="K125" s="12">
        <v>14150</v>
      </c>
      <c r="L125" s="12">
        <v>6977</v>
      </c>
      <c r="M125" s="12">
        <v>-15044.46</v>
      </c>
      <c r="N125" s="12">
        <v>-1429.85</v>
      </c>
      <c r="O125" s="12">
        <v>0</v>
      </c>
      <c r="P125" s="12">
        <v>51927.9</v>
      </c>
      <c r="Q125" s="12">
        <v>0</v>
      </c>
      <c r="R125" s="12">
        <v>0</v>
      </c>
      <c r="S125" s="12">
        <v>0</v>
      </c>
      <c r="T125" s="12">
        <v>0</v>
      </c>
      <c r="U125" s="12">
        <v>1.55</v>
      </c>
      <c r="V125" s="12">
        <v>175034.13</v>
      </c>
      <c r="W125" s="12">
        <v>0</v>
      </c>
      <c r="X125" s="12">
        <v>27655.95</v>
      </c>
      <c r="Y125" s="12">
        <v>0</v>
      </c>
      <c r="Z125" s="12">
        <v>58499.4</v>
      </c>
      <c r="AA125" s="12">
        <v>207271.73</v>
      </c>
      <c r="AB125" s="12">
        <v>0</v>
      </c>
      <c r="AC125" s="12">
        <v>11007.16</v>
      </c>
      <c r="AD125" s="12">
        <v>-7094.5</v>
      </c>
      <c r="AE125" s="12">
        <v>3786.8</v>
      </c>
      <c r="AF125" s="12">
        <v>3114.35</v>
      </c>
      <c r="AG125" s="12">
        <v>-7508.13</v>
      </c>
      <c r="AH125" s="12">
        <v>43879.9</v>
      </c>
      <c r="AI125" s="12">
        <v>0</v>
      </c>
      <c r="AJ125" s="12">
        <v>616045.5</v>
      </c>
      <c r="AK125" s="12">
        <v>24158.11</v>
      </c>
      <c r="AL125" s="12">
        <v>0</v>
      </c>
      <c r="AM125" s="12">
        <v>0</v>
      </c>
      <c r="AN125" s="12">
        <v>-250</v>
      </c>
      <c r="AO125" s="12">
        <v>0</v>
      </c>
      <c r="AP125" s="12">
        <v>0</v>
      </c>
      <c r="AQ125" s="12">
        <v>300811.69</v>
      </c>
      <c r="AR125" s="12">
        <v>0</v>
      </c>
      <c r="AS125" s="12">
        <v>0</v>
      </c>
      <c r="AT125" s="12">
        <v>0</v>
      </c>
      <c r="AU125" s="12">
        <v>0</v>
      </c>
      <c r="AV125" s="12">
        <v>0</v>
      </c>
      <c r="AW125" s="12">
        <v>-3480.85</v>
      </c>
      <c r="AX125" s="12">
        <v>0</v>
      </c>
      <c r="AY125" s="12">
        <v>0</v>
      </c>
      <c r="AZ125" s="12">
        <v>0</v>
      </c>
      <c r="BA125" s="12">
        <v>0</v>
      </c>
      <c r="BB125" s="12">
        <v>0</v>
      </c>
      <c r="BC125" s="12">
        <v>53600</v>
      </c>
      <c r="BD125" s="12">
        <v>27000</v>
      </c>
      <c r="BE125" s="12">
        <v>506.8</v>
      </c>
      <c r="BF125" s="12">
        <v>0</v>
      </c>
      <c r="BG125" s="75">
        <f t="shared" si="19"/>
        <v>1544401.8599999999</v>
      </c>
      <c r="BH125" s="75">
        <f t="shared" si="16"/>
        <v>213053.90000000002</v>
      </c>
      <c r="BI125" s="75">
        <f t="shared" si="17"/>
        <v>953160.32</v>
      </c>
      <c r="BJ125" s="75">
        <f t="shared" si="18"/>
        <v>378187.64</v>
      </c>
    </row>
    <row r="126" spans="1:62" x14ac:dyDescent="0.25">
      <c r="D126" s="7">
        <v>2002</v>
      </c>
      <c r="E126" s="7" t="s">
        <v>397</v>
      </c>
      <c r="F126" s="12">
        <v>-6.48</v>
      </c>
      <c r="G126" s="12">
        <v>0</v>
      </c>
      <c r="H126" s="12">
        <v>47167</v>
      </c>
      <c r="I126" s="12">
        <v>11043.24</v>
      </c>
      <c r="J126" s="12">
        <v>0</v>
      </c>
      <c r="K126" s="12">
        <v>83267.75</v>
      </c>
      <c r="L126" s="12">
        <v>0</v>
      </c>
      <c r="M126" s="12">
        <v>184462.47</v>
      </c>
      <c r="N126" s="12">
        <v>0</v>
      </c>
      <c r="O126" s="12">
        <v>0</v>
      </c>
      <c r="P126" s="12">
        <v>79439.64</v>
      </c>
      <c r="Q126" s="12">
        <v>0</v>
      </c>
      <c r="R126" s="12">
        <v>0</v>
      </c>
      <c r="S126" s="12">
        <v>0</v>
      </c>
      <c r="T126" s="12">
        <v>0</v>
      </c>
      <c r="U126" s="12">
        <v>0</v>
      </c>
      <c r="V126" s="12">
        <v>0</v>
      </c>
      <c r="W126" s="12">
        <v>0</v>
      </c>
      <c r="X126" s="12">
        <v>0</v>
      </c>
      <c r="Y126" s="12">
        <v>0</v>
      </c>
      <c r="Z126" s="12">
        <v>-6828.28</v>
      </c>
      <c r="AA126" s="12">
        <v>3337530.02</v>
      </c>
      <c r="AB126" s="12">
        <v>0</v>
      </c>
      <c r="AC126" s="12">
        <v>0</v>
      </c>
      <c r="AD126" s="12">
        <v>18495.650000000001</v>
      </c>
      <c r="AE126" s="12">
        <v>-43312.7</v>
      </c>
      <c r="AF126" s="12">
        <v>7652.95</v>
      </c>
      <c r="AG126" s="12">
        <v>-16.600000000000001</v>
      </c>
      <c r="AH126" s="12">
        <v>0</v>
      </c>
      <c r="AI126" s="12">
        <v>65940.600000000006</v>
      </c>
      <c r="AJ126" s="12">
        <v>0</v>
      </c>
      <c r="AK126" s="12">
        <v>0</v>
      </c>
      <c r="AL126" s="12">
        <v>31584.95</v>
      </c>
      <c r="AM126" s="12">
        <v>0</v>
      </c>
      <c r="AN126" s="12">
        <v>0</v>
      </c>
      <c r="AO126" s="12">
        <v>0</v>
      </c>
      <c r="AP126" s="12">
        <v>0</v>
      </c>
      <c r="AQ126" s="12">
        <v>0</v>
      </c>
      <c r="AR126" s="12">
        <v>0</v>
      </c>
      <c r="AS126" s="12">
        <v>3536.8</v>
      </c>
      <c r="AT126" s="12">
        <v>12.84</v>
      </c>
      <c r="AU126" s="12">
        <v>3655.45</v>
      </c>
      <c r="AV126" s="12">
        <v>0</v>
      </c>
      <c r="AW126" s="12">
        <v>1135.3599999999999</v>
      </c>
      <c r="AX126" s="12">
        <v>0</v>
      </c>
      <c r="AY126" s="12">
        <v>0</v>
      </c>
      <c r="AZ126" s="12">
        <v>1735.99</v>
      </c>
      <c r="BA126" s="12">
        <v>0</v>
      </c>
      <c r="BB126" s="12">
        <v>0</v>
      </c>
      <c r="BC126" s="12">
        <v>31754.91</v>
      </c>
      <c r="BD126" s="12">
        <v>0</v>
      </c>
      <c r="BE126" s="12">
        <v>405745.71</v>
      </c>
      <c r="BF126" s="12">
        <v>2001.82</v>
      </c>
      <c r="BG126" s="75">
        <f t="shared" si="19"/>
        <v>4265999.0900000008</v>
      </c>
      <c r="BH126" s="75">
        <f t="shared" si="16"/>
        <v>405373.62</v>
      </c>
      <c r="BI126" s="75">
        <f t="shared" si="17"/>
        <v>3379461.64</v>
      </c>
      <c r="BJ126" s="75">
        <f t="shared" si="18"/>
        <v>481163.83</v>
      </c>
    </row>
    <row r="127" spans="1:62" x14ac:dyDescent="0.25">
      <c r="D127" s="7">
        <v>2003</v>
      </c>
      <c r="E127" s="7" t="s">
        <v>398</v>
      </c>
      <c r="F127" s="12">
        <v>0</v>
      </c>
      <c r="G127" s="12">
        <v>0</v>
      </c>
      <c r="H127" s="12">
        <v>0</v>
      </c>
      <c r="I127" s="12">
        <v>0</v>
      </c>
      <c r="J127" s="12">
        <v>0</v>
      </c>
      <c r="K127" s="12">
        <v>0</v>
      </c>
      <c r="L127" s="12">
        <v>0</v>
      </c>
      <c r="M127" s="12">
        <v>0</v>
      </c>
      <c r="N127" s="12">
        <v>0</v>
      </c>
      <c r="O127" s="12">
        <v>0</v>
      </c>
      <c r="P127" s="12">
        <v>80150</v>
      </c>
      <c r="Q127" s="12">
        <v>0</v>
      </c>
      <c r="R127" s="12">
        <v>0</v>
      </c>
      <c r="S127" s="12">
        <v>0</v>
      </c>
      <c r="T127" s="12">
        <v>0</v>
      </c>
      <c r="U127" s="12">
        <v>0</v>
      </c>
      <c r="V127" s="12">
        <v>0</v>
      </c>
      <c r="W127" s="12">
        <v>0</v>
      </c>
      <c r="X127" s="12">
        <v>0</v>
      </c>
      <c r="Y127" s="12">
        <v>0</v>
      </c>
      <c r="Z127" s="12">
        <v>0</v>
      </c>
      <c r="AA127" s="12">
        <v>0</v>
      </c>
      <c r="AB127" s="12">
        <v>0</v>
      </c>
      <c r="AC127" s="12">
        <v>100</v>
      </c>
      <c r="AD127" s="12">
        <v>0</v>
      </c>
      <c r="AE127" s="12">
        <v>0</v>
      </c>
      <c r="AF127" s="12">
        <v>0</v>
      </c>
      <c r="AG127" s="12">
        <v>0</v>
      </c>
      <c r="AH127" s="12">
        <v>0</v>
      </c>
      <c r="AI127" s="12">
        <v>0</v>
      </c>
      <c r="AJ127" s="12">
        <v>0</v>
      </c>
      <c r="AK127" s="12">
        <v>0</v>
      </c>
      <c r="AL127" s="12">
        <v>0</v>
      </c>
      <c r="AM127" s="12">
        <v>0</v>
      </c>
      <c r="AN127" s="12">
        <v>0</v>
      </c>
      <c r="AO127" s="12">
        <v>0</v>
      </c>
      <c r="AP127" s="12">
        <v>0</v>
      </c>
      <c r="AQ127" s="12">
        <v>0</v>
      </c>
      <c r="AR127" s="12">
        <v>0</v>
      </c>
      <c r="AS127" s="12">
        <v>0</v>
      </c>
      <c r="AT127" s="12">
        <v>0</v>
      </c>
      <c r="AU127" s="12">
        <v>0</v>
      </c>
      <c r="AV127" s="12">
        <v>0</v>
      </c>
      <c r="AW127" s="12">
        <v>0</v>
      </c>
      <c r="AX127" s="12">
        <v>0</v>
      </c>
      <c r="AY127" s="12">
        <v>0</v>
      </c>
      <c r="AZ127" s="12">
        <v>0</v>
      </c>
      <c r="BA127" s="12">
        <v>0</v>
      </c>
      <c r="BB127" s="12">
        <v>0</v>
      </c>
      <c r="BC127" s="12">
        <v>0</v>
      </c>
      <c r="BD127" s="12">
        <v>0</v>
      </c>
      <c r="BE127" s="12">
        <v>0</v>
      </c>
      <c r="BF127" s="12">
        <v>0</v>
      </c>
      <c r="BG127" s="75">
        <f t="shared" si="19"/>
        <v>80250</v>
      </c>
      <c r="BH127" s="75">
        <f t="shared" si="16"/>
        <v>80150</v>
      </c>
      <c r="BI127" s="75">
        <f t="shared" si="17"/>
        <v>100</v>
      </c>
      <c r="BJ127" s="75">
        <f t="shared" si="18"/>
        <v>0</v>
      </c>
    </row>
    <row r="128" spans="1:62" x14ac:dyDescent="0.25">
      <c r="D128" s="7">
        <v>2004</v>
      </c>
      <c r="E128" s="7" t="s">
        <v>399</v>
      </c>
      <c r="F128" s="12">
        <v>0</v>
      </c>
      <c r="G128" s="12">
        <v>0</v>
      </c>
      <c r="H128" s="12">
        <v>0</v>
      </c>
      <c r="I128" s="12">
        <v>0</v>
      </c>
      <c r="J128" s="12">
        <v>0</v>
      </c>
      <c r="K128" s="12">
        <v>500000</v>
      </c>
      <c r="L128" s="12">
        <v>0</v>
      </c>
      <c r="M128" s="12">
        <v>0</v>
      </c>
      <c r="N128" s="12">
        <v>0</v>
      </c>
      <c r="O128" s="12">
        <v>0</v>
      </c>
      <c r="P128" s="12">
        <v>0</v>
      </c>
      <c r="Q128" s="12">
        <v>0</v>
      </c>
      <c r="R128" s="12">
        <v>0</v>
      </c>
      <c r="S128" s="12">
        <v>0</v>
      </c>
      <c r="T128" s="12">
        <v>0</v>
      </c>
      <c r="U128" s="12">
        <v>0</v>
      </c>
      <c r="V128" s="12">
        <v>0</v>
      </c>
      <c r="W128" s="12">
        <v>0</v>
      </c>
      <c r="X128" s="12">
        <v>4107.1499999999996</v>
      </c>
      <c r="Y128" s="12">
        <v>0</v>
      </c>
      <c r="Z128" s="12">
        <v>0</v>
      </c>
      <c r="AA128" s="12">
        <v>0</v>
      </c>
      <c r="AB128" s="12">
        <v>0</v>
      </c>
      <c r="AC128" s="12">
        <v>0</v>
      </c>
      <c r="AD128" s="12">
        <v>0</v>
      </c>
      <c r="AE128" s="12">
        <v>0</v>
      </c>
      <c r="AF128" s="12">
        <v>0</v>
      </c>
      <c r="AG128" s="12">
        <v>0</v>
      </c>
      <c r="AH128" s="12">
        <v>0</v>
      </c>
      <c r="AI128" s="12">
        <v>0</v>
      </c>
      <c r="AJ128" s="12">
        <v>0</v>
      </c>
      <c r="AK128" s="12">
        <v>0</v>
      </c>
      <c r="AL128" s="12">
        <v>0</v>
      </c>
      <c r="AM128" s="12">
        <v>0</v>
      </c>
      <c r="AN128" s="12">
        <v>0</v>
      </c>
      <c r="AO128" s="12">
        <v>0</v>
      </c>
      <c r="AP128" s="12">
        <v>0</v>
      </c>
      <c r="AQ128" s="12">
        <v>0</v>
      </c>
      <c r="AR128" s="12">
        <v>0</v>
      </c>
      <c r="AS128" s="12">
        <v>0</v>
      </c>
      <c r="AT128" s="12">
        <v>0</v>
      </c>
      <c r="AU128" s="12">
        <v>0</v>
      </c>
      <c r="AV128" s="12">
        <v>0</v>
      </c>
      <c r="AW128" s="12">
        <v>0</v>
      </c>
      <c r="AX128" s="12">
        <v>0</v>
      </c>
      <c r="AY128" s="12">
        <v>0</v>
      </c>
      <c r="AZ128" s="12">
        <v>0</v>
      </c>
      <c r="BA128" s="12">
        <v>0</v>
      </c>
      <c r="BB128" s="12">
        <v>0</v>
      </c>
      <c r="BC128" s="12">
        <v>0</v>
      </c>
      <c r="BD128" s="12">
        <v>0</v>
      </c>
      <c r="BE128" s="12">
        <v>0</v>
      </c>
      <c r="BF128" s="12">
        <v>0</v>
      </c>
      <c r="BG128" s="75">
        <f t="shared" si="19"/>
        <v>504107.15</v>
      </c>
      <c r="BH128" s="75">
        <f t="shared" si="16"/>
        <v>504107.15</v>
      </c>
      <c r="BI128" s="75">
        <f t="shared" si="17"/>
        <v>0</v>
      </c>
      <c r="BJ128" s="75">
        <f t="shared" si="18"/>
        <v>0</v>
      </c>
    </row>
    <row r="129" spans="3:62" x14ac:dyDescent="0.25">
      <c r="D129" s="7">
        <v>2005</v>
      </c>
      <c r="E129" s="7" t="s">
        <v>320</v>
      </c>
      <c r="F129" s="12">
        <v>0</v>
      </c>
      <c r="G129" s="12">
        <v>0</v>
      </c>
      <c r="H129" s="12">
        <v>0</v>
      </c>
      <c r="I129" s="12">
        <v>103313.75</v>
      </c>
      <c r="J129" s="12">
        <v>0</v>
      </c>
      <c r="K129" s="12">
        <v>0</v>
      </c>
      <c r="L129" s="12">
        <v>0</v>
      </c>
      <c r="M129" s="12">
        <v>-88986.11</v>
      </c>
      <c r="N129" s="12">
        <v>0</v>
      </c>
      <c r="O129" s="12">
        <v>0</v>
      </c>
      <c r="P129" s="12">
        <v>0</v>
      </c>
      <c r="Q129" s="12">
        <v>0</v>
      </c>
      <c r="R129" s="12">
        <v>0</v>
      </c>
      <c r="S129" s="12">
        <v>0</v>
      </c>
      <c r="T129" s="12">
        <v>0</v>
      </c>
      <c r="U129" s="12">
        <v>0</v>
      </c>
      <c r="V129" s="12">
        <v>0</v>
      </c>
      <c r="W129" s="12">
        <v>0</v>
      </c>
      <c r="X129" s="12">
        <v>815650.42</v>
      </c>
      <c r="Y129" s="12">
        <v>0</v>
      </c>
      <c r="Z129" s="12">
        <v>0</v>
      </c>
      <c r="AA129" s="12">
        <v>0</v>
      </c>
      <c r="AB129" s="12">
        <v>0</v>
      </c>
      <c r="AC129" s="12">
        <v>0</v>
      </c>
      <c r="AD129" s="12">
        <v>71258.95</v>
      </c>
      <c r="AE129" s="12">
        <v>0</v>
      </c>
      <c r="AF129" s="12">
        <v>0</v>
      </c>
      <c r="AG129" s="12">
        <v>7600</v>
      </c>
      <c r="AH129" s="12">
        <v>0</v>
      </c>
      <c r="AI129" s="12">
        <v>0</v>
      </c>
      <c r="AJ129" s="12">
        <v>0</v>
      </c>
      <c r="AK129" s="12">
        <v>0</v>
      </c>
      <c r="AL129" s="12">
        <v>0</v>
      </c>
      <c r="AM129" s="12">
        <v>0</v>
      </c>
      <c r="AN129" s="12">
        <v>0</v>
      </c>
      <c r="AO129" s="12">
        <v>0</v>
      </c>
      <c r="AP129" s="12">
        <v>0</v>
      </c>
      <c r="AQ129" s="12">
        <v>0</v>
      </c>
      <c r="AR129" s="12">
        <v>0</v>
      </c>
      <c r="AS129" s="12">
        <v>0</v>
      </c>
      <c r="AT129" s="12">
        <v>0</v>
      </c>
      <c r="AU129" s="12">
        <v>103128.01</v>
      </c>
      <c r="AV129" s="12">
        <v>0</v>
      </c>
      <c r="AW129" s="12">
        <v>-13578.9</v>
      </c>
      <c r="AX129" s="12">
        <v>0</v>
      </c>
      <c r="AY129" s="12">
        <v>0</v>
      </c>
      <c r="AZ129" s="12">
        <v>0</v>
      </c>
      <c r="BA129" s="12">
        <v>0</v>
      </c>
      <c r="BB129" s="12">
        <v>0</v>
      </c>
      <c r="BC129" s="12">
        <v>0</v>
      </c>
      <c r="BD129" s="12">
        <v>0</v>
      </c>
      <c r="BE129" s="12">
        <v>-170781.73</v>
      </c>
      <c r="BF129" s="12">
        <v>0</v>
      </c>
      <c r="BG129" s="75">
        <f t="shared" si="19"/>
        <v>827604.39</v>
      </c>
      <c r="BH129" s="75">
        <f t="shared" si="16"/>
        <v>829978.06</v>
      </c>
      <c r="BI129" s="75">
        <f t="shared" si="17"/>
        <v>78858.95</v>
      </c>
      <c r="BJ129" s="75">
        <f t="shared" si="18"/>
        <v>-81232.62000000001</v>
      </c>
    </row>
    <row r="130" spans="3:62" x14ac:dyDescent="0.25">
      <c r="D130" s="7">
        <v>2006</v>
      </c>
      <c r="E130" s="7" t="s">
        <v>444</v>
      </c>
      <c r="F130" s="12">
        <v>0</v>
      </c>
      <c r="G130" s="12">
        <v>1400</v>
      </c>
      <c r="H130" s="12">
        <v>0</v>
      </c>
      <c r="I130" s="12">
        <v>0</v>
      </c>
      <c r="J130" s="12">
        <v>0</v>
      </c>
      <c r="K130" s="12">
        <v>11805</v>
      </c>
      <c r="L130" s="12">
        <v>3950</v>
      </c>
      <c r="M130" s="12">
        <v>43590</v>
      </c>
      <c r="N130" s="12">
        <v>800</v>
      </c>
      <c r="O130" s="12">
        <v>0</v>
      </c>
      <c r="P130" s="12">
        <v>9547.7000000000007</v>
      </c>
      <c r="Q130" s="12">
        <v>0</v>
      </c>
      <c r="R130" s="12">
        <v>0</v>
      </c>
      <c r="S130" s="12">
        <v>0</v>
      </c>
      <c r="T130" s="12">
        <v>0</v>
      </c>
      <c r="U130" s="12">
        <v>0</v>
      </c>
      <c r="V130" s="12">
        <v>0</v>
      </c>
      <c r="W130" s="12">
        <v>280</v>
      </c>
      <c r="X130" s="12">
        <v>1600</v>
      </c>
      <c r="Y130" s="12">
        <v>0</v>
      </c>
      <c r="Z130" s="12">
        <v>0</v>
      </c>
      <c r="AA130" s="12">
        <v>0</v>
      </c>
      <c r="AB130" s="12">
        <v>0</v>
      </c>
      <c r="AC130" s="12">
        <v>0</v>
      </c>
      <c r="AD130" s="12">
        <v>360</v>
      </c>
      <c r="AE130" s="12">
        <v>0</v>
      </c>
      <c r="AF130" s="12">
        <v>0</v>
      </c>
      <c r="AG130" s="12">
        <v>0</v>
      </c>
      <c r="AH130" s="12">
        <v>3320</v>
      </c>
      <c r="AI130" s="12">
        <v>0</v>
      </c>
      <c r="AJ130" s="12">
        <v>0</v>
      </c>
      <c r="AK130" s="12">
        <v>1200</v>
      </c>
      <c r="AL130" s="12">
        <v>4700</v>
      </c>
      <c r="AM130" s="12">
        <v>0</v>
      </c>
      <c r="AN130" s="12">
        <v>2910</v>
      </c>
      <c r="AO130" s="12">
        <v>0</v>
      </c>
      <c r="AP130" s="12">
        <v>0</v>
      </c>
      <c r="AQ130" s="12">
        <v>0</v>
      </c>
      <c r="AR130" s="12">
        <v>0</v>
      </c>
      <c r="AS130" s="12">
        <v>0</v>
      </c>
      <c r="AT130" s="12">
        <v>0</v>
      </c>
      <c r="AU130" s="12">
        <v>0</v>
      </c>
      <c r="AV130" s="12">
        <v>0</v>
      </c>
      <c r="AW130" s="12">
        <v>4300</v>
      </c>
      <c r="AX130" s="12">
        <v>0</v>
      </c>
      <c r="AY130" s="12">
        <v>750</v>
      </c>
      <c r="AZ130" s="12">
        <v>0</v>
      </c>
      <c r="BA130" s="12">
        <v>0</v>
      </c>
      <c r="BB130" s="12">
        <v>0</v>
      </c>
      <c r="BC130" s="12">
        <v>0</v>
      </c>
      <c r="BD130" s="12">
        <v>0</v>
      </c>
      <c r="BE130" s="12">
        <v>3330</v>
      </c>
      <c r="BF130" s="12">
        <v>0</v>
      </c>
      <c r="BG130" s="75">
        <f t="shared" si="19"/>
        <v>93842.7</v>
      </c>
      <c r="BH130" s="75">
        <f t="shared" si="16"/>
        <v>72972.7</v>
      </c>
      <c r="BI130" s="75">
        <f t="shared" si="17"/>
        <v>4880</v>
      </c>
      <c r="BJ130" s="75">
        <f t="shared" si="18"/>
        <v>15990</v>
      </c>
    </row>
    <row r="131" spans="3:62" x14ac:dyDescent="0.25">
      <c r="D131" s="7">
        <v>2009</v>
      </c>
      <c r="E131" s="7" t="s">
        <v>401</v>
      </c>
      <c r="F131" s="12">
        <v>0</v>
      </c>
      <c r="G131" s="12">
        <v>0</v>
      </c>
      <c r="H131" s="12">
        <v>0</v>
      </c>
      <c r="I131" s="12">
        <v>0</v>
      </c>
      <c r="J131" s="12">
        <v>0</v>
      </c>
      <c r="K131" s="12">
        <v>0</v>
      </c>
      <c r="L131" s="12">
        <v>0</v>
      </c>
      <c r="M131" s="12">
        <v>0</v>
      </c>
      <c r="N131" s="12">
        <v>0</v>
      </c>
      <c r="O131" s="12">
        <v>0</v>
      </c>
      <c r="P131" s="12">
        <v>0</v>
      </c>
      <c r="Q131" s="12">
        <v>0</v>
      </c>
      <c r="R131" s="12">
        <v>0</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c r="AL131" s="12">
        <v>0</v>
      </c>
      <c r="AM131" s="12">
        <v>0</v>
      </c>
      <c r="AN131" s="12">
        <v>0</v>
      </c>
      <c r="AO131" s="12">
        <v>0</v>
      </c>
      <c r="AP131" s="12">
        <v>900</v>
      </c>
      <c r="AQ131" s="12">
        <v>0</v>
      </c>
      <c r="AR131" s="12">
        <v>0</v>
      </c>
      <c r="AS131" s="12">
        <v>0</v>
      </c>
      <c r="AT131" s="12">
        <v>0</v>
      </c>
      <c r="AU131" s="12">
        <v>0</v>
      </c>
      <c r="AV131" s="12">
        <v>0</v>
      </c>
      <c r="AW131" s="12">
        <v>0</v>
      </c>
      <c r="AX131" s="12">
        <v>0</v>
      </c>
      <c r="AY131" s="12">
        <v>0</v>
      </c>
      <c r="AZ131" s="12">
        <v>0</v>
      </c>
      <c r="BA131" s="12">
        <v>0</v>
      </c>
      <c r="BB131" s="12">
        <v>0</v>
      </c>
      <c r="BC131" s="12">
        <v>0</v>
      </c>
      <c r="BD131" s="12">
        <v>0</v>
      </c>
      <c r="BE131" s="12">
        <v>0</v>
      </c>
      <c r="BF131" s="12">
        <v>0</v>
      </c>
      <c r="BG131" s="75">
        <f t="shared" si="19"/>
        <v>900</v>
      </c>
      <c r="BH131" s="75">
        <f t="shared" si="16"/>
        <v>0</v>
      </c>
      <c r="BI131" s="75">
        <f t="shared" si="17"/>
        <v>0</v>
      </c>
      <c r="BJ131" s="75">
        <f t="shared" si="18"/>
        <v>900</v>
      </c>
    </row>
    <row r="132" spans="3:62" x14ac:dyDescent="0.25">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75"/>
      <c r="BH132" s="75"/>
      <c r="BI132" s="75"/>
      <c r="BJ132" s="75"/>
    </row>
    <row r="133" spans="3:62" x14ac:dyDescent="0.25">
      <c r="C133" s="111">
        <v>201</v>
      </c>
      <c r="D133" s="111"/>
      <c r="E133" s="111" t="s">
        <v>253</v>
      </c>
      <c r="F133" s="112">
        <f>F134+F135+F136+F137+F138+F139+F140+F141</f>
        <v>6600941.8499999996</v>
      </c>
      <c r="G133" s="112">
        <f t="shared" ref="G133:BF133" si="28">G134+G135+G136+G137+G138+G139+G140+G141</f>
        <v>308700</v>
      </c>
      <c r="H133" s="112">
        <f t="shared" si="28"/>
        <v>128800</v>
      </c>
      <c r="I133" s="112">
        <f t="shared" si="28"/>
        <v>240557.09</v>
      </c>
      <c r="J133" s="112">
        <f t="shared" si="28"/>
        <v>6371926.8099999996</v>
      </c>
      <c r="K133" s="112">
        <f t="shared" si="28"/>
        <v>9141550</v>
      </c>
      <c r="L133" s="112">
        <f t="shared" si="28"/>
        <v>987000</v>
      </c>
      <c r="M133" s="112">
        <f t="shared" si="28"/>
        <v>27070490</v>
      </c>
      <c r="N133" s="112">
        <f t="shared" si="28"/>
        <v>2959119.9</v>
      </c>
      <c r="O133" s="112">
        <f t="shared" si="28"/>
        <v>0</v>
      </c>
      <c r="P133" s="112">
        <f t="shared" si="28"/>
        <v>9445973.3000000007</v>
      </c>
      <c r="Q133" s="112">
        <f t="shared" si="28"/>
        <v>536952.03</v>
      </c>
      <c r="R133" s="112">
        <f t="shared" si="28"/>
        <v>109200.66</v>
      </c>
      <c r="S133" s="112">
        <f t="shared" si="28"/>
        <v>0</v>
      </c>
      <c r="T133" s="112">
        <f t="shared" si="28"/>
        <v>3044807.75</v>
      </c>
      <c r="U133" s="112">
        <f t="shared" si="28"/>
        <v>211600</v>
      </c>
      <c r="V133" s="112">
        <f t="shared" si="28"/>
        <v>311481.01</v>
      </c>
      <c r="W133" s="112">
        <f t="shared" si="28"/>
        <v>235996.36</v>
      </c>
      <c r="X133" s="112">
        <f t="shared" si="28"/>
        <v>2120542.9299999997</v>
      </c>
      <c r="Y133" s="112">
        <f t="shared" si="28"/>
        <v>140459</v>
      </c>
      <c r="Z133" s="112">
        <f t="shared" si="28"/>
        <v>826856.21</v>
      </c>
      <c r="AA133" s="112">
        <f t="shared" si="28"/>
        <v>0</v>
      </c>
      <c r="AB133" s="112">
        <f t="shared" si="28"/>
        <v>0</v>
      </c>
      <c r="AC133" s="112">
        <f t="shared" si="28"/>
        <v>412500</v>
      </c>
      <c r="AD133" s="112">
        <f t="shared" si="28"/>
        <v>719898.79</v>
      </c>
      <c r="AE133" s="112">
        <f t="shared" si="28"/>
        <v>0</v>
      </c>
      <c r="AF133" s="112">
        <f t="shared" si="28"/>
        <v>210436.58000000002</v>
      </c>
      <c r="AG133" s="112">
        <f t="shared" si="28"/>
        <v>600522.35</v>
      </c>
      <c r="AH133" s="112">
        <f t="shared" si="28"/>
        <v>396943.43</v>
      </c>
      <c r="AI133" s="112">
        <f t="shared" si="28"/>
        <v>3410820</v>
      </c>
      <c r="AJ133" s="112">
        <f t="shared" si="28"/>
        <v>488901.83</v>
      </c>
      <c r="AK133" s="112">
        <f t="shared" si="28"/>
        <v>148300</v>
      </c>
      <c r="AL133" s="112">
        <f t="shared" si="28"/>
        <v>514000</v>
      </c>
      <c r="AM133" s="112">
        <f t="shared" si="28"/>
        <v>515065.2</v>
      </c>
      <c r="AN133" s="112">
        <f t="shared" si="28"/>
        <v>562615.99</v>
      </c>
      <c r="AO133" s="112">
        <f t="shared" si="28"/>
        <v>0</v>
      </c>
      <c r="AP133" s="112">
        <f t="shared" si="28"/>
        <v>0</v>
      </c>
      <c r="AQ133" s="112">
        <f t="shared" si="28"/>
        <v>103650</v>
      </c>
      <c r="AR133" s="112">
        <f t="shared" si="28"/>
        <v>3015856.6</v>
      </c>
      <c r="AS133" s="112">
        <f t="shared" si="28"/>
        <v>1827000</v>
      </c>
      <c r="AT133" s="112">
        <f t="shared" si="28"/>
        <v>270792.87</v>
      </c>
      <c r="AU133" s="112">
        <f t="shared" si="28"/>
        <v>273245</v>
      </c>
      <c r="AV133" s="112">
        <f t="shared" si="28"/>
        <v>509300</v>
      </c>
      <c r="AW133" s="112">
        <f t="shared" si="28"/>
        <v>660202.06000000006</v>
      </c>
      <c r="AX133" s="112">
        <f t="shared" si="28"/>
        <v>233507.56</v>
      </c>
      <c r="AY133" s="112">
        <f t="shared" si="28"/>
        <v>0</v>
      </c>
      <c r="AZ133" s="112">
        <f t="shared" si="28"/>
        <v>22519.74</v>
      </c>
      <c r="BA133" s="112">
        <f t="shared" si="28"/>
        <v>1338920.1099999999</v>
      </c>
      <c r="BB133" s="112">
        <f t="shared" si="28"/>
        <v>1121545.45</v>
      </c>
      <c r="BC133" s="112">
        <f t="shared" si="28"/>
        <v>5673272.79</v>
      </c>
      <c r="BD133" s="112">
        <f t="shared" si="28"/>
        <v>0</v>
      </c>
      <c r="BE133" s="112">
        <f t="shared" si="28"/>
        <v>8400961.4499999993</v>
      </c>
      <c r="BF133" s="112">
        <f t="shared" si="28"/>
        <v>320119.95</v>
      </c>
      <c r="BG133" s="112">
        <f t="shared" si="19"/>
        <v>102543852.65000001</v>
      </c>
      <c r="BH133" s="112">
        <f t="shared" si="16"/>
        <v>69825639.689999998</v>
      </c>
      <c r="BI133" s="112">
        <f t="shared" si="17"/>
        <v>7355638.1900000004</v>
      </c>
      <c r="BJ133" s="112">
        <f t="shared" si="18"/>
        <v>25362574.77</v>
      </c>
    </row>
    <row r="134" spans="3:62" x14ac:dyDescent="0.25">
      <c r="D134" s="7">
        <v>2010</v>
      </c>
      <c r="E134" s="7" t="s">
        <v>402</v>
      </c>
      <c r="F134" s="12">
        <v>4726901.8499999996</v>
      </c>
      <c r="G134" s="12">
        <v>200000</v>
      </c>
      <c r="H134" s="12">
        <v>0</v>
      </c>
      <c r="I134" s="12">
        <v>68196.06</v>
      </c>
      <c r="J134" s="12">
        <v>6371926.8099999996</v>
      </c>
      <c r="K134" s="12">
        <v>9060000</v>
      </c>
      <c r="L134" s="12">
        <v>987000</v>
      </c>
      <c r="M134" s="12">
        <v>0</v>
      </c>
      <c r="N134" s="12">
        <v>957119.9</v>
      </c>
      <c r="O134" s="12">
        <v>0</v>
      </c>
      <c r="P134" s="12">
        <v>0</v>
      </c>
      <c r="Q134" s="12">
        <v>536989.23</v>
      </c>
      <c r="R134" s="12">
        <v>109200.66</v>
      </c>
      <c r="S134" s="12">
        <v>0</v>
      </c>
      <c r="T134" s="12">
        <v>2604350.4900000002</v>
      </c>
      <c r="U134" s="12">
        <v>0</v>
      </c>
      <c r="V134" s="12">
        <v>240081.01</v>
      </c>
      <c r="W134" s="12">
        <v>99501.36</v>
      </c>
      <c r="X134" s="12">
        <v>1120542.93</v>
      </c>
      <c r="Y134" s="12">
        <v>0</v>
      </c>
      <c r="Z134" s="12">
        <v>0</v>
      </c>
      <c r="AA134" s="12">
        <v>0</v>
      </c>
      <c r="AB134" s="12">
        <v>0</v>
      </c>
      <c r="AC134" s="12">
        <v>412500</v>
      </c>
      <c r="AD134" s="12">
        <v>616648.79</v>
      </c>
      <c r="AE134" s="12">
        <v>0</v>
      </c>
      <c r="AF134" s="12">
        <v>101036.58</v>
      </c>
      <c r="AG134" s="12">
        <v>455924.25</v>
      </c>
      <c r="AH134" s="12">
        <v>396943.43</v>
      </c>
      <c r="AI134" s="12">
        <v>0</v>
      </c>
      <c r="AJ134" s="12">
        <v>148877.26</v>
      </c>
      <c r="AK134" s="12">
        <v>0</v>
      </c>
      <c r="AL134" s="12">
        <v>514000</v>
      </c>
      <c r="AM134" s="12">
        <v>200765.2</v>
      </c>
      <c r="AN134" s="12">
        <v>287645.99</v>
      </c>
      <c r="AO134" s="12">
        <v>0</v>
      </c>
      <c r="AP134" s="12">
        <v>0</v>
      </c>
      <c r="AQ134" s="12">
        <v>0</v>
      </c>
      <c r="AR134" s="12">
        <v>649226.6</v>
      </c>
      <c r="AS134" s="12">
        <v>1827000</v>
      </c>
      <c r="AT134" s="12">
        <v>13562.87</v>
      </c>
      <c r="AU134" s="12">
        <v>0</v>
      </c>
      <c r="AV134" s="12">
        <v>0</v>
      </c>
      <c r="AW134" s="12">
        <v>660202.06000000006</v>
      </c>
      <c r="AX134" s="12">
        <v>86207.56</v>
      </c>
      <c r="AY134" s="12">
        <v>0</v>
      </c>
      <c r="AZ134" s="12">
        <v>22519.74</v>
      </c>
      <c r="BA134" s="12">
        <v>243535.11</v>
      </c>
      <c r="BB134" s="12">
        <v>1121545.45</v>
      </c>
      <c r="BC134" s="12">
        <v>2692462.79</v>
      </c>
      <c r="BD134" s="12">
        <v>0</v>
      </c>
      <c r="BE134" s="12">
        <v>2011471.45</v>
      </c>
      <c r="BF134" s="12">
        <v>172034.95</v>
      </c>
      <c r="BG134" s="75">
        <f t="shared" si="19"/>
        <v>39715920.380000003</v>
      </c>
      <c r="BH134" s="75">
        <f t="shared" si="16"/>
        <v>27081810.300000001</v>
      </c>
      <c r="BI134" s="75">
        <f t="shared" si="17"/>
        <v>2131930.31</v>
      </c>
      <c r="BJ134" s="75">
        <f t="shared" si="18"/>
        <v>10502179.77</v>
      </c>
    </row>
    <row r="135" spans="3:62" x14ac:dyDescent="0.25">
      <c r="D135" s="7">
        <v>2011</v>
      </c>
      <c r="E135" s="7" t="s">
        <v>403</v>
      </c>
      <c r="F135" s="12">
        <v>0</v>
      </c>
      <c r="G135" s="12">
        <v>0</v>
      </c>
      <c r="H135" s="12">
        <v>0</v>
      </c>
      <c r="I135" s="12">
        <v>172361.03</v>
      </c>
      <c r="J135" s="12">
        <v>0</v>
      </c>
      <c r="K135" s="12">
        <v>0</v>
      </c>
      <c r="L135" s="12">
        <v>0</v>
      </c>
      <c r="M135" s="12">
        <v>0</v>
      </c>
      <c r="N135" s="12">
        <v>0</v>
      </c>
      <c r="O135" s="12">
        <v>0</v>
      </c>
      <c r="P135" s="12">
        <v>3000000</v>
      </c>
      <c r="Q135" s="12">
        <v>-37.200000000000003</v>
      </c>
      <c r="R135" s="12">
        <v>0</v>
      </c>
      <c r="S135" s="12">
        <v>0</v>
      </c>
      <c r="T135" s="12">
        <v>440457.26</v>
      </c>
      <c r="U135" s="12">
        <v>0</v>
      </c>
      <c r="V135" s="12">
        <v>0</v>
      </c>
      <c r="W135" s="12">
        <v>0</v>
      </c>
      <c r="X135" s="12">
        <v>1000000</v>
      </c>
      <c r="Y135" s="12">
        <v>0</v>
      </c>
      <c r="Z135" s="12">
        <v>0</v>
      </c>
      <c r="AA135" s="12">
        <v>0</v>
      </c>
      <c r="AB135" s="12">
        <v>0</v>
      </c>
      <c r="AC135" s="12">
        <v>0</v>
      </c>
      <c r="AD135" s="12">
        <v>0</v>
      </c>
      <c r="AE135" s="12">
        <v>0</v>
      </c>
      <c r="AF135" s="12">
        <v>0</v>
      </c>
      <c r="AG135" s="12">
        <v>8465.1</v>
      </c>
      <c r="AH135" s="12">
        <v>0</v>
      </c>
      <c r="AI135" s="12">
        <v>0</v>
      </c>
      <c r="AJ135" s="12">
        <v>0</v>
      </c>
      <c r="AK135" s="12">
        <v>0</v>
      </c>
      <c r="AL135" s="12">
        <v>0</v>
      </c>
      <c r="AM135" s="12">
        <v>0</v>
      </c>
      <c r="AN135" s="12">
        <v>0</v>
      </c>
      <c r="AO135" s="12">
        <v>0</v>
      </c>
      <c r="AP135" s="12">
        <v>0</v>
      </c>
      <c r="AQ135" s="12">
        <v>0</v>
      </c>
      <c r="AR135" s="12">
        <v>0</v>
      </c>
      <c r="AS135" s="12">
        <v>0</v>
      </c>
      <c r="AT135" s="12">
        <v>0</v>
      </c>
      <c r="AU135" s="12">
        <v>0</v>
      </c>
      <c r="AV135" s="12">
        <v>0</v>
      </c>
      <c r="AW135" s="12">
        <v>0</v>
      </c>
      <c r="AX135" s="12">
        <v>0</v>
      </c>
      <c r="AY135" s="12">
        <v>0</v>
      </c>
      <c r="AZ135" s="12">
        <v>0</v>
      </c>
      <c r="BA135" s="12">
        <v>0</v>
      </c>
      <c r="BB135" s="12">
        <v>0</v>
      </c>
      <c r="BC135" s="12">
        <v>0</v>
      </c>
      <c r="BD135" s="12">
        <v>0</v>
      </c>
      <c r="BE135" s="12">
        <v>0</v>
      </c>
      <c r="BF135" s="12">
        <v>0</v>
      </c>
      <c r="BG135" s="75">
        <f t="shared" si="19"/>
        <v>4621246.1899999995</v>
      </c>
      <c r="BH135" s="75">
        <f t="shared" si="16"/>
        <v>4612781.09</v>
      </c>
      <c r="BI135" s="75">
        <f t="shared" si="17"/>
        <v>8465.1</v>
      </c>
      <c r="BJ135" s="75">
        <f t="shared" si="18"/>
        <v>0</v>
      </c>
    </row>
    <row r="136" spans="3:62" x14ac:dyDescent="0.25">
      <c r="D136" s="7">
        <v>2012</v>
      </c>
      <c r="E136" s="7" t="s">
        <v>404</v>
      </c>
      <c r="F136" s="12">
        <v>0</v>
      </c>
      <c r="G136" s="12">
        <v>0</v>
      </c>
      <c r="H136" s="12">
        <v>0</v>
      </c>
      <c r="I136" s="12">
        <v>0</v>
      </c>
      <c r="J136" s="12">
        <v>0</v>
      </c>
      <c r="K136" s="12">
        <v>0</v>
      </c>
      <c r="L136" s="12">
        <v>0</v>
      </c>
      <c r="M136" s="12">
        <v>0</v>
      </c>
      <c r="N136" s="12">
        <v>0</v>
      </c>
      <c r="O136" s="12">
        <v>0</v>
      </c>
      <c r="P136" s="12">
        <v>0</v>
      </c>
      <c r="Q136" s="12">
        <v>0</v>
      </c>
      <c r="R136" s="12">
        <v>0</v>
      </c>
      <c r="S136" s="12">
        <v>0</v>
      </c>
      <c r="T136" s="12">
        <v>0</v>
      </c>
      <c r="U136" s="12">
        <v>0</v>
      </c>
      <c r="V136" s="12">
        <v>0</v>
      </c>
      <c r="W136" s="12">
        <v>0</v>
      </c>
      <c r="X136" s="12">
        <v>0</v>
      </c>
      <c r="Y136" s="12">
        <v>0</v>
      </c>
      <c r="Z136" s="12">
        <v>0</v>
      </c>
      <c r="AA136" s="12">
        <v>0</v>
      </c>
      <c r="AB136" s="12">
        <v>0</v>
      </c>
      <c r="AC136" s="12">
        <v>0</v>
      </c>
      <c r="AD136" s="12">
        <v>0</v>
      </c>
      <c r="AE136" s="12">
        <v>0</v>
      </c>
      <c r="AF136" s="12">
        <v>0</v>
      </c>
      <c r="AG136" s="12">
        <v>0</v>
      </c>
      <c r="AH136" s="12">
        <v>0</v>
      </c>
      <c r="AI136" s="12">
        <v>0</v>
      </c>
      <c r="AJ136" s="12">
        <v>0</v>
      </c>
      <c r="AK136" s="12">
        <v>0</v>
      </c>
      <c r="AL136" s="12">
        <v>0</v>
      </c>
      <c r="AM136" s="12">
        <v>0</v>
      </c>
      <c r="AN136" s="12">
        <v>0</v>
      </c>
      <c r="AO136" s="12">
        <v>0</v>
      </c>
      <c r="AP136" s="12">
        <v>0</v>
      </c>
      <c r="AQ136" s="12">
        <v>0</v>
      </c>
      <c r="AR136" s="12">
        <v>0</v>
      </c>
      <c r="AS136" s="12">
        <v>0</v>
      </c>
      <c r="AT136" s="12">
        <v>0</v>
      </c>
      <c r="AU136" s="12">
        <v>0</v>
      </c>
      <c r="AV136" s="12">
        <v>0</v>
      </c>
      <c r="AW136" s="12">
        <v>0</v>
      </c>
      <c r="AX136" s="12">
        <v>0</v>
      </c>
      <c r="AY136" s="12">
        <v>0</v>
      </c>
      <c r="AZ136" s="12">
        <v>0</v>
      </c>
      <c r="BA136" s="12">
        <v>0</v>
      </c>
      <c r="BB136" s="12">
        <v>0</v>
      </c>
      <c r="BC136" s="12">
        <v>0</v>
      </c>
      <c r="BD136" s="12">
        <v>0</v>
      </c>
      <c r="BE136" s="12">
        <v>0</v>
      </c>
      <c r="BF136" s="12">
        <v>0</v>
      </c>
      <c r="BG136" s="75">
        <f t="shared" si="19"/>
        <v>0</v>
      </c>
      <c r="BH136" s="75">
        <f t="shared" ref="BH136:BH199" si="29">SUM(F136:X136)</f>
        <v>0</v>
      </c>
      <c r="BI136" s="75">
        <f t="shared" ref="BI136:BI199" si="30">SUM(Y136:AK136)</f>
        <v>0</v>
      </c>
      <c r="BJ136" s="75">
        <f t="shared" ref="BJ136:BJ199" si="31">SUM(AL136:BF136)</f>
        <v>0</v>
      </c>
    </row>
    <row r="137" spans="3:62" x14ac:dyDescent="0.25">
      <c r="D137" s="7">
        <v>2013</v>
      </c>
      <c r="E137" s="7" t="s">
        <v>405</v>
      </c>
      <c r="F137" s="12">
        <v>0</v>
      </c>
      <c r="G137" s="12">
        <v>0</v>
      </c>
      <c r="H137" s="12">
        <v>0</v>
      </c>
      <c r="I137" s="12">
        <v>0</v>
      </c>
      <c r="J137" s="12">
        <v>0</v>
      </c>
      <c r="K137" s="12">
        <v>0</v>
      </c>
      <c r="L137" s="12">
        <v>0</v>
      </c>
      <c r="M137" s="12">
        <v>0</v>
      </c>
      <c r="N137" s="12">
        <v>0</v>
      </c>
      <c r="O137" s="12">
        <v>0</v>
      </c>
      <c r="P137" s="12">
        <v>0</v>
      </c>
      <c r="Q137" s="12">
        <v>0</v>
      </c>
      <c r="R137" s="12">
        <v>0</v>
      </c>
      <c r="S137" s="12">
        <v>0</v>
      </c>
      <c r="T137" s="12">
        <v>0</v>
      </c>
      <c r="U137" s="12">
        <v>0</v>
      </c>
      <c r="V137" s="12">
        <v>0</v>
      </c>
      <c r="W137" s="12">
        <v>0</v>
      </c>
      <c r="X137" s="12">
        <v>0</v>
      </c>
      <c r="Y137" s="12">
        <v>0</v>
      </c>
      <c r="Z137" s="12">
        <v>0</v>
      </c>
      <c r="AA137" s="12">
        <v>0</v>
      </c>
      <c r="AB137" s="12">
        <v>0</v>
      </c>
      <c r="AC137" s="12">
        <v>0</v>
      </c>
      <c r="AD137" s="12">
        <v>0</v>
      </c>
      <c r="AE137" s="12">
        <v>0</v>
      </c>
      <c r="AF137" s="12">
        <v>0</v>
      </c>
      <c r="AG137" s="12">
        <v>0</v>
      </c>
      <c r="AH137" s="12">
        <v>0</v>
      </c>
      <c r="AI137" s="12">
        <v>0</v>
      </c>
      <c r="AJ137" s="12">
        <v>0</v>
      </c>
      <c r="AK137" s="12">
        <v>0</v>
      </c>
      <c r="AL137" s="12">
        <v>0</v>
      </c>
      <c r="AM137" s="12">
        <v>0</v>
      </c>
      <c r="AN137" s="12">
        <v>0</v>
      </c>
      <c r="AO137" s="12">
        <v>0</v>
      </c>
      <c r="AP137" s="12">
        <v>0</v>
      </c>
      <c r="AQ137" s="12">
        <v>0</v>
      </c>
      <c r="AR137" s="12">
        <v>0</v>
      </c>
      <c r="AS137" s="12">
        <v>0</v>
      </c>
      <c r="AT137" s="12">
        <v>0</v>
      </c>
      <c r="AU137" s="12">
        <v>0</v>
      </c>
      <c r="AV137" s="12">
        <v>0</v>
      </c>
      <c r="AW137" s="12">
        <v>0</v>
      </c>
      <c r="AX137" s="12">
        <v>0</v>
      </c>
      <c r="AY137" s="12">
        <v>0</v>
      </c>
      <c r="AZ137" s="12">
        <v>0</v>
      </c>
      <c r="BA137" s="12">
        <v>0</v>
      </c>
      <c r="BB137" s="12">
        <v>0</v>
      </c>
      <c r="BC137" s="12">
        <v>0</v>
      </c>
      <c r="BD137" s="12">
        <v>0</v>
      </c>
      <c r="BE137" s="12">
        <v>0</v>
      </c>
      <c r="BF137" s="12">
        <v>0</v>
      </c>
      <c r="BG137" s="75">
        <f t="shared" ref="BG137:BG199" si="32">SUM(F137:BF137)</f>
        <v>0</v>
      </c>
      <c r="BH137" s="75">
        <f t="shared" si="29"/>
        <v>0</v>
      </c>
      <c r="BI137" s="75">
        <f t="shared" si="30"/>
        <v>0</v>
      </c>
      <c r="BJ137" s="75">
        <f t="shared" si="31"/>
        <v>0</v>
      </c>
    </row>
    <row r="138" spans="3:62" x14ac:dyDescent="0.25">
      <c r="D138" s="7">
        <v>2014</v>
      </c>
      <c r="E138" s="7" t="s">
        <v>407</v>
      </c>
      <c r="F138" s="12">
        <v>1874040</v>
      </c>
      <c r="G138" s="12">
        <v>108700</v>
      </c>
      <c r="H138" s="12">
        <v>128800</v>
      </c>
      <c r="I138" s="12">
        <v>0</v>
      </c>
      <c r="J138" s="12">
        <v>0</v>
      </c>
      <c r="K138" s="12">
        <v>81550</v>
      </c>
      <c r="L138" s="12">
        <v>0</v>
      </c>
      <c r="M138" s="12">
        <v>27070490</v>
      </c>
      <c r="N138" s="12">
        <v>2002000</v>
      </c>
      <c r="O138" s="12">
        <v>0</v>
      </c>
      <c r="P138" s="12">
        <v>6446160.1500000004</v>
      </c>
      <c r="Q138" s="12">
        <v>0</v>
      </c>
      <c r="R138" s="12">
        <v>0</v>
      </c>
      <c r="S138" s="12">
        <v>0</v>
      </c>
      <c r="T138" s="12">
        <v>0</v>
      </c>
      <c r="U138" s="12">
        <v>211600</v>
      </c>
      <c r="V138" s="12">
        <v>71400</v>
      </c>
      <c r="W138" s="12">
        <v>136495</v>
      </c>
      <c r="X138" s="12">
        <v>0</v>
      </c>
      <c r="Y138" s="12">
        <v>140459</v>
      </c>
      <c r="Z138" s="12">
        <v>826856.21</v>
      </c>
      <c r="AA138" s="12">
        <v>0</v>
      </c>
      <c r="AB138" s="12">
        <v>0</v>
      </c>
      <c r="AC138" s="12">
        <v>0</v>
      </c>
      <c r="AD138" s="12">
        <v>103250</v>
      </c>
      <c r="AE138" s="12">
        <v>0</v>
      </c>
      <c r="AF138" s="12">
        <v>109400</v>
      </c>
      <c r="AG138" s="12">
        <v>136133</v>
      </c>
      <c r="AH138" s="12">
        <v>0</v>
      </c>
      <c r="AI138" s="12">
        <v>3410820</v>
      </c>
      <c r="AJ138" s="12">
        <v>340024.57</v>
      </c>
      <c r="AK138" s="12">
        <v>148300</v>
      </c>
      <c r="AL138" s="12">
        <v>0</v>
      </c>
      <c r="AM138" s="12">
        <v>314300</v>
      </c>
      <c r="AN138" s="12">
        <v>274970</v>
      </c>
      <c r="AO138" s="12">
        <v>0</v>
      </c>
      <c r="AP138" s="12">
        <v>0</v>
      </c>
      <c r="AQ138" s="12">
        <v>103650</v>
      </c>
      <c r="AR138" s="12">
        <v>2366630</v>
      </c>
      <c r="AS138" s="12">
        <v>0</v>
      </c>
      <c r="AT138" s="12">
        <v>257230</v>
      </c>
      <c r="AU138" s="12">
        <v>273245</v>
      </c>
      <c r="AV138" s="12">
        <v>509300</v>
      </c>
      <c r="AW138" s="12">
        <v>0</v>
      </c>
      <c r="AX138" s="12">
        <v>147300</v>
      </c>
      <c r="AY138" s="12">
        <v>0</v>
      </c>
      <c r="AZ138" s="12">
        <v>0</v>
      </c>
      <c r="BA138" s="12">
        <v>0</v>
      </c>
      <c r="BB138" s="12">
        <v>0</v>
      </c>
      <c r="BC138" s="12">
        <v>2980810</v>
      </c>
      <c r="BD138" s="12">
        <v>0</v>
      </c>
      <c r="BE138" s="12">
        <v>6389490</v>
      </c>
      <c r="BF138" s="12">
        <v>148085</v>
      </c>
      <c r="BG138" s="75">
        <f t="shared" si="32"/>
        <v>57111487.93</v>
      </c>
      <c r="BH138" s="75">
        <f t="shared" si="29"/>
        <v>38131235.149999999</v>
      </c>
      <c r="BI138" s="75">
        <f t="shared" si="30"/>
        <v>5215242.78</v>
      </c>
      <c r="BJ138" s="75">
        <f t="shared" si="31"/>
        <v>13765010</v>
      </c>
    </row>
    <row r="139" spans="3:62" x14ac:dyDescent="0.25">
      <c r="D139" s="7">
        <v>2015</v>
      </c>
      <c r="E139" s="7" t="s">
        <v>406</v>
      </c>
      <c r="F139" s="12">
        <v>0</v>
      </c>
      <c r="G139" s="12">
        <v>0</v>
      </c>
      <c r="H139" s="12">
        <v>0</v>
      </c>
      <c r="I139" s="12">
        <v>0</v>
      </c>
      <c r="J139" s="12">
        <v>0</v>
      </c>
      <c r="K139" s="12">
        <v>0</v>
      </c>
      <c r="L139" s="12">
        <v>0</v>
      </c>
      <c r="M139" s="12">
        <v>0</v>
      </c>
      <c r="N139" s="12">
        <v>0</v>
      </c>
      <c r="O139" s="12">
        <v>0</v>
      </c>
      <c r="P139" s="12">
        <v>0</v>
      </c>
      <c r="Q139" s="12">
        <v>0</v>
      </c>
      <c r="R139" s="12">
        <v>0</v>
      </c>
      <c r="S139" s="12">
        <v>0</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12">
        <v>0</v>
      </c>
      <c r="AN139" s="12">
        <v>0</v>
      </c>
      <c r="AO139" s="12">
        <v>0</v>
      </c>
      <c r="AP139" s="12">
        <v>0</v>
      </c>
      <c r="AQ139" s="12">
        <v>0</v>
      </c>
      <c r="AR139" s="12">
        <v>0</v>
      </c>
      <c r="AS139" s="12">
        <v>0</v>
      </c>
      <c r="AT139" s="12">
        <v>0</v>
      </c>
      <c r="AU139" s="12">
        <v>0</v>
      </c>
      <c r="AV139" s="12">
        <v>0</v>
      </c>
      <c r="AW139" s="12">
        <v>0</v>
      </c>
      <c r="AX139" s="12">
        <v>0</v>
      </c>
      <c r="AY139" s="12">
        <v>0</v>
      </c>
      <c r="AZ139" s="12">
        <v>0</v>
      </c>
      <c r="BA139" s="12">
        <v>0</v>
      </c>
      <c r="BB139" s="12">
        <v>0</v>
      </c>
      <c r="BC139" s="12">
        <v>0</v>
      </c>
      <c r="BD139" s="12">
        <v>0</v>
      </c>
      <c r="BE139" s="12">
        <v>0</v>
      </c>
      <c r="BF139" s="12">
        <v>0</v>
      </c>
      <c r="BG139" s="75">
        <f t="shared" si="32"/>
        <v>0</v>
      </c>
      <c r="BH139" s="75">
        <f t="shared" si="29"/>
        <v>0</v>
      </c>
      <c r="BI139" s="75">
        <f t="shared" si="30"/>
        <v>0</v>
      </c>
      <c r="BJ139" s="75">
        <f t="shared" si="31"/>
        <v>0</v>
      </c>
    </row>
    <row r="140" spans="3:62" x14ac:dyDescent="0.25">
      <c r="D140" s="7">
        <v>2016</v>
      </c>
      <c r="E140" s="7" t="s">
        <v>268</v>
      </c>
      <c r="F140" s="12">
        <v>0</v>
      </c>
      <c r="G140" s="12">
        <v>0</v>
      </c>
      <c r="H140" s="12">
        <v>0</v>
      </c>
      <c r="I140" s="12">
        <v>0</v>
      </c>
      <c r="J140" s="12">
        <v>0</v>
      </c>
      <c r="K140" s="12">
        <v>0</v>
      </c>
      <c r="L140" s="12">
        <v>0</v>
      </c>
      <c r="M140" s="12">
        <v>0</v>
      </c>
      <c r="N140" s="12">
        <v>0</v>
      </c>
      <c r="O140" s="12">
        <v>0</v>
      </c>
      <c r="P140" s="12">
        <v>0</v>
      </c>
      <c r="Q140" s="12">
        <v>0</v>
      </c>
      <c r="R140" s="12">
        <v>0</v>
      </c>
      <c r="S140" s="12">
        <v>0</v>
      </c>
      <c r="T140" s="12">
        <v>0</v>
      </c>
      <c r="U140" s="12">
        <v>0</v>
      </c>
      <c r="V140" s="12">
        <v>0</v>
      </c>
      <c r="W140" s="12">
        <v>0</v>
      </c>
      <c r="X140" s="12">
        <v>0</v>
      </c>
      <c r="Y140" s="12">
        <v>0</v>
      </c>
      <c r="Z140" s="12">
        <v>0</v>
      </c>
      <c r="AA140" s="12">
        <v>0</v>
      </c>
      <c r="AB140" s="12">
        <v>0</v>
      </c>
      <c r="AC140" s="12">
        <v>0</v>
      </c>
      <c r="AD140" s="12">
        <v>0</v>
      </c>
      <c r="AE140" s="12">
        <v>0</v>
      </c>
      <c r="AF140" s="12">
        <v>0</v>
      </c>
      <c r="AG140" s="12">
        <v>0</v>
      </c>
      <c r="AH140" s="12">
        <v>0</v>
      </c>
      <c r="AI140" s="12">
        <v>0</v>
      </c>
      <c r="AJ140" s="12">
        <v>0</v>
      </c>
      <c r="AK140" s="12">
        <v>0</v>
      </c>
      <c r="AL140" s="12">
        <v>0</v>
      </c>
      <c r="AM140" s="12">
        <v>0</v>
      </c>
      <c r="AN140" s="12">
        <v>0</v>
      </c>
      <c r="AO140" s="12">
        <v>0</v>
      </c>
      <c r="AP140" s="12">
        <v>0</v>
      </c>
      <c r="AQ140" s="12">
        <v>0</v>
      </c>
      <c r="AR140" s="12">
        <v>0</v>
      </c>
      <c r="AS140" s="12">
        <v>0</v>
      </c>
      <c r="AT140" s="12">
        <v>0</v>
      </c>
      <c r="AU140" s="12">
        <v>0</v>
      </c>
      <c r="AV140" s="12">
        <v>0</v>
      </c>
      <c r="AW140" s="12">
        <v>0</v>
      </c>
      <c r="AX140" s="12">
        <v>0</v>
      </c>
      <c r="AY140" s="12">
        <v>0</v>
      </c>
      <c r="AZ140" s="12">
        <v>0</v>
      </c>
      <c r="BA140" s="12">
        <v>0</v>
      </c>
      <c r="BB140" s="12">
        <v>0</v>
      </c>
      <c r="BC140" s="12">
        <v>0</v>
      </c>
      <c r="BD140" s="12">
        <v>0</v>
      </c>
      <c r="BE140" s="12">
        <v>0</v>
      </c>
      <c r="BF140" s="12">
        <v>0</v>
      </c>
      <c r="BG140" s="75">
        <f t="shared" si="32"/>
        <v>0</v>
      </c>
      <c r="BH140" s="75">
        <f t="shared" si="29"/>
        <v>0</v>
      </c>
      <c r="BI140" s="75">
        <f t="shared" si="30"/>
        <v>0</v>
      </c>
      <c r="BJ140" s="75">
        <f t="shared" si="31"/>
        <v>0</v>
      </c>
    </row>
    <row r="141" spans="3:62" x14ac:dyDescent="0.25">
      <c r="D141" s="7">
        <v>2019</v>
      </c>
      <c r="E141" s="7" t="s">
        <v>408</v>
      </c>
      <c r="F141" s="12">
        <v>0</v>
      </c>
      <c r="G141" s="12">
        <v>0</v>
      </c>
      <c r="H141" s="12">
        <v>0</v>
      </c>
      <c r="I141" s="12">
        <v>0</v>
      </c>
      <c r="J141" s="12">
        <v>0</v>
      </c>
      <c r="K141" s="12">
        <v>0</v>
      </c>
      <c r="L141" s="12">
        <v>0</v>
      </c>
      <c r="M141" s="12">
        <v>0</v>
      </c>
      <c r="N141" s="12">
        <v>0</v>
      </c>
      <c r="O141" s="12">
        <v>0</v>
      </c>
      <c r="P141" s="12">
        <v>-186.85</v>
      </c>
      <c r="Q141" s="12">
        <v>0</v>
      </c>
      <c r="R141" s="12">
        <v>0</v>
      </c>
      <c r="S141" s="12">
        <v>0</v>
      </c>
      <c r="T141" s="12">
        <v>0</v>
      </c>
      <c r="U141" s="12">
        <v>0</v>
      </c>
      <c r="V141" s="12">
        <v>0</v>
      </c>
      <c r="W141" s="12">
        <v>0</v>
      </c>
      <c r="X141" s="12">
        <v>0</v>
      </c>
      <c r="Y141" s="12">
        <v>0</v>
      </c>
      <c r="Z141" s="12">
        <v>0</v>
      </c>
      <c r="AA141" s="12">
        <v>0</v>
      </c>
      <c r="AB141" s="12">
        <v>0</v>
      </c>
      <c r="AC141" s="12">
        <v>0</v>
      </c>
      <c r="AD141" s="12">
        <v>0</v>
      </c>
      <c r="AE141" s="12">
        <v>0</v>
      </c>
      <c r="AF141" s="12">
        <v>0</v>
      </c>
      <c r="AG141" s="12">
        <v>0</v>
      </c>
      <c r="AH141" s="12">
        <v>0</v>
      </c>
      <c r="AI141" s="12">
        <v>0</v>
      </c>
      <c r="AJ141" s="12">
        <v>0</v>
      </c>
      <c r="AK141" s="12">
        <v>0</v>
      </c>
      <c r="AL141" s="12">
        <v>0</v>
      </c>
      <c r="AM141" s="12">
        <v>0</v>
      </c>
      <c r="AN141" s="12">
        <v>0</v>
      </c>
      <c r="AO141" s="12">
        <v>0</v>
      </c>
      <c r="AP141" s="12">
        <v>0</v>
      </c>
      <c r="AQ141" s="12">
        <v>0</v>
      </c>
      <c r="AR141" s="12">
        <v>0</v>
      </c>
      <c r="AS141" s="12">
        <v>0</v>
      </c>
      <c r="AT141" s="12">
        <v>0</v>
      </c>
      <c r="AU141" s="12">
        <v>0</v>
      </c>
      <c r="AV141" s="12">
        <v>0</v>
      </c>
      <c r="AW141" s="12">
        <v>0</v>
      </c>
      <c r="AX141" s="12">
        <v>0</v>
      </c>
      <c r="AY141" s="12">
        <v>0</v>
      </c>
      <c r="AZ141" s="12">
        <v>0</v>
      </c>
      <c r="BA141" s="12">
        <v>1095385</v>
      </c>
      <c r="BB141" s="12">
        <v>0</v>
      </c>
      <c r="BC141" s="12">
        <v>0</v>
      </c>
      <c r="BD141" s="12">
        <v>0</v>
      </c>
      <c r="BE141" s="12">
        <v>0</v>
      </c>
      <c r="BF141" s="12">
        <v>0</v>
      </c>
      <c r="BG141" s="75">
        <f t="shared" si="32"/>
        <v>1095198.1499999999</v>
      </c>
      <c r="BH141" s="75">
        <f t="shared" si="29"/>
        <v>-186.85</v>
      </c>
      <c r="BI141" s="75">
        <f t="shared" si="30"/>
        <v>0</v>
      </c>
      <c r="BJ141" s="75">
        <f t="shared" si="31"/>
        <v>1095385</v>
      </c>
    </row>
    <row r="142" spans="3:62" x14ac:dyDescent="0.25">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75"/>
      <c r="BH142" s="75"/>
      <c r="BI142" s="75"/>
      <c r="BJ142" s="75"/>
    </row>
    <row r="143" spans="3:62" x14ac:dyDescent="0.25">
      <c r="C143" s="111">
        <v>204</v>
      </c>
      <c r="D143" s="111"/>
      <c r="E143" s="111" t="s">
        <v>254</v>
      </c>
      <c r="F143" s="112">
        <f>F144+F145+F146+F147+F148+F149+F150+F151</f>
        <v>79460.799999999988</v>
      </c>
      <c r="G143" s="112">
        <f t="shared" ref="G143:BF143" si="33">G144+G145+G146+G147+G148+G149+G150+G151</f>
        <v>61691.9</v>
      </c>
      <c r="H143" s="112">
        <f t="shared" si="33"/>
        <v>331107.09999999998</v>
      </c>
      <c r="I143" s="112">
        <f t="shared" si="33"/>
        <v>367008.16000000003</v>
      </c>
      <c r="J143" s="112">
        <f t="shared" si="33"/>
        <v>265755.78000000003</v>
      </c>
      <c r="K143" s="112">
        <f t="shared" si="33"/>
        <v>703454.89</v>
      </c>
      <c r="L143" s="112">
        <f t="shared" si="33"/>
        <v>654237.42000000004</v>
      </c>
      <c r="M143" s="112">
        <f t="shared" si="33"/>
        <v>3141348.41</v>
      </c>
      <c r="N143" s="112">
        <f t="shared" si="33"/>
        <v>900</v>
      </c>
      <c r="O143" s="112">
        <f t="shared" si="33"/>
        <v>67015.11</v>
      </c>
      <c r="P143" s="112">
        <f t="shared" si="33"/>
        <v>362937.54</v>
      </c>
      <c r="Q143" s="112">
        <f t="shared" si="33"/>
        <v>416666.13</v>
      </c>
      <c r="R143" s="112">
        <f t="shared" si="33"/>
        <v>43714.95</v>
      </c>
      <c r="S143" s="112">
        <f t="shared" si="33"/>
        <v>15097.01</v>
      </c>
      <c r="T143" s="112">
        <f t="shared" si="33"/>
        <v>18586.940000000002</v>
      </c>
      <c r="U143" s="112">
        <f t="shared" si="33"/>
        <v>295448.09999999998</v>
      </c>
      <c r="V143" s="112">
        <f t="shared" si="33"/>
        <v>85439.930000000008</v>
      </c>
      <c r="W143" s="112">
        <f t="shared" si="33"/>
        <v>342319.55</v>
      </c>
      <c r="X143" s="112">
        <f t="shared" si="33"/>
        <v>110394.93999999999</v>
      </c>
      <c r="Y143" s="112">
        <f t="shared" si="33"/>
        <v>73242.95</v>
      </c>
      <c r="Z143" s="112">
        <f t="shared" si="33"/>
        <v>142759.09999999998</v>
      </c>
      <c r="AA143" s="112">
        <f t="shared" si="33"/>
        <v>1698443.27</v>
      </c>
      <c r="AB143" s="112">
        <f t="shared" si="33"/>
        <v>0</v>
      </c>
      <c r="AC143" s="112">
        <f t="shared" si="33"/>
        <v>103251.95</v>
      </c>
      <c r="AD143" s="112">
        <f t="shared" si="33"/>
        <v>1942.3</v>
      </c>
      <c r="AE143" s="112">
        <f t="shared" si="33"/>
        <v>506512.27</v>
      </c>
      <c r="AF143" s="112">
        <f t="shared" si="33"/>
        <v>307962.71000000002</v>
      </c>
      <c r="AG143" s="112">
        <f t="shared" si="33"/>
        <v>1269718.1000000001</v>
      </c>
      <c r="AH143" s="112">
        <f t="shared" si="33"/>
        <v>143511.48000000001</v>
      </c>
      <c r="AI143" s="112">
        <f t="shared" si="33"/>
        <v>172143.05</v>
      </c>
      <c r="AJ143" s="112">
        <f t="shared" si="33"/>
        <v>47242.76</v>
      </c>
      <c r="AK143" s="112">
        <f t="shared" si="33"/>
        <v>92284.6</v>
      </c>
      <c r="AL143" s="112">
        <f t="shared" si="33"/>
        <v>870998.65</v>
      </c>
      <c r="AM143" s="112">
        <f t="shared" si="33"/>
        <v>234943.5</v>
      </c>
      <c r="AN143" s="112">
        <f t="shared" si="33"/>
        <v>564526.80000000005</v>
      </c>
      <c r="AO143" s="112">
        <f t="shared" si="33"/>
        <v>20768.25</v>
      </c>
      <c r="AP143" s="112">
        <f t="shared" si="33"/>
        <v>583261.05000000005</v>
      </c>
      <c r="AQ143" s="112">
        <f t="shared" si="33"/>
        <v>43465.95</v>
      </c>
      <c r="AR143" s="112">
        <f t="shared" si="33"/>
        <v>26591.09</v>
      </c>
      <c r="AS143" s="112">
        <f t="shared" si="33"/>
        <v>127038.52</v>
      </c>
      <c r="AT143" s="112">
        <f t="shared" si="33"/>
        <v>35907.949999999997</v>
      </c>
      <c r="AU143" s="112">
        <f t="shared" si="33"/>
        <v>41613.46</v>
      </c>
      <c r="AV143" s="112">
        <f t="shared" si="33"/>
        <v>18581</v>
      </c>
      <c r="AW143" s="112">
        <f t="shared" si="33"/>
        <v>502137.85</v>
      </c>
      <c r="AX143" s="112">
        <f t="shared" si="33"/>
        <v>87017.65</v>
      </c>
      <c r="AY143" s="112">
        <f t="shared" si="33"/>
        <v>42021.55</v>
      </c>
      <c r="AZ143" s="112">
        <f t="shared" si="33"/>
        <v>66208.599999999991</v>
      </c>
      <c r="BA143" s="112">
        <f t="shared" si="33"/>
        <v>202919.4</v>
      </c>
      <c r="BB143" s="112">
        <f t="shared" si="33"/>
        <v>40616.579999999994</v>
      </c>
      <c r="BC143" s="112">
        <f t="shared" si="33"/>
        <v>16510.3</v>
      </c>
      <c r="BD143" s="112">
        <f t="shared" si="33"/>
        <v>334304.52999999997</v>
      </c>
      <c r="BE143" s="112">
        <f t="shared" si="33"/>
        <v>1283849.7</v>
      </c>
      <c r="BF143" s="112">
        <f t="shared" si="33"/>
        <v>267343.14999999997</v>
      </c>
      <c r="BG143" s="112">
        <f t="shared" si="32"/>
        <v>17332224.73</v>
      </c>
      <c r="BH143" s="112">
        <f t="shared" si="29"/>
        <v>7362584.6600000001</v>
      </c>
      <c r="BI143" s="112">
        <f t="shared" si="30"/>
        <v>4559014.5399999991</v>
      </c>
      <c r="BJ143" s="112">
        <f t="shared" si="31"/>
        <v>5410625.5300000003</v>
      </c>
    </row>
    <row r="144" spans="3:62" x14ac:dyDescent="0.25">
      <c r="D144" s="7">
        <v>2040</v>
      </c>
      <c r="E144" s="7" t="s">
        <v>61</v>
      </c>
      <c r="F144" s="12">
        <v>0</v>
      </c>
      <c r="G144" s="12">
        <v>0</v>
      </c>
      <c r="H144" s="12">
        <v>0</v>
      </c>
      <c r="I144" s="12">
        <v>0</v>
      </c>
      <c r="J144" s="12">
        <v>0</v>
      </c>
      <c r="K144" s="12">
        <v>5859</v>
      </c>
      <c r="L144" s="12">
        <v>0</v>
      </c>
      <c r="M144" s="12">
        <v>0</v>
      </c>
      <c r="N144" s="12">
        <v>0</v>
      </c>
      <c r="O144" s="12">
        <v>0</v>
      </c>
      <c r="P144" s="12">
        <v>19536.150000000001</v>
      </c>
      <c r="Q144" s="12">
        <v>0</v>
      </c>
      <c r="R144" s="12">
        <v>154.6</v>
      </c>
      <c r="S144" s="12">
        <v>0</v>
      </c>
      <c r="T144" s="12">
        <v>0</v>
      </c>
      <c r="U144" s="12">
        <v>0</v>
      </c>
      <c r="V144" s="12">
        <v>0</v>
      </c>
      <c r="W144" s="12">
        <v>0</v>
      </c>
      <c r="X144" s="12">
        <v>16282.15</v>
      </c>
      <c r="Y144" s="12">
        <v>0</v>
      </c>
      <c r="Z144" s="12">
        <v>0</v>
      </c>
      <c r="AA144" s="12">
        <v>0</v>
      </c>
      <c r="AB144" s="12">
        <v>0</v>
      </c>
      <c r="AC144" s="12">
        <v>1657.35</v>
      </c>
      <c r="AD144" s="12">
        <v>0</v>
      </c>
      <c r="AE144" s="12">
        <v>0</v>
      </c>
      <c r="AF144" s="12">
        <v>0</v>
      </c>
      <c r="AG144" s="12">
        <v>0</v>
      </c>
      <c r="AH144" s="12">
        <v>0</v>
      </c>
      <c r="AI144" s="12">
        <v>1681.4</v>
      </c>
      <c r="AJ144" s="12">
        <v>0</v>
      </c>
      <c r="AK144" s="12">
        <v>0</v>
      </c>
      <c r="AL144" s="12">
        <v>0</v>
      </c>
      <c r="AM144" s="12">
        <v>0</v>
      </c>
      <c r="AN144" s="12">
        <v>-1879.05</v>
      </c>
      <c r="AO144" s="12">
        <v>0</v>
      </c>
      <c r="AP144" s="12">
        <v>13525.5</v>
      </c>
      <c r="AQ144" s="12">
        <v>0</v>
      </c>
      <c r="AR144" s="12">
        <v>0</v>
      </c>
      <c r="AS144" s="12">
        <v>0</v>
      </c>
      <c r="AT144" s="12">
        <v>0</v>
      </c>
      <c r="AU144" s="12">
        <v>13425</v>
      </c>
      <c r="AV144" s="12">
        <v>0</v>
      </c>
      <c r="AW144" s="12">
        <v>0</v>
      </c>
      <c r="AX144" s="12">
        <v>0</v>
      </c>
      <c r="AY144" s="12">
        <v>0</v>
      </c>
      <c r="AZ144" s="12">
        <v>0</v>
      </c>
      <c r="BA144" s="12">
        <v>0</v>
      </c>
      <c r="BB144" s="12">
        <v>0</v>
      </c>
      <c r="BC144" s="12">
        <v>9162.0499999999993</v>
      </c>
      <c r="BD144" s="12">
        <v>0</v>
      </c>
      <c r="BE144" s="12">
        <v>600016.25</v>
      </c>
      <c r="BF144" s="12">
        <v>0</v>
      </c>
      <c r="BG144" s="75">
        <f t="shared" si="32"/>
        <v>679420.4</v>
      </c>
      <c r="BH144" s="75">
        <f t="shared" si="29"/>
        <v>41831.9</v>
      </c>
      <c r="BI144" s="75">
        <f t="shared" si="30"/>
        <v>3338.75</v>
      </c>
      <c r="BJ144" s="75">
        <f t="shared" si="31"/>
        <v>634249.75</v>
      </c>
    </row>
    <row r="145" spans="3:62" x14ac:dyDescent="0.25">
      <c r="D145" s="7">
        <v>2041</v>
      </c>
      <c r="E145" s="7" t="s">
        <v>276</v>
      </c>
      <c r="F145" s="12">
        <v>75622.899999999994</v>
      </c>
      <c r="G145" s="12">
        <v>1600</v>
      </c>
      <c r="H145" s="12">
        <v>119173.05</v>
      </c>
      <c r="I145" s="12">
        <v>153190.87</v>
      </c>
      <c r="J145" s="12">
        <v>0</v>
      </c>
      <c r="K145" s="12">
        <v>25358</v>
      </c>
      <c r="L145" s="12">
        <v>404236.08</v>
      </c>
      <c r="M145" s="12">
        <v>2417325.71</v>
      </c>
      <c r="N145" s="12">
        <v>900</v>
      </c>
      <c r="O145" s="12">
        <v>67015.11</v>
      </c>
      <c r="P145" s="12">
        <v>179426.65</v>
      </c>
      <c r="Q145" s="12">
        <v>416666.13</v>
      </c>
      <c r="R145" s="12">
        <v>25251.25</v>
      </c>
      <c r="S145" s="12">
        <v>2100</v>
      </c>
      <c r="T145" s="12">
        <v>1200</v>
      </c>
      <c r="U145" s="12">
        <v>295448.09999999998</v>
      </c>
      <c r="V145" s="12">
        <v>618.6</v>
      </c>
      <c r="W145" s="12">
        <v>82302.149999999994</v>
      </c>
      <c r="X145" s="12">
        <v>94112.79</v>
      </c>
      <c r="Y145" s="12">
        <v>28765.5</v>
      </c>
      <c r="Z145" s="12">
        <v>11646.55</v>
      </c>
      <c r="AA145" s="12">
        <v>1698443.27</v>
      </c>
      <c r="AB145" s="12">
        <v>0</v>
      </c>
      <c r="AC145" s="12">
        <v>4330</v>
      </c>
      <c r="AD145" s="12">
        <v>1942.3</v>
      </c>
      <c r="AE145" s="12">
        <v>469162.3</v>
      </c>
      <c r="AF145" s="12">
        <v>282092.5</v>
      </c>
      <c r="AG145" s="12">
        <v>1269718.1000000001</v>
      </c>
      <c r="AH145" s="12">
        <v>143511.48000000001</v>
      </c>
      <c r="AI145" s="12">
        <v>12691.75</v>
      </c>
      <c r="AJ145" s="12">
        <v>47242.76</v>
      </c>
      <c r="AK145" s="12">
        <v>5382.55</v>
      </c>
      <c r="AL145" s="12">
        <v>37000</v>
      </c>
      <c r="AM145" s="12">
        <v>234943.5</v>
      </c>
      <c r="AN145" s="12">
        <v>34523.449999999997</v>
      </c>
      <c r="AO145" s="12">
        <v>20498.599999999999</v>
      </c>
      <c r="AP145" s="12">
        <v>290415.45</v>
      </c>
      <c r="AQ145" s="12">
        <v>9823.7999999999993</v>
      </c>
      <c r="AR145" s="12">
        <v>26591.09</v>
      </c>
      <c r="AS145" s="12">
        <v>110822.92</v>
      </c>
      <c r="AT145" s="12">
        <v>35907.949999999997</v>
      </c>
      <c r="AU145" s="12">
        <v>13693.81</v>
      </c>
      <c r="AV145" s="12">
        <v>11378</v>
      </c>
      <c r="AW145" s="12">
        <v>253591.55</v>
      </c>
      <c r="AX145" s="12">
        <v>87017.65</v>
      </c>
      <c r="AY145" s="12">
        <v>42021.55</v>
      </c>
      <c r="AZ145" s="12">
        <v>59195.7</v>
      </c>
      <c r="BA145" s="12">
        <v>202919.4</v>
      </c>
      <c r="BB145" s="12">
        <v>35931.629999999997</v>
      </c>
      <c r="BC145" s="12">
        <v>3998.25</v>
      </c>
      <c r="BD145" s="12">
        <v>207932.93</v>
      </c>
      <c r="BE145" s="12">
        <v>460720.25</v>
      </c>
      <c r="BF145" s="12">
        <v>820</v>
      </c>
      <c r="BG145" s="75">
        <f t="shared" si="32"/>
        <v>10516223.93</v>
      </c>
      <c r="BH145" s="75">
        <f t="shared" si="29"/>
        <v>4361547.3899999997</v>
      </c>
      <c r="BI145" s="75">
        <f t="shared" si="30"/>
        <v>3974929.0599999996</v>
      </c>
      <c r="BJ145" s="75">
        <f t="shared" si="31"/>
        <v>2179747.4799999995</v>
      </c>
    </row>
    <row r="146" spans="3:62" x14ac:dyDescent="0.25">
      <c r="D146" s="7">
        <v>2042</v>
      </c>
      <c r="E146" s="7" t="s">
        <v>328</v>
      </c>
      <c r="F146" s="12">
        <v>3837.9</v>
      </c>
      <c r="G146" s="12">
        <v>11663.6</v>
      </c>
      <c r="H146" s="12">
        <v>1352.05</v>
      </c>
      <c r="I146" s="12">
        <v>0</v>
      </c>
      <c r="J146" s="12">
        <v>18528</v>
      </c>
      <c r="K146" s="12">
        <v>11879.34</v>
      </c>
      <c r="L146" s="12">
        <v>245625.5</v>
      </c>
      <c r="M146" s="12">
        <v>724022.7</v>
      </c>
      <c r="N146" s="12">
        <v>0</v>
      </c>
      <c r="O146" s="12">
        <v>0</v>
      </c>
      <c r="P146" s="12">
        <v>4516.55</v>
      </c>
      <c r="Q146" s="12">
        <v>0</v>
      </c>
      <c r="R146" s="12">
        <v>0</v>
      </c>
      <c r="S146" s="12">
        <v>12997.01</v>
      </c>
      <c r="T146" s="12">
        <v>10265.950000000001</v>
      </c>
      <c r="U146" s="12">
        <v>0</v>
      </c>
      <c r="V146" s="12">
        <v>0</v>
      </c>
      <c r="W146" s="12">
        <v>68973.95</v>
      </c>
      <c r="X146" s="12">
        <v>0</v>
      </c>
      <c r="Y146" s="12">
        <v>668.65</v>
      </c>
      <c r="Z146" s="12">
        <v>131112.54999999999</v>
      </c>
      <c r="AA146" s="12">
        <v>0</v>
      </c>
      <c r="AB146" s="12">
        <v>0</v>
      </c>
      <c r="AC146" s="12">
        <v>80.650000000000006</v>
      </c>
      <c r="AD146" s="12">
        <v>0</v>
      </c>
      <c r="AE146" s="12">
        <v>0</v>
      </c>
      <c r="AF146" s="12">
        <v>9132.4</v>
      </c>
      <c r="AG146" s="12">
        <v>0</v>
      </c>
      <c r="AH146" s="12">
        <v>0</v>
      </c>
      <c r="AI146" s="12">
        <v>29546.25</v>
      </c>
      <c r="AJ146" s="12">
        <v>0</v>
      </c>
      <c r="AK146" s="12">
        <v>15159.95</v>
      </c>
      <c r="AL146" s="12">
        <v>0</v>
      </c>
      <c r="AM146" s="12">
        <v>0</v>
      </c>
      <c r="AN146" s="12">
        <v>0</v>
      </c>
      <c r="AO146" s="12">
        <v>269.64999999999998</v>
      </c>
      <c r="AP146" s="12">
        <v>279320.09999999998</v>
      </c>
      <c r="AQ146" s="12">
        <v>33642.15</v>
      </c>
      <c r="AR146" s="12">
        <v>0</v>
      </c>
      <c r="AS146" s="12">
        <v>0</v>
      </c>
      <c r="AT146" s="12">
        <v>0</v>
      </c>
      <c r="AU146" s="12">
        <v>4251.6499999999996</v>
      </c>
      <c r="AV146" s="12">
        <v>7203</v>
      </c>
      <c r="AW146" s="12">
        <v>244842.55</v>
      </c>
      <c r="AX146" s="12">
        <v>0</v>
      </c>
      <c r="AY146" s="12">
        <v>0</v>
      </c>
      <c r="AZ146" s="12">
        <v>0</v>
      </c>
      <c r="BA146" s="12">
        <v>0</v>
      </c>
      <c r="BB146" s="12">
        <v>4684.95</v>
      </c>
      <c r="BC146" s="12">
        <v>0</v>
      </c>
      <c r="BD146" s="12">
        <v>59371.6</v>
      </c>
      <c r="BE146" s="12">
        <v>0</v>
      </c>
      <c r="BF146" s="12">
        <v>23811.1</v>
      </c>
      <c r="BG146" s="75">
        <f t="shared" si="32"/>
        <v>1956759.7499999995</v>
      </c>
      <c r="BH146" s="75">
        <f t="shared" si="29"/>
        <v>1113662.55</v>
      </c>
      <c r="BI146" s="75">
        <f t="shared" si="30"/>
        <v>185700.44999999998</v>
      </c>
      <c r="BJ146" s="75">
        <f t="shared" si="31"/>
        <v>657396.75</v>
      </c>
    </row>
    <row r="147" spans="3:62" x14ac:dyDescent="0.25">
      <c r="D147" s="7">
        <v>2043</v>
      </c>
      <c r="E147" s="7" t="s">
        <v>329</v>
      </c>
      <c r="F147" s="12">
        <v>0</v>
      </c>
      <c r="G147" s="12">
        <v>48428.3</v>
      </c>
      <c r="H147" s="12">
        <v>210582</v>
      </c>
      <c r="I147" s="12">
        <v>0</v>
      </c>
      <c r="J147" s="12">
        <v>206263.28</v>
      </c>
      <c r="K147" s="12">
        <v>645000</v>
      </c>
      <c r="L147" s="12">
        <v>0</v>
      </c>
      <c r="M147" s="12">
        <v>0</v>
      </c>
      <c r="N147" s="12">
        <v>0</v>
      </c>
      <c r="O147" s="12">
        <v>0</v>
      </c>
      <c r="P147" s="12">
        <v>103911.86</v>
      </c>
      <c r="Q147" s="12">
        <v>0</v>
      </c>
      <c r="R147" s="12">
        <v>17464.099999999999</v>
      </c>
      <c r="S147" s="12">
        <v>0</v>
      </c>
      <c r="T147" s="12">
        <v>7120.99</v>
      </c>
      <c r="U147" s="12">
        <v>0</v>
      </c>
      <c r="V147" s="12">
        <v>84821.33</v>
      </c>
      <c r="W147" s="12">
        <v>191043.45</v>
      </c>
      <c r="X147" s="12">
        <v>0</v>
      </c>
      <c r="Y147" s="12">
        <v>41045.9</v>
      </c>
      <c r="Z147" s="12">
        <v>0</v>
      </c>
      <c r="AA147" s="12">
        <v>0</v>
      </c>
      <c r="AB147" s="12">
        <v>0</v>
      </c>
      <c r="AC147" s="12">
        <v>89046.65</v>
      </c>
      <c r="AD147" s="12">
        <v>0</v>
      </c>
      <c r="AE147" s="12">
        <v>0</v>
      </c>
      <c r="AF147" s="12">
        <v>0</v>
      </c>
      <c r="AG147" s="12">
        <v>0</v>
      </c>
      <c r="AH147" s="12">
        <v>0</v>
      </c>
      <c r="AI147" s="12">
        <v>126727.4</v>
      </c>
      <c r="AJ147" s="12">
        <v>0</v>
      </c>
      <c r="AK147" s="12">
        <v>55293.35</v>
      </c>
      <c r="AL147" s="12">
        <v>821052.75</v>
      </c>
      <c r="AM147" s="12">
        <v>0</v>
      </c>
      <c r="AN147" s="12">
        <v>531882.4</v>
      </c>
      <c r="AO147" s="12">
        <v>0</v>
      </c>
      <c r="AP147" s="12">
        <v>0</v>
      </c>
      <c r="AQ147" s="12">
        <v>0</v>
      </c>
      <c r="AR147" s="12">
        <v>0</v>
      </c>
      <c r="AS147" s="12">
        <v>0</v>
      </c>
      <c r="AT147" s="12">
        <v>0</v>
      </c>
      <c r="AU147" s="12">
        <v>10243</v>
      </c>
      <c r="AV147" s="12">
        <v>0</v>
      </c>
      <c r="AW147" s="12">
        <v>0</v>
      </c>
      <c r="AX147" s="12">
        <v>0</v>
      </c>
      <c r="AY147" s="12">
        <v>0</v>
      </c>
      <c r="AZ147" s="12">
        <v>0</v>
      </c>
      <c r="BA147" s="12">
        <v>0</v>
      </c>
      <c r="BB147" s="12">
        <v>0</v>
      </c>
      <c r="BC147" s="12">
        <v>0</v>
      </c>
      <c r="BD147" s="12">
        <v>67000</v>
      </c>
      <c r="BE147" s="12">
        <v>0</v>
      </c>
      <c r="BF147" s="12">
        <v>242712.05</v>
      </c>
      <c r="BG147" s="75">
        <f t="shared" si="32"/>
        <v>3499638.81</v>
      </c>
      <c r="BH147" s="75">
        <f t="shared" si="29"/>
        <v>1514635.3100000003</v>
      </c>
      <c r="BI147" s="75">
        <f t="shared" si="30"/>
        <v>312113.3</v>
      </c>
      <c r="BJ147" s="75">
        <f t="shared" si="31"/>
        <v>1672890.2</v>
      </c>
    </row>
    <row r="148" spans="3:62" x14ac:dyDescent="0.25">
      <c r="D148" s="7">
        <v>2044</v>
      </c>
      <c r="E148" s="7" t="s">
        <v>409</v>
      </c>
      <c r="F148" s="12">
        <v>0</v>
      </c>
      <c r="G148" s="12">
        <v>0</v>
      </c>
      <c r="H148" s="12">
        <v>0</v>
      </c>
      <c r="I148" s="12">
        <v>0</v>
      </c>
      <c r="J148" s="12">
        <v>40964.5</v>
      </c>
      <c r="K148" s="12">
        <v>15358.55</v>
      </c>
      <c r="L148" s="12">
        <v>0</v>
      </c>
      <c r="M148" s="12">
        <v>0</v>
      </c>
      <c r="N148" s="12">
        <v>0</v>
      </c>
      <c r="O148" s="12">
        <v>0</v>
      </c>
      <c r="P148" s="12">
        <v>57375</v>
      </c>
      <c r="Q148" s="12">
        <v>0</v>
      </c>
      <c r="R148" s="12">
        <v>0</v>
      </c>
      <c r="S148" s="12">
        <v>0</v>
      </c>
      <c r="T148" s="12">
        <v>0</v>
      </c>
      <c r="U148" s="12">
        <v>0</v>
      </c>
      <c r="V148" s="12">
        <v>0</v>
      </c>
      <c r="W148" s="12">
        <v>0</v>
      </c>
      <c r="X148" s="12">
        <v>0</v>
      </c>
      <c r="Y148" s="12">
        <v>2762.9</v>
      </c>
      <c r="Z148" s="12">
        <v>0</v>
      </c>
      <c r="AA148" s="12">
        <v>0</v>
      </c>
      <c r="AB148" s="12">
        <v>0</v>
      </c>
      <c r="AC148" s="12">
        <v>1038.8</v>
      </c>
      <c r="AD148" s="12">
        <v>0</v>
      </c>
      <c r="AE148" s="12">
        <v>0</v>
      </c>
      <c r="AF148" s="12">
        <v>16737.810000000001</v>
      </c>
      <c r="AG148" s="12">
        <v>0</v>
      </c>
      <c r="AH148" s="12">
        <v>0</v>
      </c>
      <c r="AI148" s="12">
        <v>0</v>
      </c>
      <c r="AJ148" s="12">
        <v>0</v>
      </c>
      <c r="AK148" s="12">
        <v>2159.0500000000002</v>
      </c>
      <c r="AL148" s="12">
        <v>12945.9</v>
      </c>
      <c r="AM148" s="12">
        <v>0</v>
      </c>
      <c r="AN148" s="12">
        <v>0</v>
      </c>
      <c r="AO148" s="12">
        <v>0</v>
      </c>
      <c r="AP148" s="12">
        <v>0</v>
      </c>
      <c r="AQ148" s="12">
        <v>0</v>
      </c>
      <c r="AR148" s="12">
        <v>0</v>
      </c>
      <c r="AS148" s="12">
        <v>0</v>
      </c>
      <c r="AT148" s="12">
        <v>0</v>
      </c>
      <c r="AU148" s="12">
        <v>0</v>
      </c>
      <c r="AV148" s="12">
        <v>0</v>
      </c>
      <c r="AW148" s="12">
        <v>0</v>
      </c>
      <c r="AX148" s="12">
        <v>0</v>
      </c>
      <c r="AY148" s="12">
        <v>0</v>
      </c>
      <c r="AZ148" s="12">
        <v>7012.9</v>
      </c>
      <c r="BA148" s="12">
        <v>0</v>
      </c>
      <c r="BB148" s="12">
        <v>0</v>
      </c>
      <c r="BC148" s="12">
        <v>3350</v>
      </c>
      <c r="BD148" s="12">
        <v>0</v>
      </c>
      <c r="BE148" s="12">
        <v>223113.2</v>
      </c>
      <c r="BF148" s="12">
        <v>0</v>
      </c>
      <c r="BG148" s="75">
        <f t="shared" si="32"/>
        <v>382818.61</v>
      </c>
      <c r="BH148" s="75">
        <f t="shared" si="29"/>
        <v>113698.05</v>
      </c>
      <c r="BI148" s="75">
        <f t="shared" si="30"/>
        <v>22698.560000000001</v>
      </c>
      <c r="BJ148" s="75">
        <f t="shared" si="31"/>
        <v>246422</v>
      </c>
    </row>
    <row r="149" spans="3:62" x14ac:dyDescent="0.25">
      <c r="D149" s="7">
        <v>2045</v>
      </c>
      <c r="E149" s="7" t="s">
        <v>331</v>
      </c>
      <c r="F149" s="12">
        <v>0</v>
      </c>
      <c r="G149" s="12">
        <v>0</v>
      </c>
      <c r="H149" s="12">
        <v>0</v>
      </c>
      <c r="I149" s="12">
        <v>213817.29</v>
      </c>
      <c r="J149" s="12">
        <v>0</v>
      </c>
      <c r="K149" s="12">
        <v>0</v>
      </c>
      <c r="L149" s="12">
        <v>0</v>
      </c>
      <c r="M149" s="12">
        <v>0</v>
      </c>
      <c r="N149" s="12">
        <v>0</v>
      </c>
      <c r="O149" s="12">
        <v>0</v>
      </c>
      <c r="P149" s="12">
        <v>-1828.67</v>
      </c>
      <c r="Q149" s="12">
        <v>0</v>
      </c>
      <c r="R149" s="12">
        <v>845</v>
      </c>
      <c r="S149" s="12">
        <v>0</v>
      </c>
      <c r="T149" s="12">
        <v>0</v>
      </c>
      <c r="U149" s="12">
        <v>0</v>
      </c>
      <c r="V149" s="12">
        <v>0</v>
      </c>
      <c r="W149" s="12">
        <v>0</v>
      </c>
      <c r="X149" s="12">
        <v>0</v>
      </c>
      <c r="Y149" s="12">
        <v>0</v>
      </c>
      <c r="Z149" s="12">
        <v>0</v>
      </c>
      <c r="AA149" s="12">
        <v>0</v>
      </c>
      <c r="AB149" s="12">
        <v>0</v>
      </c>
      <c r="AC149" s="12">
        <v>7098.5</v>
      </c>
      <c r="AD149" s="12">
        <v>0</v>
      </c>
      <c r="AE149" s="12">
        <v>37349.97</v>
      </c>
      <c r="AF149" s="12">
        <v>0</v>
      </c>
      <c r="AG149" s="12">
        <v>0</v>
      </c>
      <c r="AH149" s="12">
        <v>0</v>
      </c>
      <c r="AI149" s="12">
        <v>1496.25</v>
      </c>
      <c r="AJ149" s="12">
        <v>0</v>
      </c>
      <c r="AK149" s="12">
        <v>14289.7</v>
      </c>
      <c r="AL149" s="12">
        <v>0</v>
      </c>
      <c r="AM149" s="12">
        <v>0</v>
      </c>
      <c r="AN149" s="12">
        <v>0</v>
      </c>
      <c r="AO149" s="12">
        <v>0</v>
      </c>
      <c r="AP149" s="12">
        <v>0</v>
      </c>
      <c r="AQ149" s="12">
        <v>0</v>
      </c>
      <c r="AR149" s="12">
        <v>0</v>
      </c>
      <c r="AS149" s="12">
        <v>16215.6</v>
      </c>
      <c r="AT149" s="12">
        <v>0</v>
      </c>
      <c r="AU149" s="12">
        <v>0</v>
      </c>
      <c r="AV149" s="12">
        <v>0</v>
      </c>
      <c r="AW149" s="12">
        <v>0</v>
      </c>
      <c r="AX149" s="12">
        <v>0</v>
      </c>
      <c r="AY149" s="12">
        <v>0</v>
      </c>
      <c r="AZ149" s="12">
        <v>0</v>
      </c>
      <c r="BA149" s="12">
        <v>0</v>
      </c>
      <c r="BB149" s="12">
        <v>0</v>
      </c>
      <c r="BC149" s="12">
        <v>0</v>
      </c>
      <c r="BD149" s="12">
        <v>0</v>
      </c>
      <c r="BE149" s="12">
        <v>0</v>
      </c>
      <c r="BF149" s="12">
        <v>0</v>
      </c>
      <c r="BG149" s="75">
        <f t="shared" si="32"/>
        <v>289283.63999999996</v>
      </c>
      <c r="BH149" s="75">
        <f t="shared" si="29"/>
        <v>212833.62</v>
      </c>
      <c r="BI149" s="75">
        <f t="shared" si="30"/>
        <v>60234.42</v>
      </c>
      <c r="BJ149" s="75">
        <f t="shared" si="31"/>
        <v>16215.6</v>
      </c>
    </row>
    <row r="150" spans="3:62" x14ac:dyDescent="0.25">
      <c r="D150" s="7">
        <v>2046</v>
      </c>
      <c r="E150" s="7" t="s">
        <v>410</v>
      </c>
      <c r="F150" s="12">
        <v>0</v>
      </c>
      <c r="G150" s="12">
        <v>0</v>
      </c>
      <c r="H150" s="12">
        <v>0</v>
      </c>
      <c r="I150" s="12">
        <v>0</v>
      </c>
      <c r="J150" s="12">
        <v>0</v>
      </c>
      <c r="K150" s="12">
        <v>0</v>
      </c>
      <c r="L150" s="12">
        <v>0</v>
      </c>
      <c r="M150" s="12">
        <v>0</v>
      </c>
      <c r="N150" s="12">
        <v>0</v>
      </c>
      <c r="O150" s="12">
        <v>0</v>
      </c>
      <c r="P150" s="12">
        <v>0</v>
      </c>
      <c r="Q150" s="12">
        <v>0</v>
      </c>
      <c r="R150" s="12">
        <v>0</v>
      </c>
      <c r="S150" s="12">
        <v>0</v>
      </c>
      <c r="T150" s="12">
        <v>0</v>
      </c>
      <c r="U150" s="12">
        <v>0</v>
      </c>
      <c r="V150" s="12">
        <v>0</v>
      </c>
      <c r="W150" s="12">
        <v>0</v>
      </c>
      <c r="X150" s="12">
        <v>0</v>
      </c>
      <c r="Y150" s="12">
        <v>0</v>
      </c>
      <c r="Z150" s="12">
        <v>0</v>
      </c>
      <c r="AA150" s="12">
        <v>0</v>
      </c>
      <c r="AB150" s="12">
        <v>0</v>
      </c>
      <c r="AC150" s="12">
        <v>0</v>
      </c>
      <c r="AD150" s="12">
        <v>0</v>
      </c>
      <c r="AE150" s="12">
        <v>0</v>
      </c>
      <c r="AF150" s="12">
        <v>0</v>
      </c>
      <c r="AG150" s="12">
        <v>0</v>
      </c>
      <c r="AH150" s="12">
        <v>0</v>
      </c>
      <c r="AI150" s="12">
        <v>0</v>
      </c>
      <c r="AJ150" s="12">
        <v>0</v>
      </c>
      <c r="AK150" s="12">
        <v>0</v>
      </c>
      <c r="AL150" s="12">
        <v>0</v>
      </c>
      <c r="AM150" s="12">
        <v>0</v>
      </c>
      <c r="AN150" s="12">
        <v>0</v>
      </c>
      <c r="AO150" s="12">
        <v>0</v>
      </c>
      <c r="AP150" s="12">
        <v>0</v>
      </c>
      <c r="AQ150" s="12">
        <v>0</v>
      </c>
      <c r="AR150" s="12">
        <v>0</v>
      </c>
      <c r="AS150" s="12">
        <v>0</v>
      </c>
      <c r="AT150" s="12">
        <v>0</v>
      </c>
      <c r="AU150" s="12">
        <v>0</v>
      </c>
      <c r="AV150" s="12">
        <v>0</v>
      </c>
      <c r="AW150" s="12">
        <v>3703.75</v>
      </c>
      <c r="AX150" s="12">
        <v>0</v>
      </c>
      <c r="AY150" s="12">
        <v>0</v>
      </c>
      <c r="AZ150" s="12">
        <v>0</v>
      </c>
      <c r="BA150" s="12">
        <v>0</v>
      </c>
      <c r="BB150" s="12">
        <v>0</v>
      </c>
      <c r="BC150" s="12">
        <v>0</v>
      </c>
      <c r="BD150" s="12">
        <v>0</v>
      </c>
      <c r="BE150" s="12">
        <v>0</v>
      </c>
      <c r="BF150" s="12">
        <v>0</v>
      </c>
      <c r="BG150" s="75">
        <f t="shared" si="32"/>
        <v>3703.75</v>
      </c>
      <c r="BH150" s="75">
        <f t="shared" si="29"/>
        <v>0</v>
      </c>
      <c r="BI150" s="75">
        <f t="shared" si="30"/>
        <v>0</v>
      </c>
      <c r="BJ150" s="75">
        <f t="shared" si="31"/>
        <v>3703.75</v>
      </c>
    </row>
    <row r="151" spans="3:62" x14ac:dyDescent="0.25">
      <c r="D151" s="7">
        <v>2049</v>
      </c>
      <c r="E151" s="7" t="s">
        <v>411</v>
      </c>
      <c r="F151" s="12">
        <v>0</v>
      </c>
      <c r="G151" s="12">
        <v>0</v>
      </c>
      <c r="H151" s="12">
        <v>0</v>
      </c>
      <c r="I151" s="12">
        <v>0</v>
      </c>
      <c r="J151" s="12">
        <v>0</v>
      </c>
      <c r="K151" s="12">
        <v>0</v>
      </c>
      <c r="L151" s="12">
        <v>4375.84</v>
      </c>
      <c r="M151" s="12">
        <v>0</v>
      </c>
      <c r="N151" s="12">
        <v>0</v>
      </c>
      <c r="O151" s="12">
        <v>0</v>
      </c>
      <c r="P151" s="12">
        <v>0</v>
      </c>
      <c r="Q151" s="12">
        <v>0</v>
      </c>
      <c r="R151" s="12">
        <v>0</v>
      </c>
      <c r="S151" s="12">
        <v>0</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12">
        <v>0</v>
      </c>
      <c r="AN151" s="12">
        <v>0</v>
      </c>
      <c r="AO151" s="12">
        <v>0</v>
      </c>
      <c r="AP151" s="12">
        <v>0</v>
      </c>
      <c r="AQ151" s="12">
        <v>0</v>
      </c>
      <c r="AR151" s="12">
        <v>0</v>
      </c>
      <c r="AS151" s="12">
        <v>0</v>
      </c>
      <c r="AT151" s="12">
        <v>0</v>
      </c>
      <c r="AU151" s="12">
        <v>0</v>
      </c>
      <c r="AV151" s="12">
        <v>0</v>
      </c>
      <c r="AW151" s="12">
        <v>0</v>
      </c>
      <c r="AX151" s="12">
        <v>0</v>
      </c>
      <c r="AY151" s="12">
        <v>0</v>
      </c>
      <c r="AZ151" s="12">
        <v>0</v>
      </c>
      <c r="BA151" s="12">
        <v>0</v>
      </c>
      <c r="BB151" s="12">
        <v>0</v>
      </c>
      <c r="BC151" s="12">
        <v>0</v>
      </c>
      <c r="BD151" s="12">
        <v>0</v>
      </c>
      <c r="BE151" s="12">
        <v>0</v>
      </c>
      <c r="BF151" s="12">
        <v>0</v>
      </c>
      <c r="BG151" s="75">
        <f t="shared" si="32"/>
        <v>4375.84</v>
      </c>
      <c r="BH151" s="75">
        <f t="shared" si="29"/>
        <v>4375.84</v>
      </c>
      <c r="BI151" s="75">
        <f t="shared" si="30"/>
        <v>0</v>
      </c>
      <c r="BJ151" s="75">
        <f t="shared" si="31"/>
        <v>0</v>
      </c>
    </row>
    <row r="152" spans="3:62" x14ac:dyDescent="0.25">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75"/>
      <c r="BH152" s="75"/>
      <c r="BI152" s="75"/>
      <c r="BJ152" s="75"/>
    </row>
    <row r="153" spans="3:62" x14ac:dyDescent="0.25">
      <c r="C153" s="111">
        <v>205</v>
      </c>
      <c r="D153" s="111"/>
      <c r="E153" s="111" t="s">
        <v>255</v>
      </c>
      <c r="F153" s="112">
        <f>F154+F155+F156+F157+F158+F159+F160+F161+F162+F163</f>
        <v>0</v>
      </c>
      <c r="G153" s="112">
        <f t="shared" ref="G153:BF153" si="34">G154+G155+G156+G157+G158+G159+G160+G161+G162+G163</f>
        <v>0</v>
      </c>
      <c r="H153" s="112">
        <f t="shared" si="34"/>
        <v>0</v>
      </c>
      <c r="I153" s="112">
        <f t="shared" si="34"/>
        <v>0</v>
      </c>
      <c r="J153" s="112">
        <f t="shared" si="34"/>
        <v>0</v>
      </c>
      <c r="K153" s="112">
        <f t="shared" si="34"/>
        <v>0</v>
      </c>
      <c r="L153" s="112">
        <f t="shared" si="34"/>
        <v>22685</v>
      </c>
      <c r="M153" s="112">
        <f t="shared" si="34"/>
        <v>565450</v>
      </c>
      <c r="N153" s="112">
        <f t="shared" si="34"/>
        <v>0</v>
      </c>
      <c r="O153" s="112">
        <f t="shared" si="34"/>
        <v>0</v>
      </c>
      <c r="P153" s="112">
        <f t="shared" si="34"/>
        <v>109573.70000000001</v>
      </c>
      <c r="Q153" s="112">
        <f t="shared" si="34"/>
        <v>0</v>
      </c>
      <c r="R153" s="112">
        <f t="shared" si="34"/>
        <v>0</v>
      </c>
      <c r="S153" s="112">
        <f t="shared" si="34"/>
        <v>0</v>
      </c>
      <c r="T153" s="112">
        <f t="shared" si="34"/>
        <v>0</v>
      </c>
      <c r="U153" s="112">
        <f t="shared" si="34"/>
        <v>11568.65</v>
      </c>
      <c r="V153" s="112">
        <f t="shared" si="34"/>
        <v>5000</v>
      </c>
      <c r="W153" s="112">
        <f t="shared" si="34"/>
        <v>2890</v>
      </c>
      <c r="X153" s="112">
        <f t="shared" si="34"/>
        <v>79000</v>
      </c>
      <c r="Y153" s="112">
        <f t="shared" si="34"/>
        <v>0</v>
      </c>
      <c r="Z153" s="112">
        <f t="shared" si="34"/>
        <v>132998.35</v>
      </c>
      <c r="AA153" s="112">
        <f t="shared" si="34"/>
        <v>0</v>
      </c>
      <c r="AB153" s="112">
        <f t="shared" si="34"/>
        <v>0</v>
      </c>
      <c r="AC153" s="112">
        <f t="shared" si="34"/>
        <v>0</v>
      </c>
      <c r="AD153" s="112">
        <f t="shared" si="34"/>
        <v>0</v>
      </c>
      <c r="AE153" s="112">
        <f t="shared" si="34"/>
        <v>8499.92</v>
      </c>
      <c r="AF153" s="112">
        <f t="shared" si="34"/>
        <v>0</v>
      </c>
      <c r="AG153" s="112">
        <f t="shared" si="34"/>
        <v>0</v>
      </c>
      <c r="AH153" s="112">
        <f t="shared" si="34"/>
        <v>0</v>
      </c>
      <c r="AI153" s="112">
        <f t="shared" si="34"/>
        <v>67000</v>
      </c>
      <c r="AJ153" s="112">
        <f t="shared" si="34"/>
        <v>0</v>
      </c>
      <c r="AK153" s="112">
        <f t="shared" si="34"/>
        <v>0</v>
      </c>
      <c r="AL153" s="112">
        <f t="shared" si="34"/>
        <v>0</v>
      </c>
      <c r="AM153" s="112">
        <f t="shared" si="34"/>
        <v>0</v>
      </c>
      <c r="AN153" s="112">
        <f t="shared" si="34"/>
        <v>0</v>
      </c>
      <c r="AO153" s="112">
        <f t="shared" si="34"/>
        <v>0</v>
      </c>
      <c r="AP153" s="112">
        <f t="shared" si="34"/>
        <v>0</v>
      </c>
      <c r="AQ153" s="112">
        <f t="shared" si="34"/>
        <v>0</v>
      </c>
      <c r="AR153" s="112">
        <f t="shared" si="34"/>
        <v>0</v>
      </c>
      <c r="AS153" s="112">
        <f t="shared" si="34"/>
        <v>0</v>
      </c>
      <c r="AT153" s="112">
        <f t="shared" si="34"/>
        <v>0</v>
      </c>
      <c r="AU153" s="112">
        <f t="shared" si="34"/>
        <v>0</v>
      </c>
      <c r="AV153" s="112">
        <f t="shared" si="34"/>
        <v>0</v>
      </c>
      <c r="AW153" s="112">
        <f t="shared" si="34"/>
        <v>192684.3</v>
      </c>
      <c r="AX153" s="112">
        <f t="shared" si="34"/>
        <v>23377.99</v>
      </c>
      <c r="AY153" s="112">
        <f t="shared" si="34"/>
        <v>0</v>
      </c>
      <c r="AZ153" s="112">
        <f t="shared" si="34"/>
        <v>0</v>
      </c>
      <c r="BA153" s="112">
        <f t="shared" si="34"/>
        <v>0</v>
      </c>
      <c r="BB153" s="112">
        <f t="shared" si="34"/>
        <v>48888.38</v>
      </c>
      <c r="BC153" s="112">
        <f t="shared" si="34"/>
        <v>0</v>
      </c>
      <c r="BD153" s="112">
        <f t="shared" si="34"/>
        <v>0</v>
      </c>
      <c r="BE153" s="112">
        <f t="shared" si="34"/>
        <v>0</v>
      </c>
      <c r="BF153" s="112">
        <f t="shared" si="34"/>
        <v>0</v>
      </c>
      <c r="BG153" s="112">
        <f t="shared" si="32"/>
        <v>1269616.2899999998</v>
      </c>
      <c r="BH153" s="112">
        <f t="shared" si="29"/>
        <v>796167.35</v>
      </c>
      <c r="BI153" s="112">
        <f t="shared" si="30"/>
        <v>208498.27000000002</v>
      </c>
      <c r="BJ153" s="112">
        <f t="shared" si="31"/>
        <v>264950.67</v>
      </c>
    </row>
    <row r="154" spans="3:62" x14ac:dyDescent="0.25">
      <c r="D154" s="7">
        <v>2050</v>
      </c>
      <c r="E154" s="7" t="s">
        <v>412</v>
      </c>
      <c r="F154" s="12">
        <v>0</v>
      </c>
      <c r="G154" s="12">
        <v>0</v>
      </c>
      <c r="H154" s="12">
        <v>0</v>
      </c>
      <c r="I154" s="12">
        <v>0</v>
      </c>
      <c r="J154" s="12">
        <v>0</v>
      </c>
      <c r="K154" s="12">
        <v>0</v>
      </c>
      <c r="L154" s="12">
        <v>22685</v>
      </c>
      <c r="M154" s="12">
        <v>565450</v>
      </c>
      <c r="N154" s="12">
        <v>0</v>
      </c>
      <c r="O154" s="12">
        <v>0</v>
      </c>
      <c r="P154" s="12">
        <v>105000</v>
      </c>
      <c r="Q154" s="12">
        <v>0</v>
      </c>
      <c r="R154" s="12">
        <v>0</v>
      </c>
      <c r="S154" s="12">
        <v>0</v>
      </c>
      <c r="T154" s="12">
        <v>0</v>
      </c>
      <c r="U154" s="12">
        <v>11568.65</v>
      </c>
      <c r="V154" s="12">
        <v>0</v>
      </c>
      <c r="W154" s="12">
        <v>2890</v>
      </c>
      <c r="X154" s="12">
        <v>76000</v>
      </c>
      <c r="Y154" s="12">
        <v>0</v>
      </c>
      <c r="Z154" s="12">
        <v>132998.35</v>
      </c>
      <c r="AA154" s="12">
        <v>0</v>
      </c>
      <c r="AB154" s="12">
        <v>0</v>
      </c>
      <c r="AC154" s="12">
        <v>0</v>
      </c>
      <c r="AD154" s="12">
        <v>0</v>
      </c>
      <c r="AE154" s="12">
        <v>8499.92</v>
      </c>
      <c r="AF154" s="12">
        <v>0</v>
      </c>
      <c r="AG154" s="12">
        <v>0</v>
      </c>
      <c r="AH154" s="12">
        <v>0</v>
      </c>
      <c r="AI154" s="12">
        <v>67000</v>
      </c>
      <c r="AJ154" s="12">
        <v>0</v>
      </c>
      <c r="AK154" s="12">
        <v>0</v>
      </c>
      <c r="AL154" s="12">
        <v>0</v>
      </c>
      <c r="AM154" s="12">
        <v>0</v>
      </c>
      <c r="AN154" s="12">
        <v>0</v>
      </c>
      <c r="AO154" s="12">
        <v>0</v>
      </c>
      <c r="AP154" s="12">
        <v>0</v>
      </c>
      <c r="AQ154" s="12">
        <v>0</v>
      </c>
      <c r="AR154" s="12">
        <v>0</v>
      </c>
      <c r="AS154" s="12">
        <v>0</v>
      </c>
      <c r="AT154" s="12">
        <v>0</v>
      </c>
      <c r="AU154" s="12">
        <v>0</v>
      </c>
      <c r="AV154" s="12">
        <v>0</v>
      </c>
      <c r="AW154" s="12">
        <v>0</v>
      </c>
      <c r="AX154" s="12">
        <v>23377.99</v>
      </c>
      <c r="AY154" s="12">
        <v>0</v>
      </c>
      <c r="AZ154" s="12">
        <v>0</v>
      </c>
      <c r="BA154" s="12">
        <v>0</v>
      </c>
      <c r="BB154" s="12">
        <v>0</v>
      </c>
      <c r="BC154" s="12">
        <v>0</v>
      </c>
      <c r="BD154" s="12">
        <v>0</v>
      </c>
      <c r="BE154" s="12">
        <v>0</v>
      </c>
      <c r="BF154" s="12">
        <v>0</v>
      </c>
      <c r="BG154" s="75">
        <f t="shared" si="32"/>
        <v>1015469.91</v>
      </c>
      <c r="BH154" s="75">
        <f t="shared" si="29"/>
        <v>783593.65</v>
      </c>
      <c r="BI154" s="75">
        <f t="shared" si="30"/>
        <v>208498.27000000002</v>
      </c>
      <c r="BJ154" s="75">
        <f t="shared" si="31"/>
        <v>23377.99</v>
      </c>
    </row>
    <row r="155" spans="3:62" x14ac:dyDescent="0.25">
      <c r="D155" s="7">
        <v>2051</v>
      </c>
      <c r="E155" s="7" t="s">
        <v>413</v>
      </c>
      <c r="F155" s="12">
        <v>0</v>
      </c>
      <c r="G155" s="12">
        <v>0</v>
      </c>
      <c r="H155" s="12">
        <v>0</v>
      </c>
      <c r="I155" s="12">
        <v>0</v>
      </c>
      <c r="J155" s="12">
        <v>0</v>
      </c>
      <c r="K155" s="12">
        <v>0</v>
      </c>
      <c r="L155" s="12">
        <v>0</v>
      </c>
      <c r="M155" s="12">
        <v>0</v>
      </c>
      <c r="N155" s="12">
        <v>0</v>
      </c>
      <c r="O155" s="12">
        <v>0</v>
      </c>
      <c r="P155" s="12">
        <v>0</v>
      </c>
      <c r="Q155" s="12">
        <v>0</v>
      </c>
      <c r="R155" s="12">
        <v>0</v>
      </c>
      <c r="S155" s="12">
        <v>0</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12">
        <v>0</v>
      </c>
      <c r="AN155" s="12">
        <v>0</v>
      </c>
      <c r="AO155" s="12">
        <v>0</v>
      </c>
      <c r="AP155" s="12">
        <v>0</v>
      </c>
      <c r="AQ155" s="12">
        <v>0</v>
      </c>
      <c r="AR155" s="12">
        <v>0</v>
      </c>
      <c r="AS155" s="12">
        <v>0</v>
      </c>
      <c r="AT155" s="12">
        <v>0</v>
      </c>
      <c r="AU155" s="12">
        <v>0</v>
      </c>
      <c r="AV155" s="12">
        <v>0</v>
      </c>
      <c r="AW155" s="12">
        <v>0</v>
      </c>
      <c r="AX155" s="12">
        <v>0</v>
      </c>
      <c r="AY155" s="12">
        <v>0</v>
      </c>
      <c r="AZ155" s="12">
        <v>0</v>
      </c>
      <c r="BA155" s="12">
        <v>0</v>
      </c>
      <c r="BB155" s="12">
        <v>0</v>
      </c>
      <c r="BC155" s="12">
        <v>0</v>
      </c>
      <c r="BD155" s="12">
        <v>0</v>
      </c>
      <c r="BE155" s="12">
        <v>0</v>
      </c>
      <c r="BF155" s="12">
        <v>0</v>
      </c>
      <c r="BG155" s="75">
        <f t="shared" si="32"/>
        <v>0</v>
      </c>
      <c r="BH155" s="75">
        <f t="shared" si="29"/>
        <v>0</v>
      </c>
      <c r="BI155" s="75">
        <f t="shared" si="30"/>
        <v>0</v>
      </c>
      <c r="BJ155" s="75">
        <f t="shared" si="31"/>
        <v>0</v>
      </c>
    </row>
    <row r="156" spans="3:62" x14ac:dyDescent="0.25">
      <c r="D156" s="7">
        <v>2052</v>
      </c>
      <c r="E156" s="7" t="s">
        <v>414</v>
      </c>
      <c r="F156" s="12">
        <v>0</v>
      </c>
      <c r="G156" s="12">
        <v>0</v>
      </c>
      <c r="H156" s="12">
        <v>0</v>
      </c>
      <c r="I156" s="12">
        <v>0</v>
      </c>
      <c r="J156" s="12">
        <v>0</v>
      </c>
      <c r="K156" s="12">
        <v>0</v>
      </c>
      <c r="L156" s="12">
        <v>0</v>
      </c>
      <c r="M156" s="12">
        <v>0</v>
      </c>
      <c r="N156" s="12">
        <v>0</v>
      </c>
      <c r="O156" s="12">
        <v>0</v>
      </c>
      <c r="P156" s="12">
        <v>0</v>
      </c>
      <c r="Q156" s="12">
        <v>0</v>
      </c>
      <c r="R156" s="12">
        <v>0</v>
      </c>
      <c r="S156" s="12">
        <v>0</v>
      </c>
      <c r="T156" s="12">
        <v>0</v>
      </c>
      <c r="U156" s="12">
        <v>0</v>
      </c>
      <c r="V156" s="12">
        <v>5000</v>
      </c>
      <c r="W156" s="12">
        <v>0</v>
      </c>
      <c r="X156" s="12">
        <v>0</v>
      </c>
      <c r="Y156" s="12">
        <v>0</v>
      </c>
      <c r="Z156" s="12">
        <v>0</v>
      </c>
      <c r="AA156" s="12">
        <v>0</v>
      </c>
      <c r="AB156" s="12">
        <v>0</v>
      </c>
      <c r="AC156" s="12">
        <v>0</v>
      </c>
      <c r="AD156" s="12">
        <v>0</v>
      </c>
      <c r="AE156" s="12">
        <v>0</v>
      </c>
      <c r="AF156" s="12">
        <v>0</v>
      </c>
      <c r="AG156" s="12">
        <v>0</v>
      </c>
      <c r="AH156" s="12">
        <v>0</v>
      </c>
      <c r="AI156" s="12">
        <v>0</v>
      </c>
      <c r="AJ156" s="12">
        <v>0</v>
      </c>
      <c r="AK156" s="12">
        <v>0</v>
      </c>
      <c r="AL156" s="12">
        <v>0</v>
      </c>
      <c r="AM156" s="12">
        <v>0</v>
      </c>
      <c r="AN156" s="12">
        <v>0</v>
      </c>
      <c r="AO156" s="12">
        <v>0</v>
      </c>
      <c r="AP156" s="12">
        <v>0</v>
      </c>
      <c r="AQ156" s="12">
        <v>0</v>
      </c>
      <c r="AR156" s="12">
        <v>0</v>
      </c>
      <c r="AS156" s="12">
        <v>0</v>
      </c>
      <c r="AT156" s="12">
        <v>0</v>
      </c>
      <c r="AU156" s="12">
        <v>0</v>
      </c>
      <c r="AV156" s="12">
        <v>0</v>
      </c>
      <c r="AW156" s="12">
        <v>0</v>
      </c>
      <c r="AX156" s="12">
        <v>0</v>
      </c>
      <c r="AY156" s="12">
        <v>0</v>
      </c>
      <c r="AZ156" s="12">
        <v>0</v>
      </c>
      <c r="BA156" s="12">
        <v>0</v>
      </c>
      <c r="BB156" s="12">
        <v>0</v>
      </c>
      <c r="BC156" s="12">
        <v>0</v>
      </c>
      <c r="BD156" s="12">
        <v>0</v>
      </c>
      <c r="BE156" s="12">
        <v>0</v>
      </c>
      <c r="BF156" s="12">
        <v>0</v>
      </c>
      <c r="BG156" s="75">
        <f t="shared" si="32"/>
        <v>5000</v>
      </c>
      <c r="BH156" s="75">
        <f t="shared" si="29"/>
        <v>5000</v>
      </c>
      <c r="BI156" s="75">
        <f t="shared" si="30"/>
        <v>0</v>
      </c>
      <c r="BJ156" s="75">
        <f t="shared" si="31"/>
        <v>0</v>
      </c>
    </row>
    <row r="157" spans="3:62" x14ac:dyDescent="0.25">
      <c r="D157" s="7">
        <v>2053</v>
      </c>
      <c r="E157" s="7" t="s">
        <v>418</v>
      </c>
      <c r="F157" s="12">
        <v>0</v>
      </c>
      <c r="G157" s="12">
        <v>0</v>
      </c>
      <c r="H157" s="12">
        <v>0</v>
      </c>
      <c r="I157" s="12">
        <v>0</v>
      </c>
      <c r="J157" s="12">
        <v>0</v>
      </c>
      <c r="K157" s="12">
        <v>0</v>
      </c>
      <c r="L157" s="12">
        <v>0</v>
      </c>
      <c r="M157" s="12">
        <v>0</v>
      </c>
      <c r="N157" s="12">
        <v>0</v>
      </c>
      <c r="O157" s="12">
        <v>0</v>
      </c>
      <c r="P157" s="12">
        <v>0</v>
      </c>
      <c r="Q157" s="12">
        <v>0</v>
      </c>
      <c r="R157" s="12">
        <v>0</v>
      </c>
      <c r="S157" s="12">
        <v>0</v>
      </c>
      <c r="T157" s="12">
        <v>0</v>
      </c>
      <c r="U157" s="12">
        <v>0</v>
      </c>
      <c r="V157" s="12">
        <v>0</v>
      </c>
      <c r="W157" s="12">
        <v>0</v>
      </c>
      <c r="X157" s="12">
        <v>0</v>
      </c>
      <c r="Y157" s="12">
        <v>0</v>
      </c>
      <c r="Z157" s="12">
        <v>0</v>
      </c>
      <c r="AA157" s="12">
        <v>0</v>
      </c>
      <c r="AB157" s="12">
        <v>0</v>
      </c>
      <c r="AC157" s="12">
        <v>0</v>
      </c>
      <c r="AD157" s="12">
        <v>0</v>
      </c>
      <c r="AE157" s="12">
        <v>0</v>
      </c>
      <c r="AF157" s="12">
        <v>0</v>
      </c>
      <c r="AG157" s="12">
        <v>0</v>
      </c>
      <c r="AH157" s="12">
        <v>0</v>
      </c>
      <c r="AI157" s="12">
        <v>0</v>
      </c>
      <c r="AJ157" s="12">
        <v>0</v>
      </c>
      <c r="AK157" s="12">
        <v>0</v>
      </c>
      <c r="AL157" s="12">
        <v>0</v>
      </c>
      <c r="AM157" s="12">
        <v>0</v>
      </c>
      <c r="AN157" s="12">
        <v>0</v>
      </c>
      <c r="AO157" s="12">
        <v>0</v>
      </c>
      <c r="AP157" s="12">
        <v>0</v>
      </c>
      <c r="AQ157" s="12">
        <v>0</v>
      </c>
      <c r="AR157" s="12">
        <v>0</v>
      </c>
      <c r="AS157" s="12">
        <v>0</v>
      </c>
      <c r="AT157" s="12">
        <v>0</v>
      </c>
      <c r="AU157" s="12">
        <v>0</v>
      </c>
      <c r="AV157" s="12">
        <v>0</v>
      </c>
      <c r="AW157" s="12">
        <v>90763.32</v>
      </c>
      <c r="AX157" s="12">
        <v>0</v>
      </c>
      <c r="AY157" s="12">
        <v>0</v>
      </c>
      <c r="AZ157" s="12">
        <v>0</v>
      </c>
      <c r="BA157" s="12">
        <v>0</v>
      </c>
      <c r="BB157" s="12">
        <v>0</v>
      </c>
      <c r="BC157" s="12">
        <v>0</v>
      </c>
      <c r="BD157" s="12">
        <v>0</v>
      </c>
      <c r="BE157" s="12">
        <v>0</v>
      </c>
      <c r="BF157" s="12">
        <v>0</v>
      </c>
      <c r="BG157" s="75">
        <f t="shared" si="32"/>
        <v>90763.32</v>
      </c>
      <c r="BH157" s="75">
        <f t="shared" si="29"/>
        <v>0</v>
      </c>
      <c r="BI157" s="75">
        <f t="shared" si="30"/>
        <v>0</v>
      </c>
      <c r="BJ157" s="75">
        <f t="shared" si="31"/>
        <v>90763.32</v>
      </c>
    </row>
    <row r="158" spans="3:62" x14ac:dyDescent="0.25">
      <c r="D158" s="7">
        <v>2054</v>
      </c>
      <c r="E158" s="7" t="s">
        <v>416</v>
      </c>
      <c r="F158" s="12">
        <v>0</v>
      </c>
      <c r="G158" s="12">
        <v>0</v>
      </c>
      <c r="H158" s="12">
        <v>0</v>
      </c>
      <c r="I158" s="12">
        <v>0</v>
      </c>
      <c r="J158" s="12">
        <v>0</v>
      </c>
      <c r="K158" s="12">
        <v>0</v>
      </c>
      <c r="L158" s="12">
        <v>0</v>
      </c>
      <c r="M158" s="12">
        <v>0</v>
      </c>
      <c r="N158" s="12">
        <v>0</v>
      </c>
      <c r="O158" s="12">
        <v>0</v>
      </c>
      <c r="P158" s="12">
        <v>495.6</v>
      </c>
      <c r="Q158" s="12">
        <v>0</v>
      </c>
      <c r="R158" s="12">
        <v>0</v>
      </c>
      <c r="S158" s="12">
        <v>0</v>
      </c>
      <c r="T158" s="12">
        <v>0</v>
      </c>
      <c r="U158" s="12">
        <v>0</v>
      </c>
      <c r="V158" s="12">
        <v>0</v>
      </c>
      <c r="W158" s="12">
        <v>0</v>
      </c>
      <c r="X158" s="12">
        <v>0</v>
      </c>
      <c r="Y158" s="12">
        <v>0</v>
      </c>
      <c r="Z158" s="12">
        <v>0</v>
      </c>
      <c r="AA158" s="12">
        <v>0</v>
      </c>
      <c r="AB158" s="12">
        <v>0</v>
      </c>
      <c r="AC158" s="12">
        <v>0</v>
      </c>
      <c r="AD158" s="12">
        <v>0</v>
      </c>
      <c r="AE158" s="12">
        <v>0</v>
      </c>
      <c r="AF158" s="12">
        <v>0</v>
      </c>
      <c r="AG158" s="12">
        <v>0</v>
      </c>
      <c r="AH158" s="12">
        <v>0</v>
      </c>
      <c r="AI158" s="12">
        <v>0</v>
      </c>
      <c r="AJ158" s="12">
        <v>0</v>
      </c>
      <c r="AK158" s="12">
        <v>0</v>
      </c>
      <c r="AL158" s="12">
        <v>0</v>
      </c>
      <c r="AM158" s="12">
        <v>0</v>
      </c>
      <c r="AN158" s="12">
        <v>0</v>
      </c>
      <c r="AO158" s="12">
        <v>0</v>
      </c>
      <c r="AP158" s="12">
        <v>0</v>
      </c>
      <c r="AQ158" s="12">
        <v>0</v>
      </c>
      <c r="AR158" s="12">
        <v>0</v>
      </c>
      <c r="AS158" s="12">
        <v>0</v>
      </c>
      <c r="AT158" s="12">
        <v>0</v>
      </c>
      <c r="AU158" s="12">
        <v>0</v>
      </c>
      <c r="AV158" s="12">
        <v>0</v>
      </c>
      <c r="AW158" s="12">
        <v>0</v>
      </c>
      <c r="AX158" s="12">
        <v>0</v>
      </c>
      <c r="AY158" s="12">
        <v>0</v>
      </c>
      <c r="AZ158" s="12">
        <v>0</v>
      </c>
      <c r="BA158" s="12">
        <v>0</v>
      </c>
      <c r="BB158" s="12">
        <v>0</v>
      </c>
      <c r="BC158" s="12">
        <v>0</v>
      </c>
      <c r="BD158" s="12">
        <v>0</v>
      </c>
      <c r="BE158" s="12">
        <v>0</v>
      </c>
      <c r="BF158" s="12">
        <v>0</v>
      </c>
      <c r="BG158" s="75">
        <f t="shared" si="32"/>
        <v>495.6</v>
      </c>
      <c r="BH158" s="75">
        <f t="shared" si="29"/>
        <v>495.6</v>
      </c>
      <c r="BI158" s="75">
        <f t="shared" si="30"/>
        <v>0</v>
      </c>
      <c r="BJ158" s="75">
        <f t="shared" si="31"/>
        <v>0</v>
      </c>
    </row>
    <row r="159" spans="3:62" x14ac:dyDescent="0.25">
      <c r="D159" s="7">
        <v>2055</v>
      </c>
      <c r="E159" s="7" t="s">
        <v>415</v>
      </c>
      <c r="F159" s="12">
        <v>0</v>
      </c>
      <c r="G159" s="12">
        <v>0</v>
      </c>
      <c r="H159" s="12">
        <v>0</v>
      </c>
      <c r="I159" s="12">
        <v>0</v>
      </c>
      <c r="J159" s="12">
        <v>0</v>
      </c>
      <c r="K159" s="12">
        <v>0</v>
      </c>
      <c r="L159" s="12">
        <v>0</v>
      </c>
      <c r="M159" s="12">
        <v>0</v>
      </c>
      <c r="N159" s="12">
        <v>0</v>
      </c>
      <c r="O159" s="12">
        <v>0</v>
      </c>
      <c r="P159" s="12">
        <v>0</v>
      </c>
      <c r="Q159" s="12">
        <v>0</v>
      </c>
      <c r="R159" s="12">
        <v>0</v>
      </c>
      <c r="S159" s="12">
        <v>0</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12">
        <v>0</v>
      </c>
      <c r="AN159" s="12">
        <v>0</v>
      </c>
      <c r="AO159" s="12">
        <v>0</v>
      </c>
      <c r="AP159" s="12">
        <v>0</v>
      </c>
      <c r="AQ159" s="12">
        <v>0</v>
      </c>
      <c r="AR159" s="12">
        <v>0</v>
      </c>
      <c r="AS159" s="12">
        <v>0</v>
      </c>
      <c r="AT159" s="12">
        <v>0</v>
      </c>
      <c r="AU159" s="12">
        <v>0</v>
      </c>
      <c r="AV159" s="12">
        <v>0</v>
      </c>
      <c r="AW159" s="12">
        <v>101920.98</v>
      </c>
      <c r="AX159" s="12">
        <v>0</v>
      </c>
      <c r="AY159" s="12">
        <v>0</v>
      </c>
      <c r="AZ159" s="12">
        <v>0</v>
      </c>
      <c r="BA159" s="12">
        <v>0</v>
      </c>
      <c r="BB159" s="12">
        <v>48888.38</v>
      </c>
      <c r="BC159" s="12">
        <v>0</v>
      </c>
      <c r="BD159" s="12">
        <v>0</v>
      </c>
      <c r="BE159" s="12">
        <v>0</v>
      </c>
      <c r="BF159" s="12">
        <v>0</v>
      </c>
      <c r="BG159" s="75">
        <f t="shared" si="32"/>
        <v>150809.35999999999</v>
      </c>
      <c r="BH159" s="75">
        <f t="shared" si="29"/>
        <v>0</v>
      </c>
      <c r="BI159" s="75">
        <f t="shared" si="30"/>
        <v>0</v>
      </c>
      <c r="BJ159" s="75">
        <f t="shared" si="31"/>
        <v>150809.35999999999</v>
      </c>
    </row>
    <row r="160" spans="3:62" x14ac:dyDescent="0.25">
      <c r="D160" s="7">
        <v>2056</v>
      </c>
      <c r="E160" s="7" t="s">
        <v>417</v>
      </c>
      <c r="F160" s="12">
        <v>0</v>
      </c>
      <c r="G160" s="12">
        <v>0</v>
      </c>
      <c r="H160" s="12">
        <v>0</v>
      </c>
      <c r="I160" s="12">
        <v>0</v>
      </c>
      <c r="J160" s="12">
        <v>0</v>
      </c>
      <c r="K160" s="12">
        <v>0</v>
      </c>
      <c r="L160" s="12">
        <v>0</v>
      </c>
      <c r="M160" s="12">
        <v>0</v>
      </c>
      <c r="N160" s="12">
        <v>0</v>
      </c>
      <c r="O160" s="12">
        <v>0</v>
      </c>
      <c r="P160" s="12">
        <v>0</v>
      </c>
      <c r="Q160" s="12">
        <v>0</v>
      </c>
      <c r="R160" s="12">
        <v>0</v>
      </c>
      <c r="S160" s="12">
        <v>0</v>
      </c>
      <c r="T160" s="12">
        <v>0</v>
      </c>
      <c r="U160" s="12">
        <v>0</v>
      </c>
      <c r="V160" s="12">
        <v>0</v>
      </c>
      <c r="W160" s="12">
        <v>0</v>
      </c>
      <c r="X160" s="12">
        <v>0</v>
      </c>
      <c r="Y160" s="12">
        <v>0</v>
      </c>
      <c r="Z160" s="12">
        <v>0</v>
      </c>
      <c r="AA160" s="12">
        <v>0</v>
      </c>
      <c r="AB160" s="12">
        <v>0</v>
      </c>
      <c r="AC160" s="12">
        <v>0</v>
      </c>
      <c r="AD160" s="12">
        <v>0</v>
      </c>
      <c r="AE160" s="12">
        <v>0</v>
      </c>
      <c r="AF160" s="12">
        <v>0</v>
      </c>
      <c r="AG160" s="12">
        <v>0</v>
      </c>
      <c r="AH160" s="12">
        <v>0</v>
      </c>
      <c r="AI160" s="12">
        <v>0</v>
      </c>
      <c r="AJ160" s="12">
        <v>0</v>
      </c>
      <c r="AK160" s="12">
        <v>0</v>
      </c>
      <c r="AL160" s="12">
        <v>0</v>
      </c>
      <c r="AM160" s="12">
        <v>0</v>
      </c>
      <c r="AN160" s="12">
        <v>0</v>
      </c>
      <c r="AO160" s="12">
        <v>0</v>
      </c>
      <c r="AP160" s="12">
        <v>0</v>
      </c>
      <c r="AQ160" s="12">
        <v>0</v>
      </c>
      <c r="AR160" s="12">
        <v>0</v>
      </c>
      <c r="AS160" s="12">
        <v>0</v>
      </c>
      <c r="AT160" s="12">
        <v>0</v>
      </c>
      <c r="AU160" s="12">
        <v>0</v>
      </c>
      <c r="AV160" s="12">
        <v>0</v>
      </c>
      <c r="AW160" s="12">
        <v>0</v>
      </c>
      <c r="AX160" s="12">
        <v>0</v>
      </c>
      <c r="AY160" s="12">
        <v>0</v>
      </c>
      <c r="AZ160" s="12">
        <v>0</v>
      </c>
      <c r="BA160" s="12">
        <v>0</v>
      </c>
      <c r="BB160" s="12">
        <v>0</v>
      </c>
      <c r="BC160" s="12">
        <v>0</v>
      </c>
      <c r="BD160" s="12">
        <v>0</v>
      </c>
      <c r="BE160" s="12">
        <v>0</v>
      </c>
      <c r="BF160" s="12">
        <v>0</v>
      </c>
      <c r="BG160" s="75">
        <f t="shared" si="32"/>
        <v>0</v>
      </c>
      <c r="BH160" s="75">
        <f t="shared" si="29"/>
        <v>0</v>
      </c>
      <c r="BI160" s="75">
        <f t="shared" si="30"/>
        <v>0</v>
      </c>
      <c r="BJ160" s="75">
        <f t="shared" si="31"/>
        <v>0</v>
      </c>
    </row>
    <row r="161" spans="3:62" x14ac:dyDescent="0.25">
      <c r="D161" s="7">
        <v>2057</v>
      </c>
      <c r="E161" s="7" t="s">
        <v>419</v>
      </c>
      <c r="F161" s="12">
        <v>0</v>
      </c>
      <c r="G161" s="12">
        <v>0</v>
      </c>
      <c r="H161" s="12">
        <v>0</v>
      </c>
      <c r="I161" s="12">
        <v>0</v>
      </c>
      <c r="J161" s="12">
        <v>0</v>
      </c>
      <c r="K161" s="12">
        <v>0</v>
      </c>
      <c r="L161" s="12">
        <v>0</v>
      </c>
      <c r="M161" s="12">
        <v>0</v>
      </c>
      <c r="N161" s="12">
        <v>0</v>
      </c>
      <c r="O161" s="12">
        <v>0</v>
      </c>
      <c r="P161" s="12">
        <v>0</v>
      </c>
      <c r="Q161" s="12">
        <v>0</v>
      </c>
      <c r="R161" s="12">
        <v>0</v>
      </c>
      <c r="S161" s="12">
        <v>0</v>
      </c>
      <c r="T161" s="12">
        <v>0</v>
      </c>
      <c r="U161" s="12">
        <v>0</v>
      </c>
      <c r="V161" s="12">
        <v>0</v>
      </c>
      <c r="W161" s="12">
        <v>0</v>
      </c>
      <c r="X161" s="12">
        <v>0</v>
      </c>
      <c r="Y161" s="12">
        <v>0</v>
      </c>
      <c r="Z161" s="12">
        <v>0</v>
      </c>
      <c r="AA161" s="12">
        <v>0</v>
      </c>
      <c r="AB161" s="12">
        <v>0</v>
      </c>
      <c r="AC161" s="12">
        <v>0</v>
      </c>
      <c r="AD161" s="12">
        <v>0</v>
      </c>
      <c r="AE161" s="12">
        <v>0</v>
      </c>
      <c r="AF161" s="12">
        <v>0</v>
      </c>
      <c r="AG161" s="12">
        <v>0</v>
      </c>
      <c r="AH161" s="12">
        <v>0</v>
      </c>
      <c r="AI161" s="12">
        <v>0</v>
      </c>
      <c r="AJ161" s="12">
        <v>0</v>
      </c>
      <c r="AK161" s="12">
        <v>0</v>
      </c>
      <c r="AL161" s="12">
        <v>0</v>
      </c>
      <c r="AM161" s="12">
        <v>0</v>
      </c>
      <c r="AN161" s="12">
        <v>0</v>
      </c>
      <c r="AO161" s="12">
        <v>0</v>
      </c>
      <c r="AP161" s="12">
        <v>0</v>
      </c>
      <c r="AQ161" s="12">
        <v>0</v>
      </c>
      <c r="AR161" s="12">
        <v>0</v>
      </c>
      <c r="AS161" s="12">
        <v>0</v>
      </c>
      <c r="AT161" s="12">
        <v>0</v>
      </c>
      <c r="AU161" s="12">
        <v>0</v>
      </c>
      <c r="AV161" s="12">
        <v>0</v>
      </c>
      <c r="AW161" s="12">
        <v>0</v>
      </c>
      <c r="AX161" s="12">
        <v>0</v>
      </c>
      <c r="AY161" s="12">
        <v>0</v>
      </c>
      <c r="AZ161" s="12">
        <v>0</v>
      </c>
      <c r="BA161" s="12">
        <v>0</v>
      </c>
      <c r="BB161" s="12">
        <v>0</v>
      </c>
      <c r="BC161" s="12">
        <v>0</v>
      </c>
      <c r="BD161" s="12">
        <v>0</v>
      </c>
      <c r="BE161" s="12">
        <v>0</v>
      </c>
      <c r="BF161" s="12">
        <v>0</v>
      </c>
      <c r="BG161" s="75">
        <f t="shared" si="32"/>
        <v>0</v>
      </c>
      <c r="BH161" s="75">
        <f t="shared" si="29"/>
        <v>0</v>
      </c>
      <c r="BI161" s="75">
        <f t="shared" si="30"/>
        <v>0</v>
      </c>
      <c r="BJ161" s="75">
        <f t="shared" si="31"/>
        <v>0</v>
      </c>
    </row>
    <row r="162" spans="3:62" x14ac:dyDescent="0.25">
      <c r="D162" s="7">
        <v>2058</v>
      </c>
      <c r="E162" s="7" t="s">
        <v>420</v>
      </c>
      <c r="F162" s="12">
        <v>0</v>
      </c>
      <c r="G162" s="12">
        <v>0</v>
      </c>
      <c r="H162" s="12">
        <v>0</v>
      </c>
      <c r="I162" s="12">
        <v>0</v>
      </c>
      <c r="J162" s="12">
        <v>0</v>
      </c>
      <c r="K162" s="12">
        <v>0</v>
      </c>
      <c r="L162" s="12">
        <v>0</v>
      </c>
      <c r="M162" s="12">
        <v>0</v>
      </c>
      <c r="N162" s="12">
        <v>0</v>
      </c>
      <c r="O162" s="12">
        <v>0</v>
      </c>
      <c r="P162" s="12">
        <v>0</v>
      </c>
      <c r="Q162" s="12">
        <v>0</v>
      </c>
      <c r="R162" s="12">
        <v>0</v>
      </c>
      <c r="S162" s="12">
        <v>0</v>
      </c>
      <c r="T162" s="12">
        <v>0</v>
      </c>
      <c r="U162" s="12">
        <v>0</v>
      </c>
      <c r="V162" s="12">
        <v>0</v>
      </c>
      <c r="W162" s="12">
        <v>0</v>
      </c>
      <c r="X162" s="12">
        <v>0</v>
      </c>
      <c r="Y162" s="12">
        <v>0</v>
      </c>
      <c r="Z162" s="12">
        <v>0</v>
      </c>
      <c r="AA162" s="12">
        <v>0</v>
      </c>
      <c r="AB162" s="12">
        <v>0</v>
      </c>
      <c r="AC162" s="12">
        <v>0</v>
      </c>
      <c r="AD162" s="12">
        <v>0</v>
      </c>
      <c r="AE162" s="12">
        <v>0</v>
      </c>
      <c r="AF162" s="12">
        <v>0</v>
      </c>
      <c r="AG162" s="12">
        <v>0</v>
      </c>
      <c r="AH162" s="12">
        <v>0</v>
      </c>
      <c r="AI162" s="12">
        <v>0</v>
      </c>
      <c r="AJ162" s="12">
        <v>0</v>
      </c>
      <c r="AK162" s="12">
        <v>0</v>
      </c>
      <c r="AL162" s="12">
        <v>0</v>
      </c>
      <c r="AM162" s="12">
        <v>0</v>
      </c>
      <c r="AN162" s="12">
        <v>0</v>
      </c>
      <c r="AO162" s="12">
        <v>0</v>
      </c>
      <c r="AP162" s="12">
        <v>0</v>
      </c>
      <c r="AQ162" s="12">
        <v>0</v>
      </c>
      <c r="AR162" s="12">
        <v>0</v>
      </c>
      <c r="AS162" s="12">
        <v>0</v>
      </c>
      <c r="AT162" s="12">
        <v>0</v>
      </c>
      <c r="AU162" s="12">
        <v>0</v>
      </c>
      <c r="AV162" s="12">
        <v>0</v>
      </c>
      <c r="AW162" s="12">
        <v>0</v>
      </c>
      <c r="AX162" s="12">
        <v>0</v>
      </c>
      <c r="AY162" s="12">
        <v>0</v>
      </c>
      <c r="AZ162" s="12">
        <v>0</v>
      </c>
      <c r="BA162" s="12">
        <v>0</v>
      </c>
      <c r="BB162" s="12">
        <v>0</v>
      </c>
      <c r="BC162" s="12">
        <v>0</v>
      </c>
      <c r="BD162" s="12">
        <v>0</v>
      </c>
      <c r="BE162" s="12">
        <v>0</v>
      </c>
      <c r="BF162" s="12">
        <v>0</v>
      </c>
      <c r="BG162" s="75">
        <f t="shared" si="32"/>
        <v>0</v>
      </c>
      <c r="BH162" s="75">
        <f t="shared" si="29"/>
        <v>0</v>
      </c>
      <c r="BI162" s="75">
        <f t="shared" si="30"/>
        <v>0</v>
      </c>
      <c r="BJ162" s="75">
        <f t="shared" si="31"/>
        <v>0</v>
      </c>
    </row>
    <row r="163" spans="3:62" x14ac:dyDescent="0.25">
      <c r="D163" s="7">
        <v>2059</v>
      </c>
      <c r="E163" s="7" t="s">
        <v>421</v>
      </c>
      <c r="F163" s="12">
        <v>0</v>
      </c>
      <c r="G163" s="12">
        <v>0</v>
      </c>
      <c r="H163" s="12">
        <v>0</v>
      </c>
      <c r="I163" s="12">
        <v>0</v>
      </c>
      <c r="J163" s="12">
        <v>0</v>
      </c>
      <c r="K163" s="12">
        <v>0</v>
      </c>
      <c r="L163" s="12">
        <v>0</v>
      </c>
      <c r="M163" s="12">
        <v>0</v>
      </c>
      <c r="N163" s="12">
        <v>0</v>
      </c>
      <c r="O163" s="12">
        <v>0</v>
      </c>
      <c r="P163" s="12">
        <v>4078.1</v>
      </c>
      <c r="Q163" s="12">
        <v>0</v>
      </c>
      <c r="R163" s="12">
        <v>0</v>
      </c>
      <c r="S163" s="12">
        <v>0</v>
      </c>
      <c r="T163" s="12">
        <v>0</v>
      </c>
      <c r="U163" s="12">
        <v>0</v>
      </c>
      <c r="V163" s="12">
        <v>0</v>
      </c>
      <c r="W163" s="12">
        <v>0</v>
      </c>
      <c r="X163" s="12">
        <v>3000</v>
      </c>
      <c r="Y163" s="12">
        <v>0</v>
      </c>
      <c r="Z163" s="12">
        <v>0</v>
      </c>
      <c r="AA163" s="12">
        <v>0</v>
      </c>
      <c r="AB163" s="12">
        <v>0</v>
      </c>
      <c r="AC163" s="12">
        <v>0</v>
      </c>
      <c r="AD163" s="12">
        <v>0</v>
      </c>
      <c r="AE163" s="12">
        <v>0</v>
      </c>
      <c r="AF163" s="12">
        <v>0</v>
      </c>
      <c r="AG163" s="12">
        <v>0</v>
      </c>
      <c r="AH163" s="12">
        <v>0</v>
      </c>
      <c r="AI163" s="12">
        <v>0</v>
      </c>
      <c r="AJ163" s="12">
        <v>0</v>
      </c>
      <c r="AK163" s="12">
        <v>0</v>
      </c>
      <c r="AL163" s="12">
        <v>0</v>
      </c>
      <c r="AM163" s="12">
        <v>0</v>
      </c>
      <c r="AN163" s="12">
        <v>0</v>
      </c>
      <c r="AO163" s="12">
        <v>0</v>
      </c>
      <c r="AP163" s="12">
        <v>0</v>
      </c>
      <c r="AQ163" s="12">
        <v>0</v>
      </c>
      <c r="AR163" s="12">
        <v>0</v>
      </c>
      <c r="AS163" s="12">
        <v>0</v>
      </c>
      <c r="AT163" s="12">
        <v>0</v>
      </c>
      <c r="AU163" s="12">
        <v>0</v>
      </c>
      <c r="AV163" s="12">
        <v>0</v>
      </c>
      <c r="AW163" s="12">
        <v>0</v>
      </c>
      <c r="AX163" s="12">
        <v>0</v>
      </c>
      <c r="AY163" s="12">
        <v>0</v>
      </c>
      <c r="AZ163" s="12">
        <v>0</v>
      </c>
      <c r="BA163" s="12">
        <v>0</v>
      </c>
      <c r="BB163" s="12">
        <v>0</v>
      </c>
      <c r="BC163" s="12">
        <v>0</v>
      </c>
      <c r="BD163" s="12">
        <v>0</v>
      </c>
      <c r="BE163" s="12">
        <v>0</v>
      </c>
      <c r="BF163" s="12">
        <v>0</v>
      </c>
      <c r="BG163" s="75">
        <f t="shared" si="32"/>
        <v>7078.1</v>
      </c>
      <c r="BH163" s="75">
        <f t="shared" si="29"/>
        <v>7078.1</v>
      </c>
      <c r="BI163" s="75">
        <f t="shared" si="30"/>
        <v>0</v>
      </c>
      <c r="BJ163" s="75">
        <f t="shared" si="31"/>
        <v>0</v>
      </c>
    </row>
    <row r="164" spans="3:62" x14ac:dyDescent="0.25">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75"/>
      <c r="BH164" s="75"/>
      <c r="BI164" s="75"/>
      <c r="BJ164" s="75"/>
    </row>
    <row r="165" spans="3:62" x14ac:dyDescent="0.25">
      <c r="C165" s="111">
        <v>206</v>
      </c>
      <c r="D165" s="111"/>
      <c r="E165" s="111" t="s">
        <v>256</v>
      </c>
      <c r="F165" s="112">
        <f>F166+F167+F168+F169+F170+F171</f>
        <v>3543700</v>
      </c>
      <c r="G165" s="112">
        <f t="shared" ref="G165:BF165" si="35">G166+G167+G168+G169+G170+G171</f>
        <v>1960499.6</v>
      </c>
      <c r="H165" s="112">
        <f t="shared" si="35"/>
        <v>5049000</v>
      </c>
      <c r="I165" s="112">
        <f t="shared" si="35"/>
        <v>3627996.85</v>
      </c>
      <c r="J165" s="112">
        <f t="shared" si="35"/>
        <v>17964793.75</v>
      </c>
      <c r="K165" s="112">
        <f t="shared" si="35"/>
        <v>12267000</v>
      </c>
      <c r="L165" s="112">
        <f t="shared" si="35"/>
        <v>9063964.5999999996</v>
      </c>
      <c r="M165" s="112">
        <f t="shared" si="35"/>
        <v>129202493.75</v>
      </c>
      <c r="N165" s="112">
        <f t="shared" si="35"/>
        <v>4142829.75</v>
      </c>
      <c r="O165" s="112">
        <f t="shared" si="35"/>
        <v>752392.9</v>
      </c>
      <c r="P165" s="112">
        <f t="shared" si="35"/>
        <v>33729190</v>
      </c>
      <c r="Q165" s="112">
        <f t="shared" si="35"/>
        <v>2150910.35</v>
      </c>
      <c r="R165" s="112">
        <f t="shared" si="35"/>
        <v>354400</v>
      </c>
      <c r="S165" s="112">
        <f t="shared" si="35"/>
        <v>2880449.41</v>
      </c>
      <c r="T165" s="112">
        <f t="shared" si="35"/>
        <v>993311</v>
      </c>
      <c r="U165" s="112">
        <f t="shared" si="35"/>
        <v>4442600</v>
      </c>
      <c r="V165" s="112">
        <f t="shared" si="35"/>
        <v>632750</v>
      </c>
      <c r="W165" s="112">
        <f t="shared" si="35"/>
        <v>3131903.56</v>
      </c>
      <c r="X165" s="112">
        <f t="shared" si="35"/>
        <v>12080140</v>
      </c>
      <c r="Y165" s="112">
        <f t="shared" si="35"/>
        <v>343587.2</v>
      </c>
      <c r="Z165" s="112">
        <f t="shared" si="35"/>
        <v>8417000</v>
      </c>
      <c r="AA165" s="112">
        <f t="shared" si="35"/>
        <v>633000</v>
      </c>
      <c r="AB165" s="112">
        <f t="shared" si="35"/>
        <v>934047.05</v>
      </c>
      <c r="AC165" s="112">
        <f t="shared" si="35"/>
        <v>762500</v>
      </c>
      <c r="AD165" s="112">
        <f t="shared" si="35"/>
        <v>3541055</v>
      </c>
      <c r="AE165" s="112">
        <f t="shared" si="35"/>
        <v>7098275</v>
      </c>
      <c r="AF165" s="112">
        <f t="shared" si="35"/>
        <v>3495450</v>
      </c>
      <c r="AG165" s="112">
        <f t="shared" si="35"/>
        <v>242334</v>
      </c>
      <c r="AH165" s="112">
        <f t="shared" si="35"/>
        <v>3901400</v>
      </c>
      <c r="AI165" s="112">
        <f t="shared" si="35"/>
        <v>12188315.15</v>
      </c>
      <c r="AJ165" s="112">
        <f t="shared" si="35"/>
        <v>504697.97000000003</v>
      </c>
      <c r="AK165" s="112">
        <f t="shared" si="35"/>
        <v>675310</v>
      </c>
      <c r="AL165" s="112">
        <f t="shared" si="35"/>
        <v>16542160</v>
      </c>
      <c r="AM165" s="112">
        <f t="shared" si="35"/>
        <v>8201950</v>
      </c>
      <c r="AN165" s="112">
        <f t="shared" si="35"/>
        <v>10564347.300000001</v>
      </c>
      <c r="AO165" s="112">
        <f t="shared" si="35"/>
        <v>1373420</v>
      </c>
      <c r="AP165" s="112">
        <f t="shared" si="35"/>
        <v>8088800</v>
      </c>
      <c r="AQ165" s="112">
        <f t="shared" si="35"/>
        <v>4674100</v>
      </c>
      <c r="AR165" s="112">
        <f t="shared" si="35"/>
        <v>1519715</v>
      </c>
      <c r="AS165" s="112">
        <f t="shared" si="35"/>
        <v>8129323.7599999998</v>
      </c>
      <c r="AT165" s="112">
        <f t="shared" si="35"/>
        <v>4689018.5999999996</v>
      </c>
      <c r="AU165" s="112">
        <f t="shared" si="35"/>
        <v>9079072.5</v>
      </c>
      <c r="AV165" s="112">
        <f t="shared" si="35"/>
        <v>1297365</v>
      </c>
      <c r="AW165" s="112">
        <f t="shared" si="35"/>
        <v>12474300</v>
      </c>
      <c r="AX165" s="112">
        <f t="shared" si="35"/>
        <v>5566242</v>
      </c>
      <c r="AY165" s="112">
        <f t="shared" si="35"/>
        <v>599060</v>
      </c>
      <c r="AZ165" s="112">
        <f t="shared" si="35"/>
        <v>1811940</v>
      </c>
      <c r="BA165" s="112">
        <f t="shared" si="35"/>
        <v>17035687</v>
      </c>
      <c r="BB165" s="112">
        <f t="shared" si="35"/>
        <v>1814150</v>
      </c>
      <c r="BC165" s="112">
        <f t="shared" si="35"/>
        <v>4838210</v>
      </c>
      <c r="BD165" s="112">
        <f t="shared" si="35"/>
        <v>115500</v>
      </c>
      <c r="BE165" s="112">
        <f t="shared" si="35"/>
        <v>57706532</v>
      </c>
      <c r="BF165" s="112">
        <f t="shared" si="35"/>
        <v>3427058.15</v>
      </c>
      <c r="BG165" s="112">
        <f t="shared" si="32"/>
        <v>470255248.19999999</v>
      </c>
      <c r="BH165" s="112">
        <f t="shared" si="29"/>
        <v>247970325.52000001</v>
      </c>
      <c r="BI165" s="112">
        <f t="shared" si="30"/>
        <v>42736971.369999997</v>
      </c>
      <c r="BJ165" s="112">
        <f t="shared" si="31"/>
        <v>179547951.31</v>
      </c>
    </row>
    <row r="166" spans="3:62" x14ac:dyDescent="0.25">
      <c r="D166" s="7">
        <v>2060</v>
      </c>
      <c r="E166" s="7" t="s">
        <v>422</v>
      </c>
      <c r="F166" s="12">
        <v>0</v>
      </c>
      <c r="G166" s="12">
        <v>532800</v>
      </c>
      <c r="H166" s="12">
        <v>5040600</v>
      </c>
      <c r="I166" s="12">
        <v>0</v>
      </c>
      <c r="J166" s="12">
        <v>0</v>
      </c>
      <c r="K166" s="12">
        <v>0</v>
      </c>
      <c r="L166" s="12">
        <v>0</v>
      </c>
      <c r="M166" s="12">
        <v>0</v>
      </c>
      <c r="N166" s="12">
        <v>0</v>
      </c>
      <c r="O166" s="12">
        <v>0</v>
      </c>
      <c r="P166" s="12">
        <v>0</v>
      </c>
      <c r="Q166" s="12">
        <v>0</v>
      </c>
      <c r="R166" s="12">
        <v>0</v>
      </c>
      <c r="S166" s="12">
        <v>0</v>
      </c>
      <c r="T166" s="12">
        <v>0</v>
      </c>
      <c r="U166" s="12">
        <v>0</v>
      </c>
      <c r="V166" s="12">
        <v>0</v>
      </c>
      <c r="W166" s="12">
        <v>0</v>
      </c>
      <c r="X166" s="12">
        <v>0</v>
      </c>
      <c r="Y166" s="12">
        <v>0</v>
      </c>
      <c r="Z166" s="12">
        <v>0</v>
      </c>
      <c r="AA166" s="12">
        <v>0</v>
      </c>
      <c r="AB166" s="12">
        <v>0</v>
      </c>
      <c r="AC166" s="12">
        <v>0</v>
      </c>
      <c r="AD166" s="12">
        <v>3597205</v>
      </c>
      <c r="AE166" s="12">
        <v>0</v>
      </c>
      <c r="AF166" s="12">
        <v>0</v>
      </c>
      <c r="AG166" s="12">
        <v>0</v>
      </c>
      <c r="AH166" s="12">
        <v>0</v>
      </c>
      <c r="AI166" s="12">
        <v>14640374.15</v>
      </c>
      <c r="AJ166" s="12">
        <v>29390</v>
      </c>
      <c r="AK166" s="12">
        <v>0</v>
      </c>
      <c r="AL166" s="12">
        <v>0</v>
      </c>
      <c r="AM166" s="12">
        <v>7540900</v>
      </c>
      <c r="AN166" s="12">
        <v>0</v>
      </c>
      <c r="AO166" s="12">
        <v>0</v>
      </c>
      <c r="AP166" s="12">
        <v>0</v>
      </c>
      <c r="AQ166" s="12">
        <v>0</v>
      </c>
      <c r="AR166" s="12">
        <v>0</v>
      </c>
      <c r="AS166" s="12">
        <v>0</v>
      </c>
      <c r="AT166" s="12">
        <v>0</v>
      </c>
      <c r="AU166" s="12">
        <v>0</v>
      </c>
      <c r="AV166" s="12">
        <v>0</v>
      </c>
      <c r="AW166" s="12">
        <v>0</v>
      </c>
      <c r="AX166" s="12">
        <v>0</v>
      </c>
      <c r="AY166" s="12">
        <v>0</v>
      </c>
      <c r="AZ166" s="12">
        <v>0</v>
      </c>
      <c r="BA166" s="12">
        <v>0</v>
      </c>
      <c r="BB166" s="12">
        <v>0</v>
      </c>
      <c r="BC166" s="12">
        <v>0</v>
      </c>
      <c r="BD166" s="12">
        <v>0</v>
      </c>
      <c r="BE166" s="12">
        <v>0</v>
      </c>
      <c r="BF166" s="12">
        <v>0</v>
      </c>
      <c r="BG166" s="75">
        <f t="shared" si="32"/>
        <v>31381269.149999999</v>
      </c>
      <c r="BH166" s="75">
        <f t="shared" si="29"/>
        <v>5573400</v>
      </c>
      <c r="BI166" s="75">
        <f t="shared" si="30"/>
        <v>18266969.149999999</v>
      </c>
      <c r="BJ166" s="75">
        <f t="shared" si="31"/>
        <v>7540900</v>
      </c>
    </row>
    <row r="167" spans="3:62" x14ac:dyDescent="0.25">
      <c r="D167" s="7">
        <v>2062</v>
      </c>
      <c r="E167" s="7" t="s">
        <v>423</v>
      </c>
      <c r="F167" s="12">
        <v>0</v>
      </c>
      <c r="G167" s="12">
        <v>0</v>
      </c>
      <c r="H167" s="12">
        <v>0</v>
      </c>
      <c r="I167" s="12">
        <v>0</v>
      </c>
      <c r="J167" s="12">
        <v>0</v>
      </c>
      <c r="K167" s="12">
        <v>0</v>
      </c>
      <c r="L167" s="12">
        <v>0</v>
      </c>
      <c r="M167" s="12">
        <v>0</v>
      </c>
      <c r="N167" s="12">
        <v>0</v>
      </c>
      <c r="O167" s="12">
        <v>0</v>
      </c>
      <c r="P167" s="12">
        <v>0</v>
      </c>
      <c r="Q167" s="12">
        <v>0</v>
      </c>
      <c r="R167" s="12">
        <v>0</v>
      </c>
      <c r="S167" s="12">
        <v>0</v>
      </c>
      <c r="T167" s="12">
        <v>0</v>
      </c>
      <c r="U167" s="12">
        <v>99500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12">
        <v>0</v>
      </c>
      <c r="AN167" s="12">
        <v>0</v>
      </c>
      <c r="AO167" s="12">
        <v>0</v>
      </c>
      <c r="AP167" s="12">
        <v>0</v>
      </c>
      <c r="AQ167" s="12">
        <v>0</v>
      </c>
      <c r="AR167" s="12">
        <v>0</v>
      </c>
      <c r="AS167" s="12">
        <v>0</v>
      </c>
      <c r="AT167" s="12">
        <v>0</v>
      </c>
      <c r="AU167" s="12">
        <v>0</v>
      </c>
      <c r="AV167" s="12">
        <v>0</v>
      </c>
      <c r="AW167" s="12">
        <v>0</v>
      </c>
      <c r="AX167" s="12">
        <v>0</v>
      </c>
      <c r="AY167" s="12">
        <v>0</v>
      </c>
      <c r="AZ167" s="12">
        <v>0</v>
      </c>
      <c r="BA167" s="12">
        <v>0</v>
      </c>
      <c r="BB167" s="12">
        <v>0</v>
      </c>
      <c r="BC167" s="12">
        <v>0</v>
      </c>
      <c r="BD167" s="12">
        <v>0</v>
      </c>
      <c r="BE167" s="12">
        <v>0</v>
      </c>
      <c r="BF167" s="12">
        <v>0</v>
      </c>
      <c r="BG167" s="75">
        <f t="shared" si="32"/>
        <v>99500</v>
      </c>
      <c r="BH167" s="75">
        <f t="shared" si="29"/>
        <v>99500</v>
      </c>
      <c r="BI167" s="75">
        <f t="shared" si="30"/>
        <v>0</v>
      </c>
      <c r="BJ167" s="75">
        <f t="shared" si="31"/>
        <v>0</v>
      </c>
    </row>
    <row r="168" spans="3:62" x14ac:dyDescent="0.25">
      <c r="D168" s="7">
        <v>2063</v>
      </c>
      <c r="E168" s="7" t="s">
        <v>424</v>
      </c>
      <c r="F168" s="12">
        <v>0</v>
      </c>
      <c r="G168" s="12">
        <v>1364699.6</v>
      </c>
      <c r="H168" s="12">
        <v>8400</v>
      </c>
      <c r="I168" s="12">
        <v>3390562.45</v>
      </c>
      <c r="J168" s="12">
        <v>17964793.75</v>
      </c>
      <c r="K168" s="12">
        <v>11701500</v>
      </c>
      <c r="L168" s="12">
        <v>8815740.8499999996</v>
      </c>
      <c r="M168" s="12">
        <v>0</v>
      </c>
      <c r="N168" s="12">
        <v>4045029.75</v>
      </c>
      <c r="O168" s="12">
        <v>0</v>
      </c>
      <c r="P168" s="12">
        <v>33729190</v>
      </c>
      <c r="Q168" s="12">
        <v>0</v>
      </c>
      <c r="R168" s="12">
        <v>0</v>
      </c>
      <c r="S168" s="12">
        <v>2662199.41</v>
      </c>
      <c r="T168" s="12">
        <v>0</v>
      </c>
      <c r="U168" s="12">
        <v>4343100</v>
      </c>
      <c r="V168" s="12">
        <v>4600</v>
      </c>
      <c r="W168" s="12">
        <v>218372.5</v>
      </c>
      <c r="X168" s="12">
        <v>11379525</v>
      </c>
      <c r="Y168" s="12">
        <v>343587.2</v>
      </c>
      <c r="Z168" s="12">
        <v>8417000</v>
      </c>
      <c r="AA168" s="12">
        <v>633000</v>
      </c>
      <c r="AB168" s="12">
        <v>934047.05</v>
      </c>
      <c r="AC168" s="12">
        <v>762500</v>
      </c>
      <c r="AD168" s="12">
        <v>47100</v>
      </c>
      <c r="AE168" s="12">
        <v>6952900</v>
      </c>
      <c r="AF168" s="12">
        <v>3604850</v>
      </c>
      <c r="AG168" s="12">
        <v>0</v>
      </c>
      <c r="AH168" s="12">
        <v>3901400</v>
      </c>
      <c r="AI168" s="12">
        <v>-2452059</v>
      </c>
      <c r="AJ168" s="12">
        <v>815332.54</v>
      </c>
      <c r="AK168" s="12">
        <v>675310</v>
      </c>
      <c r="AL168" s="12">
        <v>16445660</v>
      </c>
      <c r="AM168" s="12">
        <v>661050</v>
      </c>
      <c r="AN168" s="12">
        <v>10362707.300000001</v>
      </c>
      <c r="AO168" s="12">
        <v>1373420</v>
      </c>
      <c r="AP168" s="12">
        <v>8088800</v>
      </c>
      <c r="AQ168" s="12">
        <v>4629300</v>
      </c>
      <c r="AR168" s="12">
        <v>3886345</v>
      </c>
      <c r="AS168" s="12">
        <v>7900143.7599999998</v>
      </c>
      <c r="AT168" s="12">
        <v>4777048.5999999996</v>
      </c>
      <c r="AU168" s="12">
        <v>9302770</v>
      </c>
      <c r="AV168" s="12">
        <v>1297365</v>
      </c>
      <c r="AW168" s="12">
        <v>12288500</v>
      </c>
      <c r="AX168" s="12">
        <v>44960</v>
      </c>
      <c r="AY168" s="12">
        <v>599060</v>
      </c>
      <c r="AZ168" s="12">
        <v>1784640</v>
      </c>
      <c r="BA168" s="12">
        <v>28400</v>
      </c>
      <c r="BB168" s="12">
        <v>1804350</v>
      </c>
      <c r="BC168" s="12">
        <v>7691120</v>
      </c>
      <c r="BD168" s="12">
        <v>115500</v>
      </c>
      <c r="BE168" s="12">
        <v>63327500</v>
      </c>
      <c r="BF168" s="12">
        <v>3427058.15</v>
      </c>
      <c r="BG168" s="75">
        <f t="shared" si="32"/>
        <v>284098378.90999997</v>
      </c>
      <c r="BH168" s="75">
        <f t="shared" si="29"/>
        <v>99627713.310000002</v>
      </c>
      <c r="BI168" s="75">
        <f t="shared" si="30"/>
        <v>24634967.789999999</v>
      </c>
      <c r="BJ168" s="75">
        <f t="shared" si="31"/>
        <v>159835697.81</v>
      </c>
    </row>
    <row r="169" spans="3:62" x14ac:dyDescent="0.25">
      <c r="D169" s="7">
        <v>2064</v>
      </c>
      <c r="E169" s="7" t="s">
        <v>445</v>
      </c>
      <c r="F169" s="12">
        <v>3543700</v>
      </c>
      <c r="G169" s="12">
        <v>63000</v>
      </c>
      <c r="H169" s="12">
        <v>0</v>
      </c>
      <c r="I169" s="12">
        <v>237434.4</v>
      </c>
      <c r="J169" s="12">
        <v>0</v>
      </c>
      <c r="K169" s="12">
        <v>565500</v>
      </c>
      <c r="L169" s="12">
        <v>248223.75</v>
      </c>
      <c r="M169" s="12">
        <v>129202493.75</v>
      </c>
      <c r="N169" s="12">
        <v>97800</v>
      </c>
      <c r="O169" s="12">
        <v>752392.9</v>
      </c>
      <c r="P169" s="12">
        <v>0</v>
      </c>
      <c r="Q169" s="12">
        <v>2150910.35</v>
      </c>
      <c r="R169" s="12">
        <v>354400</v>
      </c>
      <c r="S169" s="12">
        <v>218250</v>
      </c>
      <c r="T169" s="12">
        <v>993311</v>
      </c>
      <c r="U169" s="12">
        <v>0</v>
      </c>
      <c r="V169" s="12">
        <v>0</v>
      </c>
      <c r="W169" s="12">
        <v>3050026.06</v>
      </c>
      <c r="X169" s="12">
        <v>700615</v>
      </c>
      <c r="Y169" s="12">
        <v>0</v>
      </c>
      <c r="Z169" s="12">
        <v>0</v>
      </c>
      <c r="AA169" s="12">
        <v>0</v>
      </c>
      <c r="AB169" s="12">
        <v>0</v>
      </c>
      <c r="AC169" s="12">
        <v>0</v>
      </c>
      <c r="AD169" s="12">
        <v>0</v>
      </c>
      <c r="AE169" s="12">
        <v>145375</v>
      </c>
      <c r="AF169" s="12">
        <v>0</v>
      </c>
      <c r="AG169" s="12">
        <v>378467</v>
      </c>
      <c r="AH169" s="12">
        <v>0</v>
      </c>
      <c r="AI169" s="12">
        <v>0</v>
      </c>
      <c r="AJ169" s="12">
        <v>0</v>
      </c>
      <c r="AK169" s="12">
        <v>0</v>
      </c>
      <c r="AL169" s="12">
        <v>92500</v>
      </c>
      <c r="AM169" s="12">
        <v>0</v>
      </c>
      <c r="AN169" s="12">
        <v>201640</v>
      </c>
      <c r="AO169" s="12">
        <v>0</v>
      </c>
      <c r="AP169" s="12">
        <v>0</v>
      </c>
      <c r="AQ169" s="12">
        <v>44800</v>
      </c>
      <c r="AR169" s="12">
        <v>0</v>
      </c>
      <c r="AS169" s="12">
        <v>229180</v>
      </c>
      <c r="AT169" s="12">
        <v>-88030</v>
      </c>
      <c r="AU169" s="12">
        <v>49547.5</v>
      </c>
      <c r="AV169" s="12">
        <v>0</v>
      </c>
      <c r="AW169" s="12">
        <v>185800</v>
      </c>
      <c r="AX169" s="12">
        <v>5668582</v>
      </c>
      <c r="AY169" s="12">
        <v>0</v>
      </c>
      <c r="AZ169" s="12">
        <v>27300</v>
      </c>
      <c r="BA169" s="12">
        <v>18102672</v>
      </c>
      <c r="BB169" s="12">
        <v>9800</v>
      </c>
      <c r="BC169" s="12">
        <v>127900</v>
      </c>
      <c r="BD169" s="12">
        <v>0</v>
      </c>
      <c r="BE169" s="12">
        <v>-5620968</v>
      </c>
      <c r="BF169" s="12">
        <v>0</v>
      </c>
      <c r="BG169" s="75">
        <f t="shared" si="32"/>
        <v>161732622.71000001</v>
      </c>
      <c r="BH169" s="75">
        <f t="shared" si="29"/>
        <v>142178057.21000001</v>
      </c>
      <c r="BI169" s="75">
        <f t="shared" si="30"/>
        <v>523842</v>
      </c>
      <c r="BJ169" s="75">
        <f t="shared" si="31"/>
        <v>19030723.5</v>
      </c>
    </row>
    <row r="170" spans="3:62" x14ac:dyDescent="0.25">
      <c r="D170" s="7">
        <v>2067</v>
      </c>
      <c r="E170" s="7" t="s">
        <v>426</v>
      </c>
      <c r="F170" s="12">
        <v>0</v>
      </c>
      <c r="G170" s="12">
        <v>0</v>
      </c>
      <c r="H170" s="12">
        <v>0</v>
      </c>
      <c r="I170" s="12">
        <v>0</v>
      </c>
      <c r="J170" s="12">
        <v>0</v>
      </c>
      <c r="K170" s="12">
        <v>0</v>
      </c>
      <c r="L170" s="12">
        <v>0</v>
      </c>
      <c r="M170" s="12">
        <v>0</v>
      </c>
      <c r="N170" s="12">
        <v>0</v>
      </c>
      <c r="O170" s="12">
        <v>0</v>
      </c>
      <c r="P170" s="12">
        <v>0</v>
      </c>
      <c r="Q170" s="12">
        <v>0</v>
      </c>
      <c r="R170" s="12">
        <v>0</v>
      </c>
      <c r="S170" s="12">
        <v>0</v>
      </c>
      <c r="T170" s="12">
        <v>0</v>
      </c>
      <c r="U170" s="12">
        <v>0</v>
      </c>
      <c r="V170" s="12">
        <v>0</v>
      </c>
      <c r="W170" s="12">
        <v>0</v>
      </c>
      <c r="X170" s="12">
        <v>0</v>
      </c>
      <c r="Y170" s="12">
        <v>0</v>
      </c>
      <c r="Z170" s="12">
        <v>0</v>
      </c>
      <c r="AA170" s="12">
        <v>0</v>
      </c>
      <c r="AB170" s="12">
        <v>0</v>
      </c>
      <c r="AC170" s="12">
        <v>0</v>
      </c>
      <c r="AD170" s="12">
        <v>0</v>
      </c>
      <c r="AE170" s="12">
        <v>0</v>
      </c>
      <c r="AF170" s="12">
        <v>0</v>
      </c>
      <c r="AG170" s="12">
        <v>0</v>
      </c>
      <c r="AH170" s="12">
        <v>0</v>
      </c>
      <c r="AI170" s="12">
        <v>0</v>
      </c>
      <c r="AJ170" s="12">
        <v>0</v>
      </c>
      <c r="AK170" s="12">
        <v>0</v>
      </c>
      <c r="AL170" s="12">
        <v>0</v>
      </c>
      <c r="AM170" s="12">
        <v>0</v>
      </c>
      <c r="AN170" s="12">
        <v>0</v>
      </c>
      <c r="AO170" s="12">
        <v>0</v>
      </c>
      <c r="AP170" s="12">
        <v>0</v>
      </c>
      <c r="AQ170" s="12">
        <v>0</v>
      </c>
      <c r="AR170" s="12">
        <v>0</v>
      </c>
      <c r="AS170" s="12">
        <v>0</v>
      </c>
      <c r="AT170" s="12">
        <v>0</v>
      </c>
      <c r="AU170" s="12">
        <v>0</v>
      </c>
      <c r="AV170" s="12">
        <v>0</v>
      </c>
      <c r="AW170" s="12">
        <v>0</v>
      </c>
      <c r="AX170" s="12">
        <v>0</v>
      </c>
      <c r="AY170" s="12">
        <v>0</v>
      </c>
      <c r="AZ170" s="12">
        <v>0</v>
      </c>
      <c r="BA170" s="12">
        <v>0</v>
      </c>
      <c r="BB170" s="12">
        <v>0</v>
      </c>
      <c r="BC170" s="12">
        <v>0</v>
      </c>
      <c r="BD170" s="12">
        <v>0</v>
      </c>
      <c r="BE170" s="12">
        <v>0</v>
      </c>
      <c r="BF170" s="12">
        <v>0</v>
      </c>
      <c r="BG170" s="75">
        <f t="shared" si="32"/>
        <v>0</v>
      </c>
      <c r="BH170" s="75">
        <f t="shared" si="29"/>
        <v>0</v>
      </c>
      <c r="BI170" s="75">
        <f t="shared" si="30"/>
        <v>0</v>
      </c>
      <c r="BJ170" s="75">
        <f t="shared" si="31"/>
        <v>0</v>
      </c>
    </row>
    <row r="171" spans="3:62" x14ac:dyDescent="0.25">
      <c r="D171" s="7">
        <v>2069</v>
      </c>
      <c r="E171" s="7" t="s">
        <v>427</v>
      </c>
      <c r="F171" s="12">
        <v>0</v>
      </c>
      <c r="G171" s="12">
        <v>0</v>
      </c>
      <c r="H171" s="12">
        <v>0</v>
      </c>
      <c r="I171" s="12">
        <v>0</v>
      </c>
      <c r="J171" s="12">
        <v>0</v>
      </c>
      <c r="K171" s="12">
        <v>0</v>
      </c>
      <c r="L171" s="12">
        <v>0</v>
      </c>
      <c r="M171" s="12">
        <v>0</v>
      </c>
      <c r="N171" s="12">
        <v>0</v>
      </c>
      <c r="O171" s="12">
        <v>0</v>
      </c>
      <c r="P171" s="12">
        <v>0</v>
      </c>
      <c r="Q171" s="12">
        <v>0</v>
      </c>
      <c r="R171" s="12">
        <v>0</v>
      </c>
      <c r="S171" s="12">
        <v>0</v>
      </c>
      <c r="T171" s="12">
        <v>0</v>
      </c>
      <c r="U171" s="12">
        <v>0</v>
      </c>
      <c r="V171" s="12">
        <v>628150</v>
      </c>
      <c r="W171" s="12">
        <v>-136495</v>
      </c>
      <c r="X171" s="12">
        <v>0</v>
      </c>
      <c r="Y171" s="12">
        <v>0</v>
      </c>
      <c r="Z171" s="12">
        <v>0</v>
      </c>
      <c r="AA171" s="12">
        <v>0</v>
      </c>
      <c r="AB171" s="12">
        <v>0</v>
      </c>
      <c r="AC171" s="12">
        <v>0</v>
      </c>
      <c r="AD171" s="12">
        <v>-103250</v>
      </c>
      <c r="AE171" s="12">
        <v>0</v>
      </c>
      <c r="AF171" s="12">
        <v>-109400</v>
      </c>
      <c r="AG171" s="12">
        <v>-136133</v>
      </c>
      <c r="AH171" s="12">
        <v>0</v>
      </c>
      <c r="AI171" s="12">
        <v>0</v>
      </c>
      <c r="AJ171" s="12">
        <v>-340024.57</v>
      </c>
      <c r="AK171" s="12">
        <v>0</v>
      </c>
      <c r="AL171" s="12">
        <v>4000</v>
      </c>
      <c r="AM171" s="12">
        <v>0</v>
      </c>
      <c r="AN171" s="12">
        <v>0</v>
      </c>
      <c r="AO171" s="12">
        <v>0</v>
      </c>
      <c r="AP171" s="12">
        <v>0</v>
      </c>
      <c r="AQ171" s="12">
        <v>0</v>
      </c>
      <c r="AR171" s="12">
        <v>-2366630</v>
      </c>
      <c r="AS171" s="12">
        <v>0</v>
      </c>
      <c r="AT171" s="12">
        <v>0</v>
      </c>
      <c r="AU171" s="12">
        <v>-273245</v>
      </c>
      <c r="AV171" s="12">
        <v>0</v>
      </c>
      <c r="AW171" s="12">
        <v>0</v>
      </c>
      <c r="AX171" s="12">
        <v>-147300</v>
      </c>
      <c r="AY171" s="12">
        <v>0</v>
      </c>
      <c r="AZ171" s="12">
        <v>0</v>
      </c>
      <c r="BA171" s="12">
        <v>-1095385</v>
      </c>
      <c r="BB171" s="12">
        <v>0</v>
      </c>
      <c r="BC171" s="12">
        <v>-2980810</v>
      </c>
      <c r="BD171" s="12">
        <v>0</v>
      </c>
      <c r="BE171" s="12">
        <v>0</v>
      </c>
      <c r="BF171" s="12">
        <v>0</v>
      </c>
      <c r="BG171" s="75">
        <f t="shared" si="32"/>
        <v>-7056522.5700000003</v>
      </c>
      <c r="BH171" s="75">
        <f t="shared" si="29"/>
        <v>491655</v>
      </c>
      <c r="BI171" s="75">
        <f t="shared" si="30"/>
        <v>-688807.57000000007</v>
      </c>
      <c r="BJ171" s="75">
        <f t="shared" si="31"/>
        <v>-6859370</v>
      </c>
    </row>
    <row r="172" spans="3:62" x14ac:dyDescent="0.25">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75"/>
      <c r="BH172" s="75"/>
      <c r="BI172" s="75"/>
      <c r="BJ172" s="75"/>
    </row>
    <row r="173" spans="3:62" x14ac:dyDescent="0.25">
      <c r="C173" s="111">
        <v>208</v>
      </c>
      <c r="D173" s="111"/>
      <c r="E173" s="111" t="s">
        <v>257</v>
      </c>
      <c r="F173" s="112">
        <f>F174+F175+F176+F177+F178+F179+F180+F181+F182</f>
        <v>0</v>
      </c>
      <c r="G173" s="112">
        <f t="shared" ref="G173:BF173" si="36">G174+G175+G176+G177+G178+G179+G180+G181+G182</f>
        <v>0</v>
      </c>
      <c r="H173" s="112">
        <f t="shared" si="36"/>
        <v>0</v>
      </c>
      <c r="I173" s="112">
        <f t="shared" si="36"/>
        <v>0</v>
      </c>
      <c r="J173" s="112">
        <f t="shared" si="36"/>
        <v>92366.45</v>
      </c>
      <c r="K173" s="112">
        <f t="shared" si="36"/>
        <v>2450</v>
      </c>
      <c r="L173" s="112">
        <f t="shared" si="36"/>
        <v>0</v>
      </c>
      <c r="M173" s="112">
        <f t="shared" si="36"/>
        <v>0</v>
      </c>
      <c r="N173" s="112">
        <f t="shared" si="36"/>
        <v>0</v>
      </c>
      <c r="O173" s="112">
        <f t="shared" si="36"/>
        <v>0</v>
      </c>
      <c r="P173" s="112">
        <f t="shared" si="36"/>
        <v>477423.5</v>
      </c>
      <c r="Q173" s="112">
        <f t="shared" si="36"/>
        <v>0</v>
      </c>
      <c r="R173" s="112">
        <f t="shared" si="36"/>
        <v>0</v>
      </c>
      <c r="S173" s="112">
        <f t="shared" si="36"/>
        <v>0</v>
      </c>
      <c r="T173" s="112">
        <f t="shared" si="36"/>
        <v>0</v>
      </c>
      <c r="U173" s="112">
        <f t="shared" si="36"/>
        <v>104873.55</v>
      </c>
      <c r="V173" s="112">
        <f t="shared" si="36"/>
        <v>10691.47</v>
      </c>
      <c r="W173" s="112">
        <f t="shared" si="36"/>
        <v>0</v>
      </c>
      <c r="X173" s="112">
        <f t="shared" si="36"/>
        <v>0</v>
      </c>
      <c r="Y173" s="112">
        <f t="shared" si="36"/>
        <v>0</v>
      </c>
      <c r="Z173" s="112">
        <f t="shared" si="36"/>
        <v>0</v>
      </c>
      <c r="AA173" s="112">
        <f t="shared" si="36"/>
        <v>5000000</v>
      </c>
      <c r="AB173" s="112">
        <f t="shared" si="36"/>
        <v>0</v>
      </c>
      <c r="AC173" s="112">
        <f t="shared" si="36"/>
        <v>0</v>
      </c>
      <c r="AD173" s="112">
        <f t="shared" si="36"/>
        <v>0</v>
      </c>
      <c r="AE173" s="112">
        <f t="shared" si="36"/>
        <v>0</v>
      </c>
      <c r="AF173" s="112">
        <f t="shared" si="36"/>
        <v>0</v>
      </c>
      <c r="AG173" s="112">
        <f t="shared" si="36"/>
        <v>0</v>
      </c>
      <c r="AH173" s="112">
        <f t="shared" si="36"/>
        <v>0</v>
      </c>
      <c r="AI173" s="112">
        <f t="shared" si="36"/>
        <v>213634.45</v>
      </c>
      <c r="AJ173" s="112">
        <f t="shared" si="36"/>
        <v>0</v>
      </c>
      <c r="AK173" s="112">
        <f t="shared" si="36"/>
        <v>0</v>
      </c>
      <c r="AL173" s="112">
        <f t="shared" si="36"/>
        <v>0</v>
      </c>
      <c r="AM173" s="112">
        <f t="shared" si="36"/>
        <v>0</v>
      </c>
      <c r="AN173" s="112">
        <f t="shared" si="36"/>
        <v>0</v>
      </c>
      <c r="AO173" s="112">
        <f t="shared" si="36"/>
        <v>0</v>
      </c>
      <c r="AP173" s="112">
        <f t="shared" si="36"/>
        <v>0</v>
      </c>
      <c r="AQ173" s="112">
        <f t="shared" si="36"/>
        <v>0</v>
      </c>
      <c r="AR173" s="112">
        <f t="shared" si="36"/>
        <v>0</v>
      </c>
      <c r="AS173" s="112">
        <f t="shared" si="36"/>
        <v>0</v>
      </c>
      <c r="AT173" s="112">
        <f t="shared" si="36"/>
        <v>0</v>
      </c>
      <c r="AU173" s="112">
        <f t="shared" si="36"/>
        <v>0</v>
      </c>
      <c r="AV173" s="112">
        <f t="shared" si="36"/>
        <v>0</v>
      </c>
      <c r="AW173" s="112">
        <f t="shared" si="36"/>
        <v>0</v>
      </c>
      <c r="AX173" s="112">
        <f t="shared" si="36"/>
        <v>0</v>
      </c>
      <c r="AY173" s="112">
        <f t="shared" si="36"/>
        <v>15000</v>
      </c>
      <c r="AZ173" s="112">
        <f t="shared" si="36"/>
        <v>0</v>
      </c>
      <c r="BA173" s="112">
        <f t="shared" si="36"/>
        <v>0</v>
      </c>
      <c r="BB173" s="112">
        <f t="shared" si="36"/>
        <v>0</v>
      </c>
      <c r="BC173" s="112">
        <f t="shared" si="36"/>
        <v>225000</v>
      </c>
      <c r="BD173" s="112">
        <f t="shared" si="36"/>
        <v>0</v>
      </c>
      <c r="BE173" s="112">
        <f t="shared" si="36"/>
        <v>0</v>
      </c>
      <c r="BF173" s="112">
        <f t="shared" si="36"/>
        <v>0</v>
      </c>
      <c r="BG173" s="112">
        <f t="shared" si="32"/>
        <v>6141439.4199999999</v>
      </c>
      <c r="BH173" s="112">
        <f t="shared" si="29"/>
        <v>687804.97</v>
      </c>
      <c r="BI173" s="112">
        <f t="shared" si="30"/>
        <v>5213634.45</v>
      </c>
      <c r="BJ173" s="112">
        <f t="shared" si="31"/>
        <v>240000</v>
      </c>
    </row>
    <row r="174" spans="3:62" x14ac:dyDescent="0.25">
      <c r="D174" s="7">
        <v>2081</v>
      </c>
      <c r="E174" s="7" t="s">
        <v>428</v>
      </c>
      <c r="F174" s="12">
        <v>0</v>
      </c>
      <c r="G174" s="12">
        <v>0</v>
      </c>
      <c r="H174" s="12">
        <v>0</v>
      </c>
      <c r="I174" s="12">
        <v>0</v>
      </c>
      <c r="J174" s="12">
        <v>0</v>
      </c>
      <c r="K174" s="12">
        <v>0</v>
      </c>
      <c r="L174" s="12">
        <v>0</v>
      </c>
      <c r="M174" s="12">
        <v>0</v>
      </c>
      <c r="N174" s="12">
        <v>0</v>
      </c>
      <c r="O174" s="12">
        <v>0</v>
      </c>
      <c r="P174" s="12">
        <v>0</v>
      </c>
      <c r="Q174" s="12">
        <v>0</v>
      </c>
      <c r="R174" s="12">
        <v>0</v>
      </c>
      <c r="S174" s="12">
        <v>0</v>
      </c>
      <c r="T174" s="12">
        <v>0</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12">
        <v>0</v>
      </c>
      <c r="AN174" s="12">
        <v>0</v>
      </c>
      <c r="AO174" s="12">
        <v>0</v>
      </c>
      <c r="AP174" s="12">
        <v>0</v>
      </c>
      <c r="AQ174" s="12">
        <v>0</v>
      </c>
      <c r="AR174" s="12">
        <v>0</v>
      </c>
      <c r="AS174" s="12">
        <v>0</v>
      </c>
      <c r="AT174" s="12">
        <v>0</v>
      </c>
      <c r="AU174" s="12">
        <v>0</v>
      </c>
      <c r="AV174" s="12">
        <v>0</v>
      </c>
      <c r="AW174" s="12">
        <v>0</v>
      </c>
      <c r="AX174" s="12">
        <v>0</v>
      </c>
      <c r="AY174" s="12">
        <v>0</v>
      </c>
      <c r="AZ174" s="12">
        <v>0</v>
      </c>
      <c r="BA174" s="12">
        <v>0</v>
      </c>
      <c r="BB174" s="12">
        <v>0</v>
      </c>
      <c r="BC174" s="12">
        <v>0</v>
      </c>
      <c r="BD174" s="12">
        <v>0</v>
      </c>
      <c r="BE174" s="12">
        <v>0</v>
      </c>
      <c r="BF174" s="12">
        <v>0</v>
      </c>
      <c r="BG174" s="75">
        <f t="shared" si="32"/>
        <v>0</v>
      </c>
      <c r="BH174" s="75">
        <f t="shared" si="29"/>
        <v>0</v>
      </c>
      <c r="BI174" s="75">
        <f t="shared" si="30"/>
        <v>0</v>
      </c>
      <c r="BJ174" s="75">
        <f t="shared" si="31"/>
        <v>0</v>
      </c>
    </row>
    <row r="175" spans="3:62" x14ac:dyDescent="0.25">
      <c r="D175" s="7">
        <v>2082</v>
      </c>
      <c r="E175" s="7" t="s">
        <v>429</v>
      </c>
      <c r="F175" s="12">
        <v>0</v>
      </c>
      <c r="G175" s="12">
        <v>0</v>
      </c>
      <c r="H175" s="12">
        <v>0</v>
      </c>
      <c r="I175" s="12">
        <v>0</v>
      </c>
      <c r="J175" s="12">
        <v>0</v>
      </c>
      <c r="K175" s="12">
        <v>0</v>
      </c>
      <c r="L175" s="12">
        <v>0</v>
      </c>
      <c r="M175" s="12">
        <v>0</v>
      </c>
      <c r="N175" s="12">
        <v>0</v>
      </c>
      <c r="O175" s="12">
        <v>0</v>
      </c>
      <c r="P175" s="12">
        <v>0</v>
      </c>
      <c r="Q175" s="12">
        <v>0</v>
      </c>
      <c r="R175" s="12">
        <v>0</v>
      </c>
      <c r="S175" s="12">
        <v>0</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12">
        <v>0</v>
      </c>
      <c r="AN175" s="12">
        <v>0</v>
      </c>
      <c r="AO175" s="12">
        <v>0</v>
      </c>
      <c r="AP175" s="12">
        <v>0</v>
      </c>
      <c r="AQ175" s="12">
        <v>0</v>
      </c>
      <c r="AR175" s="12">
        <v>0</v>
      </c>
      <c r="AS175" s="12">
        <v>0</v>
      </c>
      <c r="AT175" s="12">
        <v>0</v>
      </c>
      <c r="AU175" s="12">
        <v>0</v>
      </c>
      <c r="AV175" s="12">
        <v>0</v>
      </c>
      <c r="AW175" s="12">
        <v>0</v>
      </c>
      <c r="AX175" s="12">
        <v>0</v>
      </c>
      <c r="AY175" s="12">
        <v>0</v>
      </c>
      <c r="AZ175" s="12">
        <v>0</v>
      </c>
      <c r="BA175" s="12">
        <v>0</v>
      </c>
      <c r="BB175" s="12">
        <v>0</v>
      </c>
      <c r="BC175" s="12">
        <v>0</v>
      </c>
      <c r="BD175" s="12">
        <v>0</v>
      </c>
      <c r="BE175" s="12">
        <v>0</v>
      </c>
      <c r="BF175" s="12">
        <v>0</v>
      </c>
      <c r="BG175" s="75">
        <f t="shared" si="32"/>
        <v>0</v>
      </c>
      <c r="BH175" s="75">
        <f t="shared" si="29"/>
        <v>0</v>
      </c>
      <c r="BI175" s="75">
        <f t="shared" si="30"/>
        <v>0</v>
      </c>
      <c r="BJ175" s="75">
        <f t="shared" si="31"/>
        <v>0</v>
      </c>
    </row>
    <row r="176" spans="3:62" x14ac:dyDescent="0.25">
      <c r="D176" s="7">
        <v>2083</v>
      </c>
      <c r="E176" s="7" t="s">
        <v>430</v>
      </c>
      <c r="F176" s="12">
        <v>0</v>
      </c>
      <c r="G176" s="12">
        <v>0</v>
      </c>
      <c r="H176" s="12">
        <v>0</v>
      </c>
      <c r="I176" s="12">
        <v>0</v>
      </c>
      <c r="J176" s="12">
        <v>0</v>
      </c>
      <c r="K176" s="12">
        <v>0</v>
      </c>
      <c r="L176" s="12">
        <v>0</v>
      </c>
      <c r="M176" s="12">
        <v>0</v>
      </c>
      <c r="N176" s="12">
        <v>0</v>
      </c>
      <c r="O176" s="12">
        <v>0</v>
      </c>
      <c r="P176" s="12">
        <v>0</v>
      </c>
      <c r="Q176" s="12">
        <v>0</v>
      </c>
      <c r="R176" s="12">
        <v>0</v>
      </c>
      <c r="S176" s="12">
        <v>0</v>
      </c>
      <c r="T176" s="12">
        <v>0</v>
      </c>
      <c r="U176" s="12">
        <v>0</v>
      </c>
      <c r="V176" s="12">
        <v>10691.47</v>
      </c>
      <c r="W176" s="12">
        <v>0</v>
      </c>
      <c r="X176" s="12">
        <v>0</v>
      </c>
      <c r="Y176" s="12">
        <v>0</v>
      </c>
      <c r="Z176" s="12">
        <v>0</v>
      </c>
      <c r="AA176" s="12">
        <v>0</v>
      </c>
      <c r="AB176" s="12">
        <v>0</v>
      </c>
      <c r="AC176" s="12">
        <v>0</v>
      </c>
      <c r="AD176" s="12">
        <v>0</v>
      </c>
      <c r="AE176" s="12">
        <v>0</v>
      </c>
      <c r="AF176" s="12">
        <v>0</v>
      </c>
      <c r="AG176" s="12">
        <v>0</v>
      </c>
      <c r="AH176" s="12">
        <v>0</v>
      </c>
      <c r="AI176" s="12">
        <v>0</v>
      </c>
      <c r="AJ176" s="12">
        <v>0</v>
      </c>
      <c r="AK176" s="12">
        <v>0</v>
      </c>
      <c r="AL176" s="12">
        <v>0</v>
      </c>
      <c r="AM176" s="12">
        <v>0</v>
      </c>
      <c r="AN176" s="12">
        <v>0</v>
      </c>
      <c r="AO176" s="12">
        <v>0</v>
      </c>
      <c r="AP176" s="12">
        <v>0</v>
      </c>
      <c r="AQ176" s="12">
        <v>0</v>
      </c>
      <c r="AR176" s="12">
        <v>0</v>
      </c>
      <c r="AS176" s="12">
        <v>0</v>
      </c>
      <c r="AT176" s="12">
        <v>0</v>
      </c>
      <c r="AU176" s="12">
        <v>0</v>
      </c>
      <c r="AV176" s="12">
        <v>0</v>
      </c>
      <c r="AW176" s="12">
        <v>0</v>
      </c>
      <c r="AX176" s="12">
        <v>0</v>
      </c>
      <c r="AY176" s="12">
        <v>0</v>
      </c>
      <c r="AZ176" s="12">
        <v>0</v>
      </c>
      <c r="BA176" s="12">
        <v>0</v>
      </c>
      <c r="BB176" s="12">
        <v>0</v>
      </c>
      <c r="BC176" s="12">
        <v>0</v>
      </c>
      <c r="BD176" s="12">
        <v>0</v>
      </c>
      <c r="BE176" s="12">
        <v>0</v>
      </c>
      <c r="BF176" s="12">
        <v>0</v>
      </c>
      <c r="BG176" s="75">
        <f t="shared" si="32"/>
        <v>10691.47</v>
      </c>
      <c r="BH176" s="75">
        <f t="shared" si="29"/>
        <v>10691.47</v>
      </c>
      <c r="BI176" s="75">
        <f t="shared" si="30"/>
        <v>0</v>
      </c>
      <c r="BJ176" s="75">
        <f t="shared" si="31"/>
        <v>0</v>
      </c>
    </row>
    <row r="177" spans="2:62" x14ac:dyDescent="0.25">
      <c r="D177" s="7">
        <v>2084</v>
      </c>
      <c r="E177" s="7" t="s">
        <v>431</v>
      </c>
      <c r="F177" s="12">
        <v>0</v>
      </c>
      <c r="G177" s="12">
        <v>0</v>
      </c>
      <c r="H177" s="12">
        <v>0</v>
      </c>
      <c r="I177" s="12">
        <v>0</v>
      </c>
      <c r="J177" s="12">
        <v>0</v>
      </c>
      <c r="K177" s="12">
        <v>0</v>
      </c>
      <c r="L177" s="12">
        <v>0</v>
      </c>
      <c r="M177" s="12">
        <v>0</v>
      </c>
      <c r="N177" s="12">
        <v>0</v>
      </c>
      <c r="O177" s="12">
        <v>0</v>
      </c>
      <c r="P177" s="12">
        <v>0</v>
      </c>
      <c r="Q177" s="12">
        <v>0</v>
      </c>
      <c r="R177" s="12">
        <v>0</v>
      </c>
      <c r="S177" s="12">
        <v>0</v>
      </c>
      <c r="T177" s="12">
        <v>0</v>
      </c>
      <c r="U177" s="12">
        <v>0</v>
      </c>
      <c r="V177" s="12">
        <v>0</v>
      </c>
      <c r="W177" s="12">
        <v>0</v>
      </c>
      <c r="X177" s="12">
        <v>0</v>
      </c>
      <c r="Y177" s="12">
        <v>0</v>
      </c>
      <c r="Z177" s="12">
        <v>0</v>
      </c>
      <c r="AA177" s="12">
        <v>0</v>
      </c>
      <c r="AB177" s="12">
        <v>0</v>
      </c>
      <c r="AC177" s="12">
        <v>0</v>
      </c>
      <c r="AD177" s="12">
        <v>0</v>
      </c>
      <c r="AE177" s="12">
        <v>0</v>
      </c>
      <c r="AF177" s="12">
        <v>0</v>
      </c>
      <c r="AG177" s="12">
        <v>0</v>
      </c>
      <c r="AH177" s="12">
        <v>0</v>
      </c>
      <c r="AI177" s="12">
        <v>0</v>
      </c>
      <c r="AJ177" s="12">
        <v>0</v>
      </c>
      <c r="AK177" s="12">
        <v>0</v>
      </c>
      <c r="AL177" s="12">
        <v>0</v>
      </c>
      <c r="AM177" s="12">
        <v>0</v>
      </c>
      <c r="AN177" s="12">
        <v>0</v>
      </c>
      <c r="AO177" s="12">
        <v>0</v>
      </c>
      <c r="AP177" s="12">
        <v>0</v>
      </c>
      <c r="AQ177" s="12">
        <v>0</v>
      </c>
      <c r="AR177" s="12">
        <v>0</v>
      </c>
      <c r="AS177" s="12">
        <v>0</v>
      </c>
      <c r="AT177" s="12">
        <v>0</v>
      </c>
      <c r="AU177" s="12">
        <v>0</v>
      </c>
      <c r="AV177" s="12">
        <v>0</v>
      </c>
      <c r="AW177" s="12">
        <v>0</v>
      </c>
      <c r="AX177" s="12">
        <v>0</v>
      </c>
      <c r="AY177" s="12">
        <v>0</v>
      </c>
      <c r="AZ177" s="12">
        <v>0</v>
      </c>
      <c r="BA177" s="12">
        <v>0</v>
      </c>
      <c r="BB177" s="12">
        <v>0</v>
      </c>
      <c r="BC177" s="12">
        <v>0</v>
      </c>
      <c r="BD177" s="12">
        <v>0</v>
      </c>
      <c r="BE177" s="12">
        <v>0</v>
      </c>
      <c r="BF177" s="12">
        <v>0</v>
      </c>
      <c r="BG177" s="75">
        <f t="shared" si="32"/>
        <v>0</v>
      </c>
      <c r="BH177" s="75">
        <f t="shared" si="29"/>
        <v>0</v>
      </c>
      <c r="BI177" s="75">
        <f t="shared" si="30"/>
        <v>0</v>
      </c>
      <c r="BJ177" s="75">
        <f t="shared" si="31"/>
        <v>0</v>
      </c>
    </row>
    <row r="178" spans="2:62" x14ac:dyDescent="0.25">
      <c r="D178" s="7">
        <v>2085</v>
      </c>
      <c r="E178" s="7" t="s">
        <v>433</v>
      </c>
      <c r="F178" s="12">
        <v>0</v>
      </c>
      <c r="G178" s="12">
        <v>0</v>
      </c>
      <c r="H178" s="12">
        <v>0</v>
      </c>
      <c r="I178" s="12">
        <v>0</v>
      </c>
      <c r="J178" s="12">
        <v>0</v>
      </c>
      <c r="K178" s="12">
        <v>2450</v>
      </c>
      <c r="L178" s="12">
        <v>0</v>
      </c>
      <c r="M178" s="12">
        <v>0</v>
      </c>
      <c r="N178" s="12">
        <v>0</v>
      </c>
      <c r="O178" s="12">
        <v>0</v>
      </c>
      <c r="P178" s="12">
        <v>477423.5</v>
      </c>
      <c r="Q178" s="12">
        <v>0</v>
      </c>
      <c r="R178" s="12">
        <v>0</v>
      </c>
      <c r="S178" s="12">
        <v>0</v>
      </c>
      <c r="T178" s="12">
        <v>0</v>
      </c>
      <c r="U178" s="12">
        <v>0</v>
      </c>
      <c r="V178" s="12">
        <v>0</v>
      </c>
      <c r="W178" s="12">
        <v>0</v>
      </c>
      <c r="X178" s="12">
        <v>0</v>
      </c>
      <c r="Y178" s="12">
        <v>0</v>
      </c>
      <c r="Z178" s="12">
        <v>0</v>
      </c>
      <c r="AA178" s="12">
        <v>0</v>
      </c>
      <c r="AB178" s="12">
        <v>0</v>
      </c>
      <c r="AC178" s="12">
        <v>0</v>
      </c>
      <c r="AD178" s="12">
        <v>0</v>
      </c>
      <c r="AE178" s="12">
        <v>0</v>
      </c>
      <c r="AF178" s="12">
        <v>0</v>
      </c>
      <c r="AG178" s="12">
        <v>0</v>
      </c>
      <c r="AH178" s="12">
        <v>0</v>
      </c>
      <c r="AI178" s="12">
        <v>213634.45</v>
      </c>
      <c r="AJ178" s="12">
        <v>0</v>
      </c>
      <c r="AK178" s="12">
        <v>0</v>
      </c>
      <c r="AL178" s="12">
        <v>0</v>
      </c>
      <c r="AM178" s="12">
        <v>0</v>
      </c>
      <c r="AN178" s="12">
        <v>0</v>
      </c>
      <c r="AO178" s="12">
        <v>0</v>
      </c>
      <c r="AP178" s="12">
        <v>0</v>
      </c>
      <c r="AQ178" s="12">
        <v>0</v>
      </c>
      <c r="AR178" s="12">
        <v>0</v>
      </c>
      <c r="AS178" s="12">
        <v>0</v>
      </c>
      <c r="AT178" s="12">
        <v>0</v>
      </c>
      <c r="AU178" s="12">
        <v>0</v>
      </c>
      <c r="AV178" s="12">
        <v>0</v>
      </c>
      <c r="AW178" s="12">
        <v>0</v>
      </c>
      <c r="AX178" s="12">
        <v>0</v>
      </c>
      <c r="AY178" s="12">
        <v>15000</v>
      </c>
      <c r="AZ178" s="12">
        <v>0</v>
      </c>
      <c r="BA178" s="12">
        <v>0</v>
      </c>
      <c r="BB178" s="12">
        <v>0</v>
      </c>
      <c r="BC178" s="12">
        <v>0</v>
      </c>
      <c r="BD178" s="12">
        <v>0</v>
      </c>
      <c r="BE178" s="12">
        <v>0</v>
      </c>
      <c r="BF178" s="12">
        <v>0</v>
      </c>
      <c r="BG178" s="75">
        <f t="shared" si="32"/>
        <v>708507.95</v>
      </c>
      <c r="BH178" s="75">
        <f t="shared" si="29"/>
        <v>479873.5</v>
      </c>
      <c r="BI178" s="75">
        <f t="shared" si="30"/>
        <v>213634.45</v>
      </c>
      <c r="BJ178" s="75">
        <f t="shared" si="31"/>
        <v>15000</v>
      </c>
    </row>
    <row r="179" spans="2:62" x14ac:dyDescent="0.25">
      <c r="D179" s="7">
        <v>2086</v>
      </c>
      <c r="E179" s="7" t="s">
        <v>432</v>
      </c>
      <c r="F179" s="12">
        <v>0</v>
      </c>
      <c r="G179" s="12">
        <v>0</v>
      </c>
      <c r="H179" s="12">
        <v>0</v>
      </c>
      <c r="I179" s="12">
        <v>0</v>
      </c>
      <c r="J179" s="12">
        <v>0</v>
      </c>
      <c r="K179" s="12">
        <v>0</v>
      </c>
      <c r="L179" s="12">
        <v>0</v>
      </c>
      <c r="M179" s="12">
        <v>0</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12">
        <v>0</v>
      </c>
      <c r="AN179" s="12">
        <v>0</v>
      </c>
      <c r="AO179" s="12">
        <v>0</v>
      </c>
      <c r="AP179" s="12">
        <v>0</v>
      </c>
      <c r="AQ179" s="12">
        <v>0</v>
      </c>
      <c r="AR179" s="12">
        <v>0</v>
      </c>
      <c r="AS179" s="12">
        <v>0</v>
      </c>
      <c r="AT179" s="12">
        <v>0</v>
      </c>
      <c r="AU179" s="12">
        <v>0</v>
      </c>
      <c r="AV179" s="12">
        <v>0</v>
      </c>
      <c r="AW179" s="12">
        <v>0</v>
      </c>
      <c r="AX179" s="12">
        <v>0</v>
      </c>
      <c r="AY179" s="12">
        <v>0</v>
      </c>
      <c r="AZ179" s="12">
        <v>0</v>
      </c>
      <c r="BA179" s="12">
        <v>0</v>
      </c>
      <c r="BB179" s="12">
        <v>0</v>
      </c>
      <c r="BC179" s="12">
        <v>0</v>
      </c>
      <c r="BD179" s="12">
        <v>0</v>
      </c>
      <c r="BE179" s="12">
        <v>0</v>
      </c>
      <c r="BF179" s="12">
        <v>0</v>
      </c>
      <c r="BG179" s="75">
        <f t="shared" si="32"/>
        <v>0</v>
      </c>
      <c r="BH179" s="75">
        <f t="shared" si="29"/>
        <v>0</v>
      </c>
      <c r="BI179" s="75">
        <f t="shared" si="30"/>
        <v>0</v>
      </c>
      <c r="BJ179" s="75">
        <f t="shared" si="31"/>
        <v>0</v>
      </c>
    </row>
    <row r="180" spans="2:62" x14ac:dyDescent="0.25">
      <c r="D180" s="7">
        <v>2087</v>
      </c>
      <c r="E180" s="7" t="s">
        <v>434</v>
      </c>
      <c r="F180" s="12">
        <v>0</v>
      </c>
      <c r="G180" s="12">
        <v>0</v>
      </c>
      <c r="H180" s="12">
        <v>0</v>
      </c>
      <c r="I180" s="12">
        <v>0</v>
      </c>
      <c r="J180" s="12">
        <v>0</v>
      </c>
      <c r="K180" s="12">
        <v>0</v>
      </c>
      <c r="L180" s="12">
        <v>0</v>
      </c>
      <c r="M180" s="12">
        <v>0</v>
      </c>
      <c r="N180" s="12">
        <v>0</v>
      </c>
      <c r="O180" s="12">
        <v>0</v>
      </c>
      <c r="P180" s="12">
        <v>0</v>
      </c>
      <c r="Q180" s="12">
        <v>0</v>
      </c>
      <c r="R180" s="12">
        <v>0</v>
      </c>
      <c r="S180" s="12">
        <v>0</v>
      </c>
      <c r="T180" s="12">
        <v>0</v>
      </c>
      <c r="U180" s="12">
        <v>104873.55</v>
      </c>
      <c r="V180" s="12">
        <v>0</v>
      </c>
      <c r="W180" s="12">
        <v>0</v>
      </c>
      <c r="X180" s="12">
        <v>0</v>
      </c>
      <c r="Y180" s="12">
        <v>0</v>
      </c>
      <c r="Z180" s="12">
        <v>0</v>
      </c>
      <c r="AA180" s="12">
        <v>0</v>
      </c>
      <c r="AB180" s="12">
        <v>0</v>
      </c>
      <c r="AC180" s="12">
        <v>0</v>
      </c>
      <c r="AD180" s="12">
        <v>0</v>
      </c>
      <c r="AE180" s="12">
        <v>0</v>
      </c>
      <c r="AF180" s="12">
        <v>0</v>
      </c>
      <c r="AG180" s="12">
        <v>0</v>
      </c>
      <c r="AH180" s="12">
        <v>0</v>
      </c>
      <c r="AI180" s="12">
        <v>0</v>
      </c>
      <c r="AJ180" s="12">
        <v>0</v>
      </c>
      <c r="AK180" s="12">
        <v>0</v>
      </c>
      <c r="AL180" s="12">
        <v>0</v>
      </c>
      <c r="AM180" s="12">
        <v>0</v>
      </c>
      <c r="AN180" s="12">
        <v>0</v>
      </c>
      <c r="AO180" s="12">
        <v>0</v>
      </c>
      <c r="AP180" s="12">
        <v>0</v>
      </c>
      <c r="AQ180" s="12">
        <v>0</v>
      </c>
      <c r="AR180" s="12">
        <v>0</v>
      </c>
      <c r="AS180" s="12">
        <v>0</v>
      </c>
      <c r="AT180" s="12">
        <v>0</v>
      </c>
      <c r="AU180" s="12">
        <v>0</v>
      </c>
      <c r="AV180" s="12">
        <v>0</v>
      </c>
      <c r="AW180" s="12">
        <v>0</v>
      </c>
      <c r="AX180" s="12">
        <v>0</v>
      </c>
      <c r="AY180" s="12">
        <v>0</v>
      </c>
      <c r="AZ180" s="12">
        <v>0</v>
      </c>
      <c r="BA180" s="12">
        <v>0</v>
      </c>
      <c r="BB180" s="12">
        <v>0</v>
      </c>
      <c r="BC180" s="12">
        <v>0</v>
      </c>
      <c r="BD180" s="12">
        <v>0</v>
      </c>
      <c r="BE180" s="12">
        <v>0</v>
      </c>
      <c r="BF180" s="12">
        <v>0</v>
      </c>
      <c r="BG180" s="75">
        <f t="shared" si="32"/>
        <v>104873.55</v>
      </c>
      <c r="BH180" s="75">
        <f t="shared" si="29"/>
        <v>104873.55</v>
      </c>
      <c r="BI180" s="75">
        <f t="shared" si="30"/>
        <v>0</v>
      </c>
      <c r="BJ180" s="75">
        <f t="shared" si="31"/>
        <v>0</v>
      </c>
    </row>
    <row r="181" spans="2:62" x14ac:dyDescent="0.25">
      <c r="D181" s="7">
        <v>2088</v>
      </c>
      <c r="E181" s="7" t="s">
        <v>435</v>
      </c>
      <c r="F181" s="12">
        <v>0</v>
      </c>
      <c r="G181" s="12">
        <v>0</v>
      </c>
      <c r="H181" s="12">
        <v>0</v>
      </c>
      <c r="I181" s="12">
        <v>0</v>
      </c>
      <c r="J181" s="12">
        <v>0</v>
      </c>
      <c r="K181" s="12">
        <v>0</v>
      </c>
      <c r="L181" s="12">
        <v>0</v>
      </c>
      <c r="M181" s="12">
        <v>0</v>
      </c>
      <c r="N181" s="12">
        <v>0</v>
      </c>
      <c r="O181" s="12">
        <v>0</v>
      </c>
      <c r="P181" s="12">
        <v>0</v>
      </c>
      <c r="Q181" s="12">
        <v>0</v>
      </c>
      <c r="R181" s="12">
        <v>0</v>
      </c>
      <c r="S181" s="12">
        <v>0</v>
      </c>
      <c r="T181" s="12">
        <v>0</v>
      </c>
      <c r="U181" s="12">
        <v>0</v>
      </c>
      <c r="V181" s="12">
        <v>0</v>
      </c>
      <c r="W181" s="12">
        <v>0</v>
      </c>
      <c r="X181" s="12">
        <v>0</v>
      </c>
      <c r="Y181" s="12">
        <v>0</v>
      </c>
      <c r="Z181" s="12">
        <v>0</v>
      </c>
      <c r="AA181" s="12">
        <v>0</v>
      </c>
      <c r="AB181" s="12">
        <v>0</v>
      </c>
      <c r="AC181" s="12">
        <v>0</v>
      </c>
      <c r="AD181" s="12">
        <v>0</v>
      </c>
      <c r="AE181" s="12">
        <v>0</v>
      </c>
      <c r="AF181" s="12">
        <v>0</v>
      </c>
      <c r="AG181" s="12">
        <v>0</v>
      </c>
      <c r="AH181" s="12">
        <v>0</v>
      </c>
      <c r="AI181" s="12">
        <v>0</v>
      </c>
      <c r="AJ181" s="12">
        <v>0</v>
      </c>
      <c r="AK181" s="12">
        <v>0</v>
      </c>
      <c r="AL181" s="12">
        <v>0</v>
      </c>
      <c r="AM181" s="12">
        <v>0</v>
      </c>
      <c r="AN181" s="12">
        <v>0</v>
      </c>
      <c r="AO181" s="12">
        <v>0</v>
      </c>
      <c r="AP181" s="12">
        <v>0</v>
      </c>
      <c r="AQ181" s="12">
        <v>0</v>
      </c>
      <c r="AR181" s="12">
        <v>0</v>
      </c>
      <c r="AS181" s="12">
        <v>0</v>
      </c>
      <c r="AT181" s="12">
        <v>0</v>
      </c>
      <c r="AU181" s="12">
        <v>0</v>
      </c>
      <c r="AV181" s="12">
        <v>0</v>
      </c>
      <c r="AW181" s="12">
        <v>0</v>
      </c>
      <c r="AX181" s="12">
        <v>0</v>
      </c>
      <c r="AY181" s="12">
        <v>0</v>
      </c>
      <c r="AZ181" s="12">
        <v>0</v>
      </c>
      <c r="BA181" s="12">
        <v>0</v>
      </c>
      <c r="BB181" s="12">
        <v>0</v>
      </c>
      <c r="BC181" s="12">
        <v>0</v>
      </c>
      <c r="BD181" s="12">
        <v>0</v>
      </c>
      <c r="BE181" s="12">
        <v>0</v>
      </c>
      <c r="BF181" s="12">
        <v>0</v>
      </c>
      <c r="BG181" s="75">
        <f t="shared" si="32"/>
        <v>0</v>
      </c>
      <c r="BH181" s="75">
        <f t="shared" si="29"/>
        <v>0</v>
      </c>
      <c r="BI181" s="75">
        <f t="shared" si="30"/>
        <v>0</v>
      </c>
      <c r="BJ181" s="75">
        <f t="shared" si="31"/>
        <v>0</v>
      </c>
    </row>
    <row r="182" spans="2:62" x14ac:dyDescent="0.25">
      <c r="D182" s="7">
        <v>2089</v>
      </c>
      <c r="E182" s="7" t="s">
        <v>436</v>
      </c>
      <c r="F182" s="12">
        <v>0</v>
      </c>
      <c r="G182" s="12">
        <v>0</v>
      </c>
      <c r="H182" s="12">
        <v>0</v>
      </c>
      <c r="I182" s="12">
        <v>0</v>
      </c>
      <c r="J182" s="12">
        <v>92366.45</v>
      </c>
      <c r="K182" s="12">
        <v>0</v>
      </c>
      <c r="L182" s="12">
        <v>0</v>
      </c>
      <c r="M182" s="12">
        <v>0</v>
      </c>
      <c r="N182" s="12">
        <v>0</v>
      </c>
      <c r="O182" s="12">
        <v>0</v>
      </c>
      <c r="P182" s="12">
        <v>0</v>
      </c>
      <c r="Q182" s="12">
        <v>0</v>
      </c>
      <c r="R182" s="12">
        <v>0</v>
      </c>
      <c r="S182" s="12">
        <v>0</v>
      </c>
      <c r="T182" s="12">
        <v>0</v>
      </c>
      <c r="U182" s="12">
        <v>0</v>
      </c>
      <c r="V182" s="12">
        <v>0</v>
      </c>
      <c r="W182" s="12">
        <v>0</v>
      </c>
      <c r="X182" s="12">
        <v>0</v>
      </c>
      <c r="Y182" s="12">
        <v>0</v>
      </c>
      <c r="Z182" s="12">
        <v>0</v>
      </c>
      <c r="AA182" s="12">
        <v>5000000</v>
      </c>
      <c r="AB182" s="12">
        <v>0</v>
      </c>
      <c r="AC182" s="12">
        <v>0</v>
      </c>
      <c r="AD182" s="12">
        <v>0</v>
      </c>
      <c r="AE182" s="12">
        <v>0</v>
      </c>
      <c r="AF182" s="12">
        <v>0</v>
      </c>
      <c r="AG182" s="12">
        <v>0</v>
      </c>
      <c r="AH182" s="12">
        <v>0</v>
      </c>
      <c r="AI182" s="12">
        <v>0</v>
      </c>
      <c r="AJ182" s="12">
        <v>0</v>
      </c>
      <c r="AK182" s="12">
        <v>0</v>
      </c>
      <c r="AL182" s="12">
        <v>0</v>
      </c>
      <c r="AM182" s="12">
        <v>0</v>
      </c>
      <c r="AN182" s="12">
        <v>0</v>
      </c>
      <c r="AO182" s="12">
        <v>0</v>
      </c>
      <c r="AP182" s="12">
        <v>0</v>
      </c>
      <c r="AQ182" s="12">
        <v>0</v>
      </c>
      <c r="AR182" s="12">
        <v>0</v>
      </c>
      <c r="AS182" s="12">
        <v>0</v>
      </c>
      <c r="AT182" s="12">
        <v>0</v>
      </c>
      <c r="AU182" s="12">
        <v>0</v>
      </c>
      <c r="AV182" s="12">
        <v>0</v>
      </c>
      <c r="AW182" s="12">
        <v>0</v>
      </c>
      <c r="AX182" s="12">
        <v>0</v>
      </c>
      <c r="AY182" s="12">
        <v>0</v>
      </c>
      <c r="AZ182" s="12">
        <v>0</v>
      </c>
      <c r="BA182" s="12">
        <v>0</v>
      </c>
      <c r="BB182" s="12">
        <v>0</v>
      </c>
      <c r="BC182" s="12">
        <v>225000</v>
      </c>
      <c r="BD182" s="12">
        <v>0</v>
      </c>
      <c r="BE182" s="12">
        <v>0</v>
      </c>
      <c r="BF182" s="12">
        <v>0</v>
      </c>
      <c r="BG182" s="75">
        <f t="shared" si="32"/>
        <v>5317366.45</v>
      </c>
      <c r="BH182" s="75">
        <f t="shared" si="29"/>
        <v>92366.45</v>
      </c>
      <c r="BI182" s="75">
        <f t="shared" si="30"/>
        <v>5000000</v>
      </c>
      <c r="BJ182" s="75">
        <f t="shared" si="31"/>
        <v>225000</v>
      </c>
    </row>
    <row r="183" spans="2:62" x14ac:dyDescent="0.25">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75"/>
      <c r="BH183" s="75"/>
      <c r="BI183" s="75"/>
      <c r="BJ183" s="75"/>
    </row>
    <row r="184" spans="2:62" x14ac:dyDescent="0.25">
      <c r="C184" s="111">
        <v>209</v>
      </c>
      <c r="D184" s="111"/>
      <c r="E184" s="111" t="s">
        <v>258</v>
      </c>
      <c r="F184" s="112">
        <f>F185+F186+F187+F188</f>
        <v>76607.7</v>
      </c>
      <c r="G184" s="112">
        <f t="shared" ref="G184:BF184" si="37">G185+G186+G187+G188</f>
        <v>0</v>
      </c>
      <c r="H184" s="112">
        <f t="shared" si="37"/>
        <v>118550.95</v>
      </c>
      <c r="I184" s="112">
        <f t="shared" si="37"/>
        <v>74721.22</v>
      </c>
      <c r="J184" s="112">
        <f t="shared" si="37"/>
        <v>235619.75</v>
      </c>
      <c r="K184" s="112">
        <f t="shared" si="37"/>
        <v>997074</v>
      </c>
      <c r="L184" s="112">
        <f t="shared" si="37"/>
        <v>302400.21999999997</v>
      </c>
      <c r="M184" s="112">
        <f t="shared" si="37"/>
        <v>1859495.5</v>
      </c>
      <c r="N184" s="112">
        <f t="shared" si="37"/>
        <v>22183.35</v>
      </c>
      <c r="O184" s="112">
        <f t="shared" si="37"/>
        <v>261638.88</v>
      </c>
      <c r="P184" s="112">
        <f t="shared" si="37"/>
        <v>752706</v>
      </c>
      <c r="Q184" s="112">
        <f t="shared" si="37"/>
        <v>18411.509999999998</v>
      </c>
      <c r="R184" s="112">
        <f t="shared" si="37"/>
        <v>0</v>
      </c>
      <c r="S184" s="112">
        <f t="shared" si="37"/>
        <v>13261.65</v>
      </c>
      <c r="T184" s="112">
        <f t="shared" si="37"/>
        <v>37218.25</v>
      </c>
      <c r="U184" s="112">
        <f t="shared" si="37"/>
        <v>168425.35</v>
      </c>
      <c r="V184" s="112">
        <f t="shared" si="37"/>
        <v>36715.660000000003</v>
      </c>
      <c r="W184" s="112">
        <f t="shared" si="37"/>
        <v>0</v>
      </c>
      <c r="X184" s="112">
        <f t="shared" si="37"/>
        <v>569048.32999999996</v>
      </c>
      <c r="Y184" s="112">
        <f t="shared" si="37"/>
        <v>0</v>
      </c>
      <c r="Z184" s="112">
        <f t="shared" si="37"/>
        <v>156154.75</v>
      </c>
      <c r="AA184" s="112">
        <f t="shared" si="37"/>
        <v>0</v>
      </c>
      <c r="AB184" s="112">
        <f t="shared" si="37"/>
        <v>0</v>
      </c>
      <c r="AC184" s="112">
        <f t="shared" si="37"/>
        <v>47592.82</v>
      </c>
      <c r="AD184" s="112">
        <f t="shared" si="37"/>
        <v>198580.28</v>
      </c>
      <c r="AE184" s="112">
        <f t="shared" si="37"/>
        <v>0</v>
      </c>
      <c r="AF184" s="112">
        <f t="shared" si="37"/>
        <v>70870.84</v>
      </c>
      <c r="AG184" s="112">
        <f t="shared" si="37"/>
        <v>90632.55</v>
      </c>
      <c r="AH184" s="112">
        <f t="shared" si="37"/>
        <v>515992.7</v>
      </c>
      <c r="AI184" s="112">
        <f t="shared" si="37"/>
        <v>847834.95000000007</v>
      </c>
      <c r="AJ184" s="112">
        <f t="shared" si="37"/>
        <v>39918.25</v>
      </c>
      <c r="AK184" s="112">
        <f t="shared" si="37"/>
        <v>0</v>
      </c>
      <c r="AL184" s="112">
        <f t="shared" si="37"/>
        <v>0</v>
      </c>
      <c r="AM184" s="112">
        <f t="shared" si="37"/>
        <v>0</v>
      </c>
      <c r="AN184" s="112">
        <f t="shared" si="37"/>
        <v>52386.05</v>
      </c>
      <c r="AO184" s="112">
        <f t="shared" si="37"/>
        <v>9000.2999999999993</v>
      </c>
      <c r="AP184" s="112">
        <f t="shared" si="37"/>
        <v>203259.35</v>
      </c>
      <c r="AQ184" s="112">
        <f t="shared" si="37"/>
        <v>0</v>
      </c>
      <c r="AR184" s="112">
        <f t="shared" si="37"/>
        <v>49015.3</v>
      </c>
      <c r="AS184" s="112">
        <f t="shared" si="37"/>
        <v>194521.7</v>
      </c>
      <c r="AT184" s="112">
        <f t="shared" si="37"/>
        <v>8905.6200000000008</v>
      </c>
      <c r="AU184" s="112">
        <f t="shared" si="37"/>
        <v>77503.570000000007</v>
      </c>
      <c r="AV184" s="112">
        <f t="shared" si="37"/>
        <v>12446.55</v>
      </c>
      <c r="AW184" s="112">
        <f t="shared" si="37"/>
        <v>0</v>
      </c>
      <c r="AX184" s="112">
        <f t="shared" si="37"/>
        <v>114108.35</v>
      </c>
      <c r="AY184" s="112">
        <f t="shared" si="37"/>
        <v>154987.65</v>
      </c>
      <c r="AZ184" s="112">
        <f t="shared" si="37"/>
        <v>24006.49</v>
      </c>
      <c r="BA184" s="112">
        <f t="shared" si="37"/>
        <v>64716.65</v>
      </c>
      <c r="BB184" s="112">
        <f t="shared" si="37"/>
        <v>11106.61</v>
      </c>
      <c r="BC184" s="112">
        <f t="shared" si="37"/>
        <v>3144.95</v>
      </c>
      <c r="BD184" s="112">
        <f t="shared" si="37"/>
        <v>0</v>
      </c>
      <c r="BE184" s="112">
        <f t="shared" si="37"/>
        <v>1087694.76</v>
      </c>
      <c r="BF184" s="112">
        <f t="shared" si="37"/>
        <v>0</v>
      </c>
      <c r="BG184" s="112">
        <f t="shared" si="32"/>
        <v>9578459.3599999994</v>
      </c>
      <c r="BH184" s="112">
        <f t="shared" si="29"/>
        <v>5544078.3200000003</v>
      </c>
      <c r="BI184" s="112">
        <f t="shared" si="30"/>
        <v>1967577.1400000001</v>
      </c>
      <c r="BJ184" s="112">
        <f t="shared" si="31"/>
        <v>2066803.9</v>
      </c>
    </row>
    <row r="185" spans="2:62" x14ac:dyDescent="0.25">
      <c r="D185" s="7">
        <v>2090</v>
      </c>
      <c r="E185" s="7" t="s">
        <v>258</v>
      </c>
      <c r="F185" s="12">
        <v>0</v>
      </c>
      <c r="G185" s="12">
        <v>0</v>
      </c>
      <c r="H185" s="12">
        <v>0</v>
      </c>
      <c r="I185" s="12">
        <v>0</v>
      </c>
      <c r="J185" s="12">
        <v>0</v>
      </c>
      <c r="K185" s="12">
        <v>0</v>
      </c>
      <c r="L185" s="12">
        <v>0</v>
      </c>
      <c r="M185" s="12">
        <v>0</v>
      </c>
      <c r="N185" s="12">
        <v>0</v>
      </c>
      <c r="O185" s="12">
        <v>210167.43</v>
      </c>
      <c r="P185" s="12">
        <v>0</v>
      </c>
      <c r="Q185" s="12">
        <v>0</v>
      </c>
      <c r="R185" s="12">
        <v>0</v>
      </c>
      <c r="S185" s="12">
        <v>0</v>
      </c>
      <c r="T185" s="12">
        <v>0</v>
      </c>
      <c r="U185" s="12">
        <v>0</v>
      </c>
      <c r="V185" s="12">
        <v>0</v>
      </c>
      <c r="W185" s="12">
        <v>0</v>
      </c>
      <c r="X185" s="12">
        <v>0</v>
      </c>
      <c r="Y185" s="12">
        <v>0</v>
      </c>
      <c r="Z185" s="12">
        <v>0</v>
      </c>
      <c r="AA185" s="12">
        <v>0</v>
      </c>
      <c r="AB185" s="12">
        <v>0</v>
      </c>
      <c r="AC185" s="12">
        <v>27317.27</v>
      </c>
      <c r="AD185" s="12">
        <v>0</v>
      </c>
      <c r="AE185" s="12">
        <v>0</v>
      </c>
      <c r="AF185" s="12">
        <v>0</v>
      </c>
      <c r="AG185" s="12">
        <v>0</v>
      </c>
      <c r="AH185" s="12">
        <v>0</v>
      </c>
      <c r="AI185" s="12">
        <v>0</v>
      </c>
      <c r="AJ185" s="12">
        <v>0</v>
      </c>
      <c r="AK185" s="12">
        <v>0</v>
      </c>
      <c r="AL185" s="12">
        <v>0</v>
      </c>
      <c r="AM185" s="12">
        <v>0</v>
      </c>
      <c r="AN185" s="12">
        <v>52386.05</v>
      </c>
      <c r="AO185" s="12">
        <v>0</v>
      </c>
      <c r="AP185" s="12">
        <v>0</v>
      </c>
      <c r="AQ185" s="12">
        <v>0</v>
      </c>
      <c r="AR185" s="12">
        <v>0</v>
      </c>
      <c r="AS185" s="12">
        <v>0</v>
      </c>
      <c r="AT185" s="12">
        <v>0</v>
      </c>
      <c r="AU185" s="12">
        <v>0</v>
      </c>
      <c r="AV185" s="12">
        <v>0</v>
      </c>
      <c r="AW185" s="12">
        <v>0</v>
      </c>
      <c r="AX185" s="12">
        <v>0</v>
      </c>
      <c r="AY185" s="12">
        <v>0</v>
      </c>
      <c r="AZ185" s="12">
        <v>0</v>
      </c>
      <c r="BA185" s="12">
        <v>0</v>
      </c>
      <c r="BB185" s="12">
        <v>0</v>
      </c>
      <c r="BC185" s="12">
        <v>0</v>
      </c>
      <c r="BD185" s="12">
        <v>0</v>
      </c>
      <c r="BE185" s="12">
        <v>0</v>
      </c>
      <c r="BF185" s="12">
        <v>0</v>
      </c>
      <c r="BG185" s="75">
        <f t="shared" si="32"/>
        <v>289870.75</v>
      </c>
      <c r="BH185" s="75">
        <f t="shared" si="29"/>
        <v>210167.43</v>
      </c>
      <c r="BI185" s="75">
        <f t="shared" si="30"/>
        <v>27317.27</v>
      </c>
      <c r="BJ185" s="75">
        <f t="shared" si="31"/>
        <v>52386.05</v>
      </c>
    </row>
    <row r="186" spans="2:62" x14ac:dyDescent="0.25">
      <c r="D186" s="7">
        <v>2091</v>
      </c>
      <c r="E186" s="7" t="s">
        <v>437</v>
      </c>
      <c r="F186" s="12">
        <v>76607.7</v>
      </c>
      <c r="G186" s="12">
        <v>0</v>
      </c>
      <c r="H186" s="12">
        <v>118550.95</v>
      </c>
      <c r="I186" s="12">
        <v>74721.22</v>
      </c>
      <c r="J186" s="12">
        <v>235619.75</v>
      </c>
      <c r="K186" s="12">
        <v>0</v>
      </c>
      <c r="L186" s="12">
        <v>302400.21999999997</v>
      </c>
      <c r="M186" s="12">
        <v>1859495.5</v>
      </c>
      <c r="N186" s="12">
        <v>22183.35</v>
      </c>
      <c r="O186" s="12">
        <v>51471.45</v>
      </c>
      <c r="P186" s="12">
        <v>752706</v>
      </c>
      <c r="Q186" s="12">
        <v>18411.509999999998</v>
      </c>
      <c r="R186" s="12">
        <v>0</v>
      </c>
      <c r="S186" s="12">
        <v>13261.65</v>
      </c>
      <c r="T186" s="12">
        <v>37218.25</v>
      </c>
      <c r="U186" s="12">
        <v>168425.35</v>
      </c>
      <c r="V186" s="12">
        <v>36715.660000000003</v>
      </c>
      <c r="W186" s="12">
        <v>0</v>
      </c>
      <c r="X186" s="12">
        <v>569048.32999999996</v>
      </c>
      <c r="Y186" s="12">
        <v>0</v>
      </c>
      <c r="Z186" s="12">
        <v>156154.75</v>
      </c>
      <c r="AA186" s="12">
        <v>0</v>
      </c>
      <c r="AB186" s="12">
        <v>0</v>
      </c>
      <c r="AC186" s="12">
        <v>20275.55</v>
      </c>
      <c r="AD186" s="12">
        <v>198580.28</v>
      </c>
      <c r="AE186" s="12">
        <v>0</v>
      </c>
      <c r="AF186" s="12">
        <v>70870.84</v>
      </c>
      <c r="AG186" s="12">
        <v>90632.55</v>
      </c>
      <c r="AH186" s="12">
        <v>515992.7</v>
      </c>
      <c r="AI186" s="12">
        <v>792112.4</v>
      </c>
      <c r="AJ186" s="12">
        <v>39918.25</v>
      </c>
      <c r="AK186" s="12">
        <v>0</v>
      </c>
      <c r="AL186" s="12">
        <v>0</v>
      </c>
      <c r="AM186" s="12">
        <v>0</v>
      </c>
      <c r="AN186" s="12">
        <v>0</v>
      </c>
      <c r="AO186" s="12">
        <v>9000.2999999999993</v>
      </c>
      <c r="AP186" s="12">
        <v>203259.35</v>
      </c>
      <c r="AQ186" s="12">
        <v>0</v>
      </c>
      <c r="AR186" s="12">
        <v>49015.3</v>
      </c>
      <c r="AS186" s="12">
        <v>194521.7</v>
      </c>
      <c r="AT186" s="12">
        <v>8905.6200000000008</v>
      </c>
      <c r="AU186" s="12">
        <v>77503.570000000007</v>
      </c>
      <c r="AV186" s="12">
        <v>12446.55</v>
      </c>
      <c r="AW186" s="12">
        <v>0</v>
      </c>
      <c r="AX186" s="12">
        <v>114108.35</v>
      </c>
      <c r="AY186" s="12">
        <v>154987.65</v>
      </c>
      <c r="AZ186" s="12">
        <v>24006.49</v>
      </c>
      <c r="BA186" s="12">
        <v>64716.65</v>
      </c>
      <c r="BB186" s="12">
        <v>11106.61</v>
      </c>
      <c r="BC186" s="12">
        <v>3144.95</v>
      </c>
      <c r="BD186" s="12">
        <v>0</v>
      </c>
      <c r="BE186" s="12">
        <v>1087694.76</v>
      </c>
      <c r="BF186" s="12">
        <v>0</v>
      </c>
      <c r="BG186" s="75">
        <f t="shared" si="32"/>
        <v>8235792.0600000005</v>
      </c>
      <c r="BH186" s="75">
        <f t="shared" si="29"/>
        <v>4336836.8899999997</v>
      </c>
      <c r="BI186" s="75">
        <f t="shared" si="30"/>
        <v>1884537.3199999998</v>
      </c>
      <c r="BJ186" s="75">
        <f t="shared" si="31"/>
        <v>2014417.85</v>
      </c>
    </row>
    <row r="187" spans="2:62" x14ac:dyDescent="0.25">
      <c r="D187" s="7">
        <v>2092</v>
      </c>
      <c r="E187" s="7" t="s">
        <v>438</v>
      </c>
      <c r="F187" s="12">
        <v>0</v>
      </c>
      <c r="G187" s="12">
        <v>0</v>
      </c>
      <c r="H187" s="12">
        <v>0</v>
      </c>
      <c r="I187" s="12">
        <v>0</v>
      </c>
      <c r="J187" s="12">
        <v>0</v>
      </c>
      <c r="K187" s="12">
        <v>997074</v>
      </c>
      <c r="L187" s="12">
        <v>0</v>
      </c>
      <c r="M187" s="12">
        <v>0</v>
      </c>
      <c r="N187" s="12">
        <v>0</v>
      </c>
      <c r="O187" s="12">
        <v>0</v>
      </c>
      <c r="P187" s="12">
        <v>0</v>
      </c>
      <c r="Q187" s="12">
        <v>0</v>
      </c>
      <c r="R187" s="12">
        <v>0</v>
      </c>
      <c r="S187" s="12">
        <v>0</v>
      </c>
      <c r="T187" s="12">
        <v>0</v>
      </c>
      <c r="U187" s="12">
        <v>0</v>
      </c>
      <c r="V187" s="12">
        <v>0</v>
      </c>
      <c r="W187" s="12">
        <v>0</v>
      </c>
      <c r="X187" s="12">
        <v>0</v>
      </c>
      <c r="Y187" s="12">
        <v>0</v>
      </c>
      <c r="Z187" s="12">
        <v>0</v>
      </c>
      <c r="AA187" s="12">
        <v>0</v>
      </c>
      <c r="AB187" s="12">
        <v>0</v>
      </c>
      <c r="AC187" s="12">
        <v>0</v>
      </c>
      <c r="AD187" s="12">
        <v>0</v>
      </c>
      <c r="AE187" s="12">
        <v>0</v>
      </c>
      <c r="AF187" s="12">
        <v>0</v>
      </c>
      <c r="AG187" s="12">
        <v>0</v>
      </c>
      <c r="AH187" s="12">
        <v>0</v>
      </c>
      <c r="AI187" s="12">
        <v>0</v>
      </c>
      <c r="AJ187" s="12">
        <v>0</v>
      </c>
      <c r="AK187" s="12">
        <v>0</v>
      </c>
      <c r="AL187" s="12">
        <v>0</v>
      </c>
      <c r="AM187" s="12">
        <v>0</v>
      </c>
      <c r="AN187" s="12">
        <v>0</v>
      </c>
      <c r="AO187" s="12">
        <v>0</v>
      </c>
      <c r="AP187" s="12">
        <v>0</v>
      </c>
      <c r="AQ187" s="12">
        <v>0</v>
      </c>
      <c r="AR187" s="12">
        <v>0</v>
      </c>
      <c r="AS187" s="12">
        <v>0</v>
      </c>
      <c r="AT187" s="12">
        <v>0</v>
      </c>
      <c r="AU187" s="12">
        <v>0</v>
      </c>
      <c r="AV187" s="12">
        <v>0</v>
      </c>
      <c r="AW187" s="12">
        <v>0</v>
      </c>
      <c r="AX187" s="12">
        <v>0</v>
      </c>
      <c r="AY187" s="12">
        <v>0</v>
      </c>
      <c r="AZ187" s="12">
        <v>0</v>
      </c>
      <c r="BA187" s="12">
        <v>0</v>
      </c>
      <c r="BB187" s="12">
        <v>0</v>
      </c>
      <c r="BC187" s="12">
        <v>0</v>
      </c>
      <c r="BD187" s="12">
        <v>0</v>
      </c>
      <c r="BE187" s="12">
        <v>0</v>
      </c>
      <c r="BF187" s="12">
        <v>0</v>
      </c>
      <c r="BG187" s="75">
        <f t="shared" si="32"/>
        <v>997074</v>
      </c>
      <c r="BH187" s="75">
        <f t="shared" si="29"/>
        <v>997074</v>
      </c>
      <c r="BI187" s="75">
        <f t="shared" si="30"/>
        <v>0</v>
      </c>
      <c r="BJ187" s="75">
        <f t="shared" si="31"/>
        <v>0</v>
      </c>
    </row>
    <row r="188" spans="2:62" x14ac:dyDescent="0.25">
      <c r="D188" s="7">
        <v>2093</v>
      </c>
      <c r="E188" s="7" t="s">
        <v>439</v>
      </c>
      <c r="F188" s="12">
        <v>0</v>
      </c>
      <c r="G188" s="12">
        <v>0</v>
      </c>
      <c r="H188" s="12">
        <v>0</v>
      </c>
      <c r="I188" s="12">
        <v>0</v>
      </c>
      <c r="J188" s="12">
        <v>0</v>
      </c>
      <c r="K188" s="12">
        <v>0</v>
      </c>
      <c r="L188" s="12">
        <v>0</v>
      </c>
      <c r="M188" s="12">
        <v>0</v>
      </c>
      <c r="N188" s="12">
        <v>0</v>
      </c>
      <c r="O188" s="12">
        <v>0</v>
      </c>
      <c r="P188" s="12">
        <v>0</v>
      </c>
      <c r="Q188" s="12">
        <v>0</v>
      </c>
      <c r="R188" s="12">
        <v>0</v>
      </c>
      <c r="S188" s="12">
        <v>0</v>
      </c>
      <c r="T188" s="12">
        <v>0</v>
      </c>
      <c r="U188" s="12">
        <v>0</v>
      </c>
      <c r="V188" s="12">
        <v>0</v>
      </c>
      <c r="W188" s="12">
        <v>0</v>
      </c>
      <c r="X188" s="12">
        <v>0</v>
      </c>
      <c r="Y188" s="12">
        <v>0</v>
      </c>
      <c r="Z188" s="12">
        <v>0</v>
      </c>
      <c r="AA188" s="12">
        <v>0</v>
      </c>
      <c r="AB188" s="12">
        <v>0</v>
      </c>
      <c r="AC188" s="12">
        <v>0</v>
      </c>
      <c r="AD188" s="12">
        <v>0</v>
      </c>
      <c r="AE188" s="12">
        <v>0</v>
      </c>
      <c r="AF188" s="12">
        <v>0</v>
      </c>
      <c r="AG188" s="12">
        <v>0</v>
      </c>
      <c r="AH188" s="12">
        <v>0</v>
      </c>
      <c r="AI188" s="12">
        <v>55722.55</v>
      </c>
      <c r="AJ188" s="12">
        <v>0</v>
      </c>
      <c r="AK188" s="12">
        <v>0</v>
      </c>
      <c r="AL188" s="12">
        <v>0</v>
      </c>
      <c r="AM188" s="12">
        <v>0</v>
      </c>
      <c r="AN188" s="12">
        <v>0</v>
      </c>
      <c r="AO188" s="12">
        <v>0</v>
      </c>
      <c r="AP188" s="12">
        <v>0</v>
      </c>
      <c r="AQ188" s="12">
        <v>0</v>
      </c>
      <c r="AR188" s="12">
        <v>0</v>
      </c>
      <c r="AS188" s="12">
        <v>0</v>
      </c>
      <c r="AT188" s="12">
        <v>0</v>
      </c>
      <c r="AU188" s="12">
        <v>0</v>
      </c>
      <c r="AV188" s="12">
        <v>0</v>
      </c>
      <c r="AW188" s="12">
        <v>0</v>
      </c>
      <c r="AX188" s="12">
        <v>0</v>
      </c>
      <c r="AY188" s="12">
        <v>0</v>
      </c>
      <c r="AZ188" s="12">
        <v>0</v>
      </c>
      <c r="BA188" s="12">
        <v>0</v>
      </c>
      <c r="BB188" s="12">
        <v>0</v>
      </c>
      <c r="BC188" s="12">
        <v>0</v>
      </c>
      <c r="BD188" s="12">
        <v>0</v>
      </c>
      <c r="BE188" s="12">
        <v>0</v>
      </c>
      <c r="BF188" s="12">
        <v>0</v>
      </c>
      <c r="BG188" s="75">
        <f t="shared" si="32"/>
        <v>55722.55</v>
      </c>
      <c r="BH188" s="75">
        <f t="shared" si="29"/>
        <v>0</v>
      </c>
      <c r="BI188" s="75">
        <f t="shared" si="30"/>
        <v>55722.55</v>
      </c>
      <c r="BJ188" s="75">
        <f t="shared" si="31"/>
        <v>0</v>
      </c>
    </row>
    <row r="189" spans="2:62" x14ac:dyDescent="0.25">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75"/>
      <c r="BH189" s="75"/>
      <c r="BI189" s="75"/>
      <c r="BJ189" s="75"/>
    </row>
    <row r="190" spans="2:62" x14ac:dyDescent="0.25">
      <c r="B190" s="109">
        <v>29</v>
      </c>
      <c r="C190" s="109"/>
      <c r="D190" s="109"/>
      <c r="E190" s="109" t="s">
        <v>259</v>
      </c>
      <c r="F190" s="110">
        <f>F191+F194+F198+F201+F204+F207+F210+F213+F216</f>
        <v>4963709.7</v>
      </c>
      <c r="G190" s="110">
        <f t="shared" ref="G190:BJ190" si="38">G191+G194+G198+G201+G204+G207+G210+G213+G216</f>
        <v>398894.72</v>
      </c>
      <c r="H190" s="110">
        <f t="shared" si="38"/>
        <v>525024.92999999993</v>
      </c>
      <c r="I190" s="110">
        <f t="shared" si="38"/>
        <v>2423257.35</v>
      </c>
      <c r="J190" s="110">
        <f t="shared" si="38"/>
        <v>11622907.530000001</v>
      </c>
      <c r="K190" s="110">
        <f t="shared" si="38"/>
        <v>7501254.0399999991</v>
      </c>
      <c r="L190" s="110">
        <f t="shared" si="38"/>
        <v>11370665.890000001</v>
      </c>
      <c r="M190" s="110">
        <f t="shared" si="38"/>
        <v>27937841.609999999</v>
      </c>
      <c r="N190" s="110">
        <f t="shared" si="38"/>
        <v>3921536.65</v>
      </c>
      <c r="O190" s="110">
        <f t="shared" si="38"/>
        <v>548519.91999999993</v>
      </c>
      <c r="P190" s="110">
        <f t="shared" si="38"/>
        <v>11716423.159999998</v>
      </c>
      <c r="Q190" s="110">
        <f t="shared" si="38"/>
        <v>919335.78</v>
      </c>
      <c r="R190" s="110">
        <f t="shared" si="38"/>
        <v>265289.2</v>
      </c>
      <c r="S190" s="110">
        <f t="shared" si="38"/>
        <v>798681.29</v>
      </c>
      <c r="T190" s="110">
        <f t="shared" si="38"/>
        <v>1160113.8899999999</v>
      </c>
      <c r="U190" s="110">
        <f t="shared" si="38"/>
        <v>3219844.8899999997</v>
      </c>
      <c r="V190" s="110">
        <f t="shared" si="38"/>
        <v>698344.29</v>
      </c>
      <c r="W190" s="110">
        <f t="shared" si="38"/>
        <v>698481.21000000008</v>
      </c>
      <c r="X190" s="110">
        <f t="shared" si="38"/>
        <v>7013739.5699999994</v>
      </c>
      <c r="Y190" s="110">
        <f t="shared" si="38"/>
        <v>3371166.67</v>
      </c>
      <c r="Z190" s="110">
        <f t="shared" si="38"/>
        <v>4882770.57</v>
      </c>
      <c r="AA190" s="110">
        <f t="shared" si="38"/>
        <v>21475756.16</v>
      </c>
      <c r="AB190" s="110">
        <f t="shared" si="38"/>
        <v>682350.45</v>
      </c>
      <c r="AC190" s="110">
        <f t="shared" si="38"/>
        <v>1641494.28</v>
      </c>
      <c r="AD190" s="110">
        <f t="shared" si="38"/>
        <v>1673525.22</v>
      </c>
      <c r="AE190" s="110">
        <f t="shared" si="38"/>
        <v>1669128.1700000002</v>
      </c>
      <c r="AF190" s="110">
        <f t="shared" si="38"/>
        <v>2624696.7400000002</v>
      </c>
      <c r="AG190" s="110">
        <f t="shared" si="38"/>
        <v>7084644.0800000001</v>
      </c>
      <c r="AH190" s="110">
        <f t="shared" si="38"/>
        <v>10457992.609999999</v>
      </c>
      <c r="AI190" s="110">
        <f t="shared" si="38"/>
        <v>10230371.449999999</v>
      </c>
      <c r="AJ190" s="110">
        <f t="shared" si="38"/>
        <v>2214103.8600000003</v>
      </c>
      <c r="AK190" s="110">
        <f t="shared" si="38"/>
        <v>2223003.4</v>
      </c>
      <c r="AL190" s="110">
        <f t="shared" si="38"/>
        <v>5102330.9000000004</v>
      </c>
      <c r="AM190" s="110">
        <f t="shared" si="38"/>
        <v>6472681.0099999998</v>
      </c>
      <c r="AN190" s="110">
        <f t="shared" si="38"/>
        <v>3486051.8899999997</v>
      </c>
      <c r="AO190" s="110">
        <f t="shared" si="38"/>
        <v>1343757.7799999998</v>
      </c>
      <c r="AP190" s="110">
        <f t="shared" si="38"/>
        <v>22563679.82</v>
      </c>
      <c r="AQ190" s="110">
        <f t="shared" si="38"/>
        <v>2748948.92</v>
      </c>
      <c r="AR190" s="110">
        <f t="shared" si="38"/>
        <v>2407149.2199999997</v>
      </c>
      <c r="AS190" s="110">
        <f t="shared" si="38"/>
        <v>10448357.890000001</v>
      </c>
      <c r="AT190" s="110">
        <f t="shared" si="38"/>
        <v>2075213.03</v>
      </c>
      <c r="AU190" s="110">
        <f t="shared" si="38"/>
        <v>1672452.1800000002</v>
      </c>
      <c r="AV190" s="110">
        <f t="shared" si="38"/>
        <v>3497075.92</v>
      </c>
      <c r="AW190" s="110">
        <f t="shared" si="38"/>
        <v>7739501.2999999998</v>
      </c>
      <c r="AX190" s="110">
        <f t="shared" si="38"/>
        <v>3011868.4200000004</v>
      </c>
      <c r="AY190" s="110">
        <f t="shared" si="38"/>
        <v>602881.56000000006</v>
      </c>
      <c r="AZ190" s="110">
        <f t="shared" si="38"/>
        <v>1484901.52</v>
      </c>
      <c r="BA190" s="110">
        <f t="shared" si="38"/>
        <v>3338169.32</v>
      </c>
      <c r="BB190" s="110">
        <f t="shared" si="38"/>
        <v>3392514.04</v>
      </c>
      <c r="BC190" s="110">
        <f t="shared" si="38"/>
        <v>5235549.2</v>
      </c>
      <c r="BD190" s="110">
        <f t="shared" si="38"/>
        <v>1298842.21</v>
      </c>
      <c r="BE190" s="110">
        <f t="shared" si="38"/>
        <v>11126297.199999999</v>
      </c>
      <c r="BF190" s="110">
        <f t="shared" si="38"/>
        <v>1584742.58</v>
      </c>
      <c r="BG190" s="110">
        <f t="shared" si="38"/>
        <v>268567835.18999994</v>
      </c>
      <c r="BH190" s="110">
        <f t="shared" si="38"/>
        <v>97703865.619999975</v>
      </c>
      <c r="BI190" s="110">
        <f t="shared" si="38"/>
        <v>70231003.659999996</v>
      </c>
      <c r="BJ190" s="110">
        <f t="shared" si="38"/>
        <v>100632965.91</v>
      </c>
    </row>
    <row r="191" spans="2:62" x14ac:dyDescent="0.25">
      <c r="C191" s="111">
        <v>290</v>
      </c>
      <c r="D191" s="111"/>
      <c r="E191" s="111" t="s">
        <v>260</v>
      </c>
      <c r="F191" s="112">
        <f>F192</f>
        <v>2486916.7799999998</v>
      </c>
      <c r="G191" s="112">
        <f t="shared" ref="G191:BF191" si="39">G192</f>
        <v>502335.54</v>
      </c>
      <c r="H191" s="112">
        <f t="shared" si="39"/>
        <v>428506.79</v>
      </c>
      <c r="I191" s="112">
        <f t="shared" si="39"/>
        <v>1234849.21</v>
      </c>
      <c r="J191" s="112">
        <f t="shared" si="39"/>
        <v>5282116.47</v>
      </c>
      <c r="K191" s="112">
        <f t="shared" si="39"/>
        <v>4916563.46</v>
      </c>
      <c r="L191" s="112">
        <f t="shared" si="39"/>
        <v>3268555.95</v>
      </c>
      <c r="M191" s="112">
        <f t="shared" si="39"/>
        <v>25832430.399999999</v>
      </c>
      <c r="N191" s="112">
        <f t="shared" si="39"/>
        <v>1338593.6299999999</v>
      </c>
      <c r="O191" s="112">
        <f t="shared" si="39"/>
        <v>0</v>
      </c>
      <c r="P191" s="112">
        <f t="shared" si="39"/>
        <v>4590811.22</v>
      </c>
      <c r="Q191" s="112">
        <f t="shared" si="39"/>
        <v>651697.52</v>
      </c>
      <c r="R191" s="112">
        <f t="shared" si="39"/>
        <v>187527.57</v>
      </c>
      <c r="S191" s="112">
        <f t="shared" si="39"/>
        <v>410708.06</v>
      </c>
      <c r="T191" s="112">
        <f t="shared" si="39"/>
        <v>1151643.23</v>
      </c>
      <c r="U191" s="112">
        <f t="shared" si="39"/>
        <v>1758801.41</v>
      </c>
      <c r="V191" s="112">
        <f t="shared" si="39"/>
        <v>407572.4</v>
      </c>
      <c r="W191" s="112">
        <f t="shared" si="39"/>
        <v>551934.81000000006</v>
      </c>
      <c r="X191" s="112">
        <f t="shared" si="39"/>
        <v>2751196.76</v>
      </c>
      <c r="Y191" s="112">
        <f t="shared" si="39"/>
        <v>717255.4</v>
      </c>
      <c r="Z191" s="112">
        <f t="shared" si="39"/>
        <v>1104724.19</v>
      </c>
      <c r="AA191" s="112">
        <f t="shared" si="39"/>
        <v>1719542.45</v>
      </c>
      <c r="AB191" s="112">
        <f t="shared" si="39"/>
        <v>253152.14</v>
      </c>
      <c r="AC191" s="112">
        <f t="shared" si="39"/>
        <v>486810.47</v>
      </c>
      <c r="AD191" s="112">
        <f t="shared" si="39"/>
        <v>656335.14</v>
      </c>
      <c r="AE191" s="112">
        <f t="shared" si="39"/>
        <v>520347.19</v>
      </c>
      <c r="AF191" s="112">
        <f t="shared" si="39"/>
        <v>1210713.5</v>
      </c>
      <c r="AG191" s="112">
        <f t="shared" si="39"/>
        <v>2177386.4</v>
      </c>
      <c r="AH191" s="112">
        <f t="shared" si="39"/>
        <v>2888200.63</v>
      </c>
      <c r="AI191" s="112">
        <f t="shared" si="39"/>
        <v>6871133.21</v>
      </c>
      <c r="AJ191" s="112">
        <f t="shared" si="39"/>
        <v>863638.28</v>
      </c>
      <c r="AK191" s="112">
        <f t="shared" si="39"/>
        <v>504687.47</v>
      </c>
      <c r="AL191" s="112">
        <f t="shared" si="39"/>
        <v>1897387.17</v>
      </c>
      <c r="AM191" s="112">
        <f t="shared" si="39"/>
        <v>1258056.05</v>
      </c>
      <c r="AN191" s="112">
        <f t="shared" si="39"/>
        <v>703134</v>
      </c>
      <c r="AO191" s="112">
        <f t="shared" si="39"/>
        <v>313148.09999999998</v>
      </c>
      <c r="AP191" s="112">
        <f t="shared" si="39"/>
        <v>3180167.68</v>
      </c>
      <c r="AQ191" s="112">
        <f t="shared" si="39"/>
        <v>685428.97</v>
      </c>
      <c r="AR191" s="112">
        <f t="shared" si="39"/>
        <v>598274.81999999995</v>
      </c>
      <c r="AS191" s="112">
        <f t="shared" si="39"/>
        <v>1229043.3</v>
      </c>
      <c r="AT191" s="112">
        <f t="shared" si="39"/>
        <v>1524803.51</v>
      </c>
      <c r="AU191" s="112">
        <f t="shared" si="39"/>
        <v>683823.68</v>
      </c>
      <c r="AV191" s="112">
        <f t="shared" si="39"/>
        <v>671629.18</v>
      </c>
      <c r="AW191" s="112">
        <f t="shared" si="39"/>
        <v>1441140.1</v>
      </c>
      <c r="AX191" s="112">
        <f t="shared" si="39"/>
        <v>1136219.1100000001</v>
      </c>
      <c r="AY191" s="112">
        <f t="shared" si="39"/>
        <v>394398.94</v>
      </c>
      <c r="AZ191" s="112">
        <f t="shared" si="39"/>
        <v>1018025.8</v>
      </c>
      <c r="BA191" s="112">
        <f t="shared" si="39"/>
        <v>980340</v>
      </c>
      <c r="BB191" s="112">
        <f t="shared" si="39"/>
        <v>1694106.09</v>
      </c>
      <c r="BC191" s="112">
        <f t="shared" si="39"/>
        <v>1804654.49</v>
      </c>
      <c r="BD191" s="112">
        <f t="shared" si="39"/>
        <v>334557.99</v>
      </c>
      <c r="BE191" s="112">
        <f t="shared" si="39"/>
        <v>9059940.5800000001</v>
      </c>
      <c r="BF191" s="112">
        <f t="shared" si="39"/>
        <v>785472.02</v>
      </c>
      <c r="BG191" s="112">
        <f t="shared" si="32"/>
        <v>109120439.25999996</v>
      </c>
      <c r="BH191" s="112">
        <f t="shared" si="29"/>
        <v>57752761.209999993</v>
      </c>
      <c r="BI191" s="112">
        <f t="shared" si="30"/>
        <v>19973926.470000003</v>
      </c>
      <c r="BJ191" s="112">
        <f t="shared" si="31"/>
        <v>31393751.579999994</v>
      </c>
    </row>
    <row r="192" spans="2:62" x14ac:dyDescent="0.25">
      <c r="D192" s="7">
        <v>2900</v>
      </c>
      <c r="E192" s="7" t="s">
        <v>260</v>
      </c>
      <c r="F192" s="12">
        <v>2486916.7799999998</v>
      </c>
      <c r="G192" s="12">
        <v>502335.54</v>
      </c>
      <c r="H192" s="12">
        <v>428506.79</v>
      </c>
      <c r="I192" s="12">
        <v>1234849.21</v>
      </c>
      <c r="J192" s="12">
        <v>5282116.47</v>
      </c>
      <c r="K192" s="12">
        <v>4916563.46</v>
      </c>
      <c r="L192" s="12">
        <v>3268555.95</v>
      </c>
      <c r="M192" s="12">
        <v>25832430.399999999</v>
      </c>
      <c r="N192" s="12">
        <v>1338593.6299999999</v>
      </c>
      <c r="O192" s="12">
        <v>0</v>
      </c>
      <c r="P192" s="12">
        <v>4590811.22</v>
      </c>
      <c r="Q192" s="12">
        <v>651697.52</v>
      </c>
      <c r="R192" s="12">
        <v>187527.57</v>
      </c>
      <c r="S192" s="12">
        <v>410708.06</v>
      </c>
      <c r="T192" s="12">
        <v>1151643.23</v>
      </c>
      <c r="U192" s="12">
        <v>1758801.41</v>
      </c>
      <c r="V192" s="12">
        <v>407572.4</v>
      </c>
      <c r="W192" s="12">
        <v>551934.81000000006</v>
      </c>
      <c r="X192" s="12">
        <v>2751196.76</v>
      </c>
      <c r="Y192" s="12">
        <v>717255.4</v>
      </c>
      <c r="Z192" s="12">
        <v>1104724.19</v>
      </c>
      <c r="AA192" s="12">
        <v>1719542.45</v>
      </c>
      <c r="AB192" s="12">
        <v>253152.14</v>
      </c>
      <c r="AC192" s="12">
        <v>486810.47</v>
      </c>
      <c r="AD192" s="12">
        <v>656335.14</v>
      </c>
      <c r="AE192" s="12">
        <v>520347.19</v>
      </c>
      <c r="AF192" s="12">
        <v>1210713.5</v>
      </c>
      <c r="AG192" s="12">
        <v>2177386.4</v>
      </c>
      <c r="AH192" s="12">
        <v>2888200.63</v>
      </c>
      <c r="AI192" s="12">
        <v>6871133.21</v>
      </c>
      <c r="AJ192" s="12">
        <v>863638.28</v>
      </c>
      <c r="AK192" s="12">
        <v>504687.47</v>
      </c>
      <c r="AL192" s="12">
        <v>1897387.17</v>
      </c>
      <c r="AM192" s="12">
        <v>1258056.05</v>
      </c>
      <c r="AN192" s="12">
        <v>703134</v>
      </c>
      <c r="AO192" s="12">
        <v>313148.09999999998</v>
      </c>
      <c r="AP192" s="12">
        <v>3180167.68</v>
      </c>
      <c r="AQ192" s="12">
        <v>685428.97</v>
      </c>
      <c r="AR192" s="12">
        <v>598274.81999999995</v>
      </c>
      <c r="AS192" s="12">
        <v>1229043.3</v>
      </c>
      <c r="AT192" s="12">
        <v>1524803.51</v>
      </c>
      <c r="AU192" s="12">
        <v>683823.68</v>
      </c>
      <c r="AV192" s="12">
        <v>671629.18</v>
      </c>
      <c r="AW192" s="12">
        <v>1441140.1</v>
      </c>
      <c r="AX192" s="12">
        <v>1136219.1100000001</v>
      </c>
      <c r="AY192" s="12">
        <v>394398.94</v>
      </c>
      <c r="AZ192" s="12">
        <v>1018025.8</v>
      </c>
      <c r="BA192" s="12">
        <v>980340</v>
      </c>
      <c r="BB192" s="12">
        <v>1694106.09</v>
      </c>
      <c r="BC192" s="12">
        <v>1804654.49</v>
      </c>
      <c r="BD192" s="12">
        <v>334557.99</v>
      </c>
      <c r="BE192" s="12">
        <v>9059940.5800000001</v>
      </c>
      <c r="BF192" s="12">
        <v>785472.02</v>
      </c>
      <c r="BG192" s="75">
        <f t="shared" si="32"/>
        <v>109120439.25999996</v>
      </c>
      <c r="BH192" s="75">
        <f t="shared" si="29"/>
        <v>57752761.209999993</v>
      </c>
      <c r="BI192" s="75">
        <f t="shared" si="30"/>
        <v>19973926.470000003</v>
      </c>
      <c r="BJ192" s="75">
        <f t="shared" si="31"/>
        <v>31393751.579999994</v>
      </c>
    </row>
    <row r="193" spans="3:62" x14ac:dyDescent="0.25">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75"/>
      <c r="BH193" s="75"/>
      <c r="BI193" s="75"/>
      <c r="BJ193" s="75"/>
    </row>
    <row r="194" spans="3:62" x14ac:dyDescent="0.25">
      <c r="C194" s="111">
        <v>291</v>
      </c>
      <c r="D194" s="111"/>
      <c r="E194" s="111" t="s">
        <v>261</v>
      </c>
      <c r="F194" s="112">
        <f>F195+F196</f>
        <v>50793.1</v>
      </c>
      <c r="G194" s="112">
        <f t="shared" ref="G194:BF194" si="40">G195+G196</f>
        <v>0</v>
      </c>
      <c r="H194" s="112">
        <f t="shared" si="40"/>
        <v>0</v>
      </c>
      <c r="I194" s="112">
        <f t="shared" si="40"/>
        <v>0</v>
      </c>
      <c r="J194" s="112">
        <f t="shared" si="40"/>
        <v>0</v>
      </c>
      <c r="K194" s="112">
        <f t="shared" si="40"/>
        <v>0</v>
      </c>
      <c r="L194" s="112">
        <f t="shared" si="40"/>
        <v>0</v>
      </c>
      <c r="M194" s="112">
        <f t="shared" si="40"/>
        <v>0</v>
      </c>
      <c r="N194" s="112">
        <f t="shared" si="40"/>
        <v>0</v>
      </c>
      <c r="O194" s="112">
        <f t="shared" si="40"/>
        <v>0</v>
      </c>
      <c r="P194" s="112">
        <f t="shared" si="40"/>
        <v>269724.81</v>
      </c>
      <c r="Q194" s="112">
        <f t="shared" si="40"/>
        <v>0</v>
      </c>
      <c r="R194" s="112">
        <f t="shared" si="40"/>
        <v>0</v>
      </c>
      <c r="S194" s="112">
        <f t="shared" si="40"/>
        <v>0</v>
      </c>
      <c r="T194" s="112">
        <f t="shared" si="40"/>
        <v>0</v>
      </c>
      <c r="U194" s="112">
        <f t="shared" si="40"/>
        <v>0</v>
      </c>
      <c r="V194" s="112">
        <f t="shared" si="40"/>
        <v>0</v>
      </c>
      <c r="W194" s="112">
        <f t="shared" si="40"/>
        <v>0</v>
      </c>
      <c r="X194" s="112">
        <f t="shared" si="40"/>
        <v>0</v>
      </c>
      <c r="Y194" s="112">
        <f t="shared" si="40"/>
        <v>0</v>
      </c>
      <c r="Z194" s="112">
        <f t="shared" si="40"/>
        <v>0</v>
      </c>
      <c r="AA194" s="112">
        <f t="shared" si="40"/>
        <v>0</v>
      </c>
      <c r="AB194" s="112">
        <f t="shared" si="40"/>
        <v>0</v>
      </c>
      <c r="AC194" s="112">
        <f t="shared" si="40"/>
        <v>20052.07</v>
      </c>
      <c r="AD194" s="112">
        <f t="shared" si="40"/>
        <v>0</v>
      </c>
      <c r="AE194" s="112">
        <f t="shared" si="40"/>
        <v>0</v>
      </c>
      <c r="AF194" s="112">
        <f t="shared" si="40"/>
        <v>17514.75</v>
      </c>
      <c r="AG194" s="112">
        <f t="shared" si="40"/>
        <v>0</v>
      </c>
      <c r="AH194" s="112">
        <f t="shared" si="40"/>
        <v>0</v>
      </c>
      <c r="AI194" s="112">
        <f t="shared" si="40"/>
        <v>0</v>
      </c>
      <c r="AJ194" s="112">
        <f t="shared" si="40"/>
        <v>0</v>
      </c>
      <c r="AK194" s="112">
        <f t="shared" si="40"/>
        <v>101520.35</v>
      </c>
      <c r="AL194" s="112">
        <f t="shared" si="40"/>
        <v>0</v>
      </c>
      <c r="AM194" s="112">
        <f t="shared" si="40"/>
        <v>126822.44</v>
      </c>
      <c r="AN194" s="112">
        <f t="shared" si="40"/>
        <v>0</v>
      </c>
      <c r="AO194" s="112">
        <f t="shared" si="40"/>
        <v>0</v>
      </c>
      <c r="AP194" s="112">
        <f t="shared" si="40"/>
        <v>223365.3</v>
      </c>
      <c r="AQ194" s="112">
        <f t="shared" si="40"/>
        <v>0</v>
      </c>
      <c r="AR194" s="112">
        <f t="shared" si="40"/>
        <v>0</v>
      </c>
      <c r="AS194" s="112">
        <f t="shared" si="40"/>
        <v>0</v>
      </c>
      <c r="AT194" s="112">
        <f t="shared" si="40"/>
        <v>0</v>
      </c>
      <c r="AU194" s="112">
        <f t="shared" si="40"/>
        <v>0</v>
      </c>
      <c r="AV194" s="112">
        <f t="shared" si="40"/>
        <v>0</v>
      </c>
      <c r="AW194" s="112">
        <f t="shared" si="40"/>
        <v>0</v>
      </c>
      <c r="AX194" s="112">
        <f t="shared" si="40"/>
        <v>391060.65</v>
      </c>
      <c r="AY194" s="112">
        <f t="shared" si="40"/>
        <v>0</v>
      </c>
      <c r="AZ194" s="112">
        <f t="shared" si="40"/>
        <v>0</v>
      </c>
      <c r="BA194" s="112">
        <f t="shared" si="40"/>
        <v>0</v>
      </c>
      <c r="BB194" s="112">
        <f t="shared" si="40"/>
        <v>0</v>
      </c>
      <c r="BC194" s="112">
        <f t="shared" si="40"/>
        <v>0</v>
      </c>
      <c r="BD194" s="112">
        <f t="shared" si="40"/>
        <v>0</v>
      </c>
      <c r="BE194" s="112">
        <f t="shared" si="40"/>
        <v>409614.36</v>
      </c>
      <c r="BF194" s="112">
        <f t="shared" si="40"/>
        <v>0</v>
      </c>
      <c r="BG194" s="112">
        <f t="shared" si="32"/>
        <v>1610467.83</v>
      </c>
      <c r="BH194" s="112">
        <f t="shared" si="29"/>
        <v>320517.90999999997</v>
      </c>
      <c r="BI194" s="112">
        <f t="shared" si="30"/>
        <v>139087.17000000001</v>
      </c>
      <c r="BJ194" s="112">
        <f t="shared" si="31"/>
        <v>1150862.75</v>
      </c>
    </row>
    <row r="195" spans="3:62" x14ac:dyDescent="0.25">
      <c r="D195" s="7">
        <v>2910</v>
      </c>
      <c r="E195" s="7" t="s">
        <v>261</v>
      </c>
      <c r="F195" s="12">
        <v>50793.1</v>
      </c>
      <c r="G195" s="12">
        <v>0</v>
      </c>
      <c r="H195" s="12">
        <v>0</v>
      </c>
      <c r="I195" s="12">
        <v>0</v>
      </c>
      <c r="J195" s="12">
        <v>0</v>
      </c>
      <c r="K195" s="12">
        <v>0</v>
      </c>
      <c r="L195" s="12">
        <v>0</v>
      </c>
      <c r="M195" s="12">
        <v>0</v>
      </c>
      <c r="N195" s="12">
        <v>0</v>
      </c>
      <c r="O195" s="12">
        <v>0</v>
      </c>
      <c r="P195" s="12">
        <v>0</v>
      </c>
      <c r="Q195" s="12">
        <v>0</v>
      </c>
      <c r="R195" s="12">
        <v>0</v>
      </c>
      <c r="S195" s="12">
        <v>0</v>
      </c>
      <c r="T195" s="12">
        <v>0</v>
      </c>
      <c r="U195" s="12">
        <v>0</v>
      </c>
      <c r="V195" s="12">
        <v>0</v>
      </c>
      <c r="W195" s="12">
        <v>0</v>
      </c>
      <c r="X195" s="12">
        <v>0</v>
      </c>
      <c r="Y195" s="12">
        <v>0</v>
      </c>
      <c r="Z195" s="12">
        <v>0</v>
      </c>
      <c r="AA195" s="12">
        <v>0</v>
      </c>
      <c r="AB195" s="12">
        <v>0</v>
      </c>
      <c r="AC195" s="12">
        <v>20052.07</v>
      </c>
      <c r="AD195" s="12">
        <v>0</v>
      </c>
      <c r="AE195" s="12">
        <v>0</v>
      </c>
      <c r="AF195" s="12">
        <v>17514.75</v>
      </c>
      <c r="AG195" s="12">
        <v>0</v>
      </c>
      <c r="AH195" s="12">
        <v>0</v>
      </c>
      <c r="AI195" s="12">
        <v>0</v>
      </c>
      <c r="AJ195" s="12">
        <v>0</v>
      </c>
      <c r="AK195" s="12">
        <v>101520.35</v>
      </c>
      <c r="AL195" s="12">
        <v>0</v>
      </c>
      <c r="AM195" s="12">
        <v>126822.44</v>
      </c>
      <c r="AN195" s="12">
        <v>0</v>
      </c>
      <c r="AO195" s="12">
        <v>0</v>
      </c>
      <c r="AP195" s="12">
        <v>223365.3</v>
      </c>
      <c r="AQ195" s="12">
        <v>0</v>
      </c>
      <c r="AR195" s="12">
        <v>0</v>
      </c>
      <c r="AS195" s="12">
        <v>0</v>
      </c>
      <c r="AT195" s="12">
        <v>0</v>
      </c>
      <c r="AU195" s="12">
        <v>0</v>
      </c>
      <c r="AV195" s="12">
        <v>0</v>
      </c>
      <c r="AW195" s="12">
        <v>0</v>
      </c>
      <c r="AX195" s="12">
        <v>391060.65</v>
      </c>
      <c r="AY195" s="12">
        <v>0</v>
      </c>
      <c r="AZ195" s="12">
        <v>0</v>
      </c>
      <c r="BA195" s="12">
        <v>0</v>
      </c>
      <c r="BB195" s="12">
        <v>0</v>
      </c>
      <c r="BC195" s="12">
        <v>0</v>
      </c>
      <c r="BD195" s="12">
        <v>0</v>
      </c>
      <c r="BE195" s="12">
        <v>409614.36</v>
      </c>
      <c r="BF195" s="12">
        <v>0</v>
      </c>
      <c r="BG195" s="75">
        <f t="shared" si="32"/>
        <v>1340743.02</v>
      </c>
      <c r="BH195" s="75">
        <f t="shared" si="29"/>
        <v>50793.1</v>
      </c>
      <c r="BI195" s="75">
        <f t="shared" si="30"/>
        <v>139087.17000000001</v>
      </c>
      <c r="BJ195" s="75">
        <f t="shared" si="31"/>
        <v>1150862.75</v>
      </c>
    </row>
    <row r="196" spans="3:62" x14ac:dyDescent="0.25">
      <c r="D196" s="7">
        <v>2911</v>
      </c>
      <c r="E196" s="7" t="s">
        <v>440</v>
      </c>
      <c r="F196" s="12">
        <v>0</v>
      </c>
      <c r="G196" s="12">
        <v>0</v>
      </c>
      <c r="H196" s="12">
        <v>0</v>
      </c>
      <c r="I196" s="12">
        <v>0</v>
      </c>
      <c r="J196" s="12">
        <v>0</v>
      </c>
      <c r="K196" s="12">
        <v>0</v>
      </c>
      <c r="L196" s="12">
        <v>0</v>
      </c>
      <c r="M196" s="12">
        <v>0</v>
      </c>
      <c r="N196" s="12">
        <v>0</v>
      </c>
      <c r="O196" s="12">
        <v>0</v>
      </c>
      <c r="P196" s="12">
        <v>269724.81</v>
      </c>
      <c r="Q196" s="12">
        <v>0</v>
      </c>
      <c r="R196" s="12">
        <v>0</v>
      </c>
      <c r="S196" s="12">
        <v>0</v>
      </c>
      <c r="T196" s="12">
        <v>0</v>
      </c>
      <c r="U196" s="12">
        <v>0</v>
      </c>
      <c r="V196" s="12">
        <v>0</v>
      </c>
      <c r="W196" s="12">
        <v>0</v>
      </c>
      <c r="X196" s="12">
        <v>0</v>
      </c>
      <c r="Y196" s="12">
        <v>0</v>
      </c>
      <c r="Z196" s="12">
        <v>0</v>
      </c>
      <c r="AA196" s="12">
        <v>0</v>
      </c>
      <c r="AB196" s="12">
        <v>0</v>
      </c>
      <c r="AC196" s="12">
        <v>0</v>
      </c>
      <c r="AD196" s="12">
        <v>0</v>
      </c>
      <c r="AE196" s="12">
        <v>0</v>
      </c>
      <c r="AF196" s="12">
        <v>0</v>
      </c>
      <c r="AG196" s="12">
        <v>0</v>
      </c>
      <c r="AH196" s="12">
        <v>0</v>
      </c>
      <c r="AI196" s="12">
        <v>0</v>
      </c>
      <c r="AJ196" s="12">
        <v>0</v>
      </c>
      <c r="AK196" s="12">
        <v>0</v>
      </c>
      <c r="AL196" s="12">
        <v>0</v>
      </c>
      <c r="AM196" s="12">
        <v>0</v>
      </c>
      <c r="AN196" s="12">
        <v>0</v>
      </c>
      <c r="AO196" s="12">
        <v>0</v>
      </c>
      <c r="AP196" s="12">
        <v>0</v>
      </c>
      <c r="AQ196" s="12">
        <v>0</v>
      </c>
      <c r="AR196" s="12">
        <v>0</v>
      </c>
      <c r="AS196" s="12">
        <v>0</v>
      </c>
      <c r="AT196" s="12">
        <v>0</v>
      </c>
      <c r="AU196" s="12">
        <v>0</v>
      </c>
      <c r="AV196" s="12">
        <v>0</v>
      </c>
      <c r="AW196" s="12">
        <v>0</v>
      </c>
      <c r="AX196" s="12">
        <v>0</v>
      </c>
      <c r="AY196" s="12">
        <v>0</v>
      </c>
      <c r="AZ196" s="12">
        <v>0</v>
      </c>
      <c r="BA196" s="12">
        <v>0</v>
      </c>
      <c r="BB196" s="12">
        <v>0</v>
      </c>
      <c r="BC196" s="12">
        <v>0</v>
      </c>
      <c r="BD196" s="12">
        <v>0</v>
      </c>
      <c r="BE196" s="12">
        <v>0</v>
      </c>
      <c r="BF196" s="12">
        <v>0</v>
      </c>
      <c r="BG196" s="75">
        <f t="shared" si="32"/>
        <v>269724.81</v>
      </c>
      <c r="BH196" s="75">
        <f t="shared" si="29"/>
        <v>269724.81</v>
      </c>
      <c r="BI196" s="75">
        <f t="shared" si="30"/>
        <v>0</v>
      </c>
      <c r="BJ196" s="75">
        <f t="shared" si="31"/>
        <v>0</v>
      </c>
    </row>
    <row r="197" spans="3:62" x14ac:dyDescent="0.25">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75"/>
      <c r="BH197" s="75"/>
      <c r="BI197" s="75"/>
      <c r="BJ197" s="75"/>
    </row>
    <row r="198" spans="3:62" x14ac:dyDescent="0.25">
      <c r="C198" s="111">
        <v>292</v>
      </c>
      <c r="D198" s="111"/>
      <c r="E198" s="111" t="s">
        <v>262</v>
      </c>
      <c r="F198" s="112">
        <f>F199</f>
        <v>0</v>
      </c>
      <c r="G198" s="112">
        <f t="shared" ref="G198:BF198" si="41">G199</f>
        <v>0</v>
      </c>
      <c r="H198" s="112">
        <f t="shared" si="41"/>
        <v>0</v>
      </c>
      <c r="I198" s="112">
        <f t="shared" si="41"/>
        <v>0</v>
      </c>
      <c r="J198" s="112">
        <f t="shared" si="41"/>
        <v>0</v>
      </c>
      <c r="K198" s="112">
        <f t="shared" si="41"/>
        <v>0</v>
      </c>
      <c r="L198" s="112">
        <f t="shared" si="41"/>
        <v>0</v>
      </c>
      <c r="M198" s="112">
        <f t="shared" si="41"/>
        <v>0</v>
      </c>
      <c r="N198" s="112">
        <f t="shared" si="41"/>
        <v>0</v>
      </c>
      <c r="O198" s="112">
        <f t="shared" si="41"/>
        <v>0</v>
      </c>
      <c r="P198" s="112">
        <f t="shared" si="41"/>
        <v>0</v>
      </c>
      <c r="Q198" s="112">
        <f t="shared" si="41"/>
        <v>0</v>
      </c>
      <c r="R198" s="112">
        <f t="shared" si="41"/>
        <v>0</v>
      </c>
      <c r="S198" s="112">
        <f t="shared" si="41"/>
        <v>0</v>
      </c>
      <c r="T198" s="112">
        <f t="shared" si="41"/>
        <v>0</v>
      </c>
      <c r="U198" s="112">
        <f t="shared" si="41"/>
        <v>0</v>
      </c>
      <c r="V198" s="112">
        <f t="shared" si="41"/>
        <v>0</v>
      </c>
      <c r="W198" s="112">
        <f t="shared" si="41"/>
        <v>0</v>
      </c>
      <c r="X198" s="112">
        <f t="shared" si="41"/>
        <v>0</v>
      </c>
      <c r="Y198" s="112">
        <f t="shared" si="41"/>
        <v>0</v>
      </c>
      <c r="Z198" s="112">
        <f t="shared" si="41"/>
        <v>0</v>
      </c>
      <c r="AA198" s="112">
        <f t="shared" si="41"/>
        <v>90000</v>
      </c>
      <c r="AB198" s="112">
        <f t="shared" si="41"/>
        <v>81058.350000000006</v>
      </c>
      <c r="AC198" s="112">
        <f t="shared" si="41"/>
        <v>0</v>
      </c>
      <c r="AD198" s="112">
        <f t="shared" si="41"/>
        <v>0</v>
      </c>
      <c r="AE198" s="112">
        <f t="shared" si="41"/>
        <v>0</v>
      </c>
      <c r="AF198" s="112">
        <f t="shared" si="41"/>
        <v>0</v>
      </c>
      <c r="AG198" s="112">
        <f t="shared" si="41"/>
        <v>0</v>
      </c>
      <c r="AH198" s="112">
        <f t="shared" si="41"/>
        <v>117328.25</v>
      </c>
      <c r="AI198" s="112">
        <f t="shared" si="41"/>
        <v>0</v>
      </c>
      <c r="AJ198" s="112">
        <f t="shared" si="41"/>
        <v>0</v>
      </c>
      <c r="AK198" s="112">
        <f t="shared" si="41"/>
        <v>0</v>
      </c>
      <c r="AL198" s="112">
        <f t="shared" si="41"/>
        <v>0</v>
      </c>
      <c r="AM198" s="112">
        <f t="shared" si="41"/>
        <v>0</v>
      </c>
      <c r="AN198" s="112">
        <f t="shared" si="41"/>
        <v>0</v>
      </c>
      <c r="AO198" s="112">
        <f t="shared" si="41"/>
        <v>0</v>
      </c>
      <c r="AP198" s="112">
        <f t="shared" si="41"/>
        <v>0</v>
      </c>
      <c r="AQ198" s="112">
        <f t="shared" si="41"/>
        <v>0</v>
      </c>
      <c r="AR198" s="112">
        <f t="shared" si="41"/>
        <v>0</v>
      </c>
      <c r="AS198" s="112">
        <f t="shared" si="41"/>
        <v>0</v>
      </c>
      <c r="AT198" s="112">
        <f t="shared" si="41"/>
        <v>0</v>
      </c>
      <c r="AU198" s="112">
        <f t="shared" si="41"/>
        <v>0</v>
      </c>
      <c r="AV198" s="112">
        <f t="shared" si="41"/>
        <v>0</v>
      </c>
      <c r="AW198" s="112">
        <f t="shared" si="41"/>
        <v>0</v>
      </c>
      <c r="AX198" s="112">
        <f t="shared" si="41"/>
        <v>0</v>
      </c>
      <c r="AY198" s="112">
        <f t="shared" si="41"/>
        <v>1820</v>
      </c>
      <c r="AZ198" s="112">
        <f t="shared" si="41"/>
        <v>0</v>
      </c>
      <c r="BA198" s="112">
        <f t="shared" si="41"/>
        <v>0</v>
      </c>
      <c r="BB198" s="112">
        <f t="shared" si="41"/>
        <v>0</v>
      </c>
      <c r="BC198" s="112">
        <f t="shared" si="41"/>
        <v>0</v>
      </c>
      <c r="BD198" s="112">
        <f t="shared" si="41"/>
        <v>0</v>
      </c>
      <c r="BE198" s="112">
        <f t="shared" si="41"/>
        <v>0</v>
      </c>
      <c r="BF198" s="112">
        <f t="shared" si="41"/>
        <v>0</v>
      </c>
      <c r="BG198" s="112">
        <f t="shared" si="32"/>
        <v>290206.59999999998</v>
      </c>
      <c r="BH198" s="112">
        <f t="shared" si="29"/>
        <v>0</v>
      </c>
      <c r="BI198" s="112">
        <f t="shared" si="30"/>
        <v>288386.59999999998</v>
      </c>
      <c r="BJ198" s="112">
        <f t="shared" si="31"/>
        <v>1820</v>
      </c>
    </row>
    <row r="199" spans="3:62" x14ac:dyDescent="0.25">
      <c r="D199" s="7">
        <v>2920</v>
      </c>
      <c r="E199" s="7" t="s">
        <v>262</v>
      </c>
      <c r="F199" s="12">
        <v>0</v>
      </c>
      <c r="G199" s="12">
        <v>0</v>
      </c>
      <c r="H199" s="12">
        <v>0</v>
      </c>
      <c r="I199" s="12">
        <v>0</v>
      </c>
      <c r="J199" s="12">
        <v>0</v>
      </c>
      <c r="K199" s="12">
        <v>0</v>
      </c>
      <c r="L199" s="12">
        <v>0</v>
      </c>
      <c r="M199" s="12">
        <v>0</v>
      </c>
      <c r="N199" s="12">
        <v>0</v>
      </c>
      <c r="O199" s="12">
        <v>0</v>
      </c>
      <c r="P199" s="12">
        <v>0</v>
      </c>
      <c r="Q199" s="12">
        <v>0</v>
      </c>
      <c r="R199" s="12">
        <v>0</v>
      </c>
      <c r="S199" s="12">
        <v>0</v>
      </c>
      <c r="T199" s="12">
        <v>0</v>
      </c>
      <c r="U199" s="12">
        <v>0</v>
      </c>
      <c r="V199" s="12">
        <v>0</v>
      </c>
      <c r="W199" s="12">
        <v>0</v>
      </c>
      <c r="X199" s="12">
        <v>0</v>
      </c>
      <c r="Y199" s="12">
        <v>0</v>
      </c>
      <c r="Z199" s="12">
        <v>0</v>
      </c>
      <c r="AA199" s="12">
        <v>90000</v>
      </c>
      <c r="AB199" s="12">
        <v>81058.350000000006</v>
      </c>
      <c r="AC199" s="12">
        <v>0</v>
      </c>
      <c r="AD199" s="12">
        <v>0</v>
      </c>
      <c r="AE199" s="12">
        <v>0</v>
      </c>
      <c r="AF199" s="12">
        <v>0</v>
      </c>
      <c r="AG199" s="12">
        <v>0</v>
      </c>
      <c r="AH199" s="12">
        <v>117328.25</v>
      </c>
      <c r="AI199" s="12">
        <v>0</v>
      </c>
      <c r="AJ199" s="12">
        <v>0</v>
      </c>
      <c r="AK199" s="12">
        <v>0</v>
      </c>
      <c r="AL199" s="12">
        <v>0</v>
      </c>
      <c r="AM199" s="12">
        <v>0</v>
      </c>
      <c r="AN199" s="12">
        <v>0</v>
      </c>
      <c r="AO199" s="12">
        <v>0</v>
      </c>
      <c r="AP199" s="12">
        <v>0</v>
      </c>
      <c r="AQ199" s="12">
        <v>0</v>
      </c>
      <c r="AR199" s="12">
        <v>0</v>
      </c>
      <c r="AS199" s="12">
        <v>0</v>
      </c>
      <c r="AT199" s="12">
        <v>0</v>
      </c>
      <c r="AU199" s="12">
        <v>0</v>
      </c>
      <c r="AV199" s="12">
        <v>0</v>
      </c>
      <c r="AW199" s="12">
        <v>0</v>
      </c>
      <c r="AX199" s="12">
        <v>0</v>
      </c>
      <c r="AY199" s="12">
        <v>1820</v>
      </c>
      <c r="AZ199" s="12">
        <v>0</v>
      </c>
      <c r="BA199" s="12">
        <v>0</v>
      </c>
      <c r="BB199" s="12">
        <v>0</v>
      </c>
      <c r="BC199" s="12">
        <v>0</v>
      </c>
      <c r="BD199" s="12">
        <v>0</v>
      </c>
      <c r="BE199" s="12">
        <v>0</v>
      </c>
      <c r="BF199" s="12">
        <v>0</v>
      </c>
      <c r="BG199" s="75">
        <f t="shared" si="32"/>
        <v>290206.59999999998</v>
      </c>
      <c r="BH199" s="75">
        <f t="shared" si="29"/>
        <v>0</v>
      </c>
      <c r="BI199" s="75">
        <f t="shared" si="30"/>
        <v>288386.59999999998</v>
      </c>
      <c r="BJ199" s="75">
        <f t="shared" si="31"/>
        <v>1820</v>
      </c>
    </row>
    <row r="200" spans="3:62" x14ac:dyDescent="0.25">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75"/>
      <c r="BH200" s="75"/>
      <c r="BI200" s="75"/>
      <c r="BJ200" s="75"/>
    </row>
    <row r="201" spans="3:62" x14ac:dyDescent="0.25">
      <c r="C201" s="111">
        <v>293</v>
      </c>
      <c r="D201" s="111"/>
      <c r="E201" s="111" t="s">
        <v>263</v>
      </c>
      <c r="F201" s="112">
        <f>F202</f>
        <v>0</v>
      </c>
      <c r="G201" s="112">
        <f t="shared" ref="G201:BF201" si="42">G202</f>
        <v>0</v>
      </c>
      <c r="H201" s="112">
        <f t="shared" si="42"/>
        <v>0</v>
      </c>
      <c r="I201" s="112">
        <f t="shared" si="42"/>
        <v>0</v>
      </c>
      <c r="J201" s="112">
        <f t="shared" si="42"/>
        <v>274799</v>
      </c>
      <c r="K201" s="112">
        <f t="shared" si="42"/>
        <v>0</v>
      </c>
      <c r="L201" s="112">
        <f t="shared" si="42"/>
        <v>0</v>
      </c>
      <c r="M201" s="112">
        <f t="shared" si="42"/>
        <v>4076651</v>
      </c>
      <c r="N201" s="112">
        <f t="shared" si="42"/>
        <v>1089517.56</v>
      </c>
      <c r="O201" s="112">
        <f t="shared" si="42"/>
        <v>0</v>
      </c>
      <c r="P201" s="112">
        <f t="shared" si="42"/>
        <v>3312134.98</v>
      </c>
      <c r="Q201" s="112">
        <f t="shared" si="42"/>
        <v>0</v>
      </c>
      <c r="R201" s="112">
        <f t="shared" si="42"/>
        <v>0</v>
      </c>
      <c r="S201" s="112">
        <f t="shared" si="42"/>
        <v>0</v>
      </c>
      <c r="T201" s="112">
        <f t="shared" si="42"/>
        <v>0</v>
      </c>
      <c r="U201" s="112">
        <f t="shared" si="42"/>
        <v>0</v>
      </c>
      <c r="V201" s="112">
        <f t="shared" si="42"/>
        <v>0</v>
      </c>
      <c r="W201" s="112">
        <f t="shared" si="42"/>
        <v>0</v>
      </c>
      <c r="X201" s="112">
        <f t="shared" si="42"/>
        <v>0</v>
      </c>
      <c r="Y201" s="112">
        <f t="shared" si="42"/>
        <v>0</v>
      </c>
      <c r="Z201" s="112">
        <f t="shared" si="42"/>
        <v>0</v>
      </c>
      <c r="AA201" s="112">
        <f t="shared" si="42"/>
        <v>0</v>
      </c>
      <c r="AB201" s="112">
        <f t="shared" si="42"/>
        <v>0</v>
      </c>
      <c r="AC201" s="112">
        <f t="shared" si="42"/>
        <v>0</v>
      </c>
      <c r="AD201" s="112">
        <f t="shared" si="42"/>
        <v>0</v>
      </c>
      <c r="AE201" s="112">
        <f t="shared" si="42"/>
        <v>0</v>
      </c>
      <c r="AF201" s="112">
        <f t="shared" si="42"/>
        <v>0</v>
      </c>
      <c r="AG201" s="112">
        <f t="shared" si="42"/>
        <v>0</v>
      </c>
      <c r="AH201" s="112">
        <f t="shared" si="42"/>
        <v>0</v>
      </c>
      <c r="AI201" s="112">
        <f t="shared" si="42"/>
        <v>67663.05</v>
      </c>
      <c r="AJ201" s="112">
        <f t="shared" si="42"/>
        <v>0</v>
      </c>
      <c r="AK201" s="112">
        <f t="shared" si="42"/>
        <v>0</v>
      </c>
      <c r="AL201" s="112">
        <f t="shared" si="42"/>
        <v>0</v>
      </c>
      <c r="AM201" s="112">
        <f t="shared" si="42"/>
        <v>0</v>
      </c>
      <c r="AN201" s="112">
        <f t="shared" si="42"/>
        <v>0</v>
      </c>
      <c r="AO201" s="112">
        <f t="shared" si="42"/>
        <v>0</v>
      </c>
      <c r="AP201" s="112">
        <f t="shared" si="42"/>
        <v>8630000</v>
      </c>
      <c r="AQ201" s="112">
        <f t="shared" si="42"/>
        <v>0</v>
      </c>
      <c r="AR201" s="112">
        <f t="shared" si="42"/>
        <v>0</v>
      </c>
      <c r="AS201" s="112">
        <f t="shared" si="42"/>
        <v>138049.29999999999</v>
      </c>
      <c r="AT201" s="112">
        <f t="shared" si="42"/>
        <v>0</v>
      </c>
      <c r="AU201" s="112">
        <f t="shared" si="42"/>
        <v>321583.45</v>
      </c>
      <c r="AV201" s="112">
        <f t="shared" si="42"/>
        <v>0</v>
      </c>
      <c r="AW201" s="112">
        <f t="shared" si="42"/>
        <v>350604</v>
      </c>
      <c r="AX201" s="112">
        <f t="shared" si="42"/>
        <v>0</v>
      </c>
      <c r="AY201" s="112">
        <f t="shared" si="42"/>
        <v>0</v>
      </c>
      <c r="AZ201" s="112">
        <f t="shared" si="42"/>
        <v>0</v>
      </c>
      <c r="BA201" s="112">
        <f t="shared" si="42"/>
        <v>0</v>
      </c>
      <c r="BB201" s="112">
        <f t="shared" si="42"/>
        <v>0</v>
      </c>
      <c r="BC201" s="112">
        <f t="shared" si="42"/>
        <v>0</v>
      </c>
      <c r="BD201" s="112">
        <f t="shared" si="42"/>
        <v>0</v>
      </c>
      <c r="BE201" s="112">
        <f t="shared" si="42"/>
        <v>0</v>
      </c>
      <c r="BF201" s="112">
        <f t="shared" si="42"/>
        <v>0</v>
      </c>
      <c r="BG201" s="112">
        <f t="shared" ref="BG201:BG216" si="43">SUM(F201:BF201)</f>
        <v>18261002.340000004</v>
      </c>
      <c r="BH201" s="112">
        <f t="shared" ref="BH201:BH218" si="44">SUM(F201:X201)</f>
        <v>8753102.540000001</v>
      </c>
      <c r="BI201" s="112">
        <f t="shared" ref="BI201:BI218" si="45">SUM(Y201:AK201)</f>
        <v>67663.05</v>
      </c>
      <c r="BJ201" s="112">
        <f t="shared" ref="BJ201:BJ218" si="46">SUM(AL201:BF201)</f>
        <v>9440236.75</v>
      </c>
    </row>
    <row r="202" spans="3:62" x14ac:dyDescent="0.25">
      <c r="D202" s="7">
        <v>2930</v>
      </c>
      <c r="E202" s="7" t="s">
        <v>263</v>
      </c>
      <c r="F202" s="12">
        <v>0</v>
      </c>
      <c r="G202" s="12">
        <v>0</v>
      </c>
      <c r="H202" s="12">
        <v>0</v>
      </c>
      <c r="I202" s="12">
        <v>0</v>
      </c>
      <c r="J202" s="12">
        <v>274799</v>
      </c>
      <c r="K202" s="12">
        <v>0</v>
      </c>
      <c r="L202" s="12">
        <v>0</v>
      </c>
      <c r="M202" s="12">
        <v>4076651</v>
      </c>
      <c r="N202" s="12">
        <v>1089517.56</v>
      </c>
      <c r="O202" s="12">
        <v>0</v>
      </c>
      <c r="P202" s="12">
        <v>3312134.98</v>
      </c>
      <c r="Q202" s="12">
        <v>0</v>
      </c>
      <c r="R202" s="12">
        <v>0</v>
      </c>
      <c r="S202" s="12">
        <v>0</v>
      </c>
      <c r="T202" s="12">
        <v>0</v>
      </c>
      <c r="U202" s="12">
        <v>0</v>
      </c>
      <c r="V202" s="12">
        <v>0</v>
      </c>
      <c r="W202" s="12">
        <v>0</v>
      </c>
      <c r="X202" s="12">
        <v>0</v>
      </c>
      <c r="Y202" s="12">
        <v>0</v>
      </c>
      <c r="Z202" s="12">
        <v>0</v>
      </c>
      <c r="AA202" s="12">
        <v>0</v>
      </c>
      <c r="AB202" s="12">
        <v>0</v>
      </c>
      <c r="AC202" s="12">
        <v>0</v>
      </c>
      <c r="AD202" s="12">
        <v>0</v>
      </c>
      <c r="AE202" s="12">
        <v>0</v>
      </c>
      <c r="AF202" s="12">
        <v>0</v>
      </c>
      <c r="AG202" s="12">
        <v>0</v>
      </c>
      <c r="AH202" s="12">
        <v>0</v>
      </c>
      <c r="AI202" s="12">
        <v>67663.05</v>
      </c>
      <c r="AJ202" s="12">
        <v>0</v>
      </c>
      <c r="AK202" s="12">
        <v>0</v>
      </c>
      <c r="AL202" s="12">
        <v>0</v>
      </c>
      <c r="AM202" s="12">
        <v>0</v>
      </c>
      <c r="AN202" s="12">
        <v>0</v>
      </c>
      <c r="AO202" s="12">
        <v>0</v>
      </c>
      <c r="AP202" s="12">
        <v>8630000</v>
      </c>
      <c r="AQ202" s="12">
        <v>0</v>
      </c>
      <c r="AR202" s="12">
        <v>0</v>
      </c>
      <c r="AS202" s="12">
        <v>138049.29999999999</v>
      </c>
      <c r="AT202" s="12">
        <v>0</v>
      </c>
      <c r="AU202" s="12">
        <v>321583.45</v>
      </c>
      <c r="AV202" s="12">
        <v>0</v>
      </c>
      <c r="AW202" s="12">
        <v>350604</v>
      </c>
      <c r="AX202" s="12">
        <v>0</v>
      </c>
      <c r="AY202" s="12">
        <v>0</v>
      </c>
      <c r="AZ202" s="12">
        <v>0</v>
      </c>
      <c r="BA202" s="12">
        <v>0</v>
      </c>
      <c r="BB202" s="12">
        <v>0</v>
      </c>
      <c r="BC202" s="12">
        <v>0</v>
      </c>
      <c r="BD202" s="12">
        <v>0</v>
      </c>
      <c r="BE202" s="12">
        <v>0</v>
      </c>
      <c r="BF202" s="12">
        <v>0</v>
      </c>
      <c r="BG202" s="75">
        <f t="shared" si="43"/>
        <v>18261002.340000004</v>
      </c>
      <c r="BH202" s="75">
        <f t="shared" si="44"/>
        <v>8753102.540000001</v>
      </c>
      <c r="BI202" s="75">
        <f t="shared" si="45"/>
        <v>67663.05</v>
      </c>
      <c r="BJ202" s="75">
        <f t="shared" si="46"/>
        <v>9440236.75</v>
      </c>
    </row>
    <row r="203" spans="3:62" x14ac:dyDescent="0.25">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75"/>
      <c r="BH203" s="75"/>
      <c r="BI203" s="75"/>
      <c r="BJ203" s="75"/>
    </row>
    <row r="204" spans="3:62" x14ac:dyDescent="0.25">
      <c r="C204" s="111">
        <v>294</v>
      </c>
      <c r="D204" s="111"/>
      <c r="E204" s="111" t="s">
        <v>264</v>
      </c>
      <c r="F204" s="112">
        <f>F205</f>
        <v>320000</v>
      </c>
      <c r="G204" s="112">
        <f t="shared" ref="G204:BF204" si="47">G205</f>
        <v>0</v>
      </c>
      <c r="H204" s="112">
        <f t="shared" si="47"/>
        <v>52</v>
      </c>
      <c r="I204" s="112">
        <f t="shared" si="47"/>
        <v>184000</v>
      </c>
      <c r="J204" s="112">
        <f t="shared" si="47"/>
        <v>770000</v>
      </c>
      <c r="K204" s="112">
        <f t="shared" si="47"/>
        <v>409640.14</v>
      </c>
      <c r="L204" s="112">
        <f t="shared" si="47"/>
        <v>1102808.3400000001</v>
      </c>
      <c r="M204" s="112">
        <f t="shared" si="47"/>
        <v>650000</v>
      </c>
      <c r="N204" s="112">
        <f t="shared" si="47"/>
        <v>360000</v>
      </c>
      <c r="O204" s="112">
        <f t="shared" si="47"/>
        <v>0</v>
      </c>
      <c r="P204" s="112">
        <f t="shared" si="47"/>
        <v>987900</v>
      </c>
      <c r="Q204" s="112">
        <f t="shared" si="47"/>
        <v>0</v>
      </c>
      <c r="R204" s="112">
        <f t="shared" si="47"/>
        <v>20310.55</v>
      </c>
      <c r="S204" s="112">
        <f t="shared" si="47"/>
        <v>119000</v>
      </c>
      <c r="T204" s="112">
        <f t="shared" si="47"/>
        <v>0</v>
      </c>
      <c r="U204" s="112">
        <f t="shared" si="47"/>
        <v>390714.55</v>
      </c>
      <c r="V204" s="112">
        <f t="shared" si="47"/>
        <v>0</v>
      </c>
      <c r="W204" s="112">
        <f t="shared" si="47"/>
        <v>0</v>
      </c>
      <c r="X204" s="112">
        <f t="shared" si="47"/>
        <v>1804350</v>
      </c>
      <c r="Y204" s="112">
        <f t="shared" si="47"/>
        <v>200000</v>
      </c>
      <c r="Z204" s="112">
        <f t="shared" si="47"/>
        <v>2267.61</v>
      </c>
      <c r="AA204" s="112">
        <f t="shared" si="47"/>
        <v>5500000</v>
      </c>
      <c r="AB204" s="112">
        <f t="shared" si="47"/>
        <v>102430.68</v>
      </c>
      <c r="AC204" s="112">
        <f t="shared" si="47"/>
        <v>35000</v>
      </c>
      <c r="AD204" s="112">
        <f t="shared" si="47"/>
        <v>190000</v>
      </c>
      <c r="AE204" s="112">
        <f t="shared" si="47"/>
        <v>178794.63</v>
      </c>
      <c r="AF204" s="112">
        <f t="shared" si="47"/>
        <v>365000</v>
      </c>
      <c r="AG204" s="112">
        <f t="shared" si="47"/>
        <v>437550.65</v>
      </c>
      <c r="AH204" s="112">
        <f t="shared" si="47"/>
        <v>1166475.8999999999</v>
      </c>
      <c r="AI204" s="112">
        <f t="shared" si="47"/>
        <v>1300000</v>
      </c>
      <c r="AJ204" s="112">
        <f t="shared" si="47"/>
        <v>230000</v>
      </c>
      <c r="AK204" s="112">
        <f t="shared" si="47"/>
        <v>254000</v>
      </c>
      <c r="AL204" s="112">
        <f t="shared" si="47"/>
        <v>2009738.27</v>
      </c>
      <c r="AM204" s="112">
        <f t="shared" si="47"/>
        <v>1656267.99</v>
      </c>
      <c r="AN204" s="112">
        <f t="shared" si="47"/>
        <v>207634.72</v>
      </c>
      <c r="AO204" s="112">
        <f t="shared" si="47"/>
        <v>0</v>
      </c>
      <c r="AP204" s="112">
        <f t="shared" si="47"/>
        <v>1200000</v>
      </c>
      <c r="AQ204" s="112">
        <f t="shared" si="47"/>
        <v>242804.5</v>
      </c>
      <c r="AR204" s="112">
        <f t="shared" si="47"/>
        <v>640000</v>
      </c>
      <c r="AS204" s="112">
        <f t="shared" si="47"/>
        <v>1511500.6</v>
      </c>
      <c r="AT204" s="112">
        <f t="shared" si="47"/>
        <v>275000</v>
      </c>
      <c r="AU204" s="112">
        <f t="shared" si="47"/>
        <v>280000</v>
      </c>
      <c r="AV204" s="112">
        <f t="shared" si="47"/>
        <v>0</v>
      </c>
      <c r="AW204" s="112">
        <f t="shared" si="47"/>
        <v>913910.35</v>
      </c>
      <c r="AX204" s="112">
        <f t="shared" si="47"/>
        <v>830000</v>
      </c>
      <c r="AY204" s="112">
        <f t="shared" si="47"/>
        <v>0</v>
      </c>
      <c r="AZ204" s="112">
        <f t="shared" si="47"/>
        <v>300279.45</v>
      </c>
      <c r="BA204" s="112">
        <f t="shared" si="47"/>
        <v>310000</v>
      </c>
      <c r="BB204" s="112">
        <f t="shared" si="47"/>
        <v>209758.45</v>
      </c>
      <c r="BC204" s="112">
        <f t="shared" si="47"/>
        <v>500000</v>
      </c>
      <c r="BD204" s="112">
        <f t="shared" si="47"/>
        <v>166601.79999999999</v>
      </c>
      <c r="BE204" s="112">
        <f t="shared" si="47"/>
        <v>900000</v>
      </c>
      <c r="BF204" s="112">
        <f t="shared" si="47"/>
        <v>60000</v>
      </c>
      <c r="BG204" s="112">
        <f t="shared" si="43"/>
        <v>29293791.180000003</v>
      </c>
      <c r="BH204" s="112">
        <f t="shared" si="44"/>
        <v>7118775.5800000001</v>
      </c>
      <c r="BI204" s="112">
        <f t="shared" si="45"/>
        <v>9961519.4700000007</v>
      </c>
      <c r="BJ204" s="112">
        <f t="shared" si="46"/>
        <v>12213496.129999999</v>
      </c>
    </row>
    <row r="205" spans="3:62" x14ac:dyDescent="0.25">
      <c r="D205" s="7">
        <v>2940</v>
      </c>
      <c r="E205" s="7" t="s">
        <v>264</v>
      </c>
      <c r="F205" s="12">
        <v>320000</v>
      </c>
      <c r="G205" s="12">
        <v>0</v>
      </c>
      <c r="H205" s="12">
        <v>52</v>
      </c>
      <c r="I205" s="12">
        <v>184000</v>
      </c>
      <c r="J205" s="12">
        <v>770000</v>
      </c>
      <c r="K205" s="12">
        <v>409640.14</v>
      </c>
      <c r="L205" s="12">
        <v>1102808.3400000001</v>
      </c>
      <c r="M205" s="12">
        <v>650000</v>
      </c>
      <c r="N205" s="12">
        <v>360000</v>
      </c>
      <c r="O205" s="12">
        <v>0</v>
      </c>
      <c r="P205" s="12">
        <v>987900</v>
      </c>
      <c r="Q205" s="12">
        <v>0</v>
      </c>
      <c r="R205" s="12">
        <v>20310.55</v>
      </c>
      <c r="S205" s="12">
        <v>119000</v>
      </c>
      <c r="T205" s="12">
        <v>0</v>
      </c>
      <c r="U205" s="12">
        <v>390714.55</v>
      </c>
      <c r="V205" s="12">
        <v>0</v>
      </c>
      <c r="W205" s="12">
        <v>0</v>
      </c>
      <c r="X205" s="12">
        <v>1804350</v>
      </c>
      <c r="Y205" s="12">
        <v>200000</v>
      </c>
      <c r="Z205" s="12">
        <v>2267.61</v>
      </c>
      <c r="AA205" s="12">
        <v>5500000</v>
      </c>
      <c r="AB205" s="12">
        <v>102430.68</v>
      </c>
      <c r="AC205" s="12">
        <v>35000</v>
      </c>
      <c r="AD205" s="12">
        <v>190000</v>
      </c>
      <c r="AE205" s="12">
        <v>178794.63</v>
      </c>
      <c r="AF205" s="12">
        <v>365000</v>
      </c>
      <c r="AG205" s="12">
        <v>437550.65</v>
      </c>
      <c r="AH205" s="12">
        <v>1166475.8999999999</v>
      </c>
      <c r="AI205" s="12">
        <v>1300000</v>
      </c>
      <c r="AJ205" s="12">
        <v>230000</v>
      </c>
      <c r="AK205" s="12">
        <v>254000</v>
      </c>
      <c r="AL205" s="12">
        <v>2009738.27</v>
      </c>
      <c r="AM205" s="12">
        <v>1656267.99</v>
      </c>
      <c r="AN205" s="12">
        <v>207634.72</v>
      </c>
      <c r="AO205" s="12">
        <v>0</v>
      </c>
      <c r="AP205" s="12">
        <v>1200000</v>
      </c>
      <c r="AQ205" s="12">
        <v>242804.5</v>
      </c>
      <c r="AR205" s="12">
        <v>640000</v>
      </c>
      <c r="AS205" s="12">
        <v>1511500.6</v>
      </c>
      <c r="AT205" s="12">
        <v>275000</v>
      </c>
      <c r="AU205" s="12">
        <v>280000</v>
      </c>
      <c r="AV205" s="12">
        <v>0</v>
      </c>
      <c r="AW205" s="12">
        <v>913910.35</v>
      </c>
      <c r="AX205" s="12">
        <v>830000</v>
      </c>
      <c r="AY205" s="12">
        <v>0</v>
      </c>
      <c r="AZ205" s="12">
        <v>300279.45</v>
      </c>
      <c r="BA205" s="12">
        <v>310000</v>
      </c>
      <c r="BB205" s="12">
        <v>209758.45</v>
      </c>
      <c r="BC205" s="12">
        <v>500000</v>
      </c>
      <c r="BD205" s="12">
        <v>166601.79999999999</v>
      </c>
      <c r="BE205" s="12">
        <v>900000</v>
      </c>
      <c r="BF205" s="12">
        <v>60000</v>
      </c>
      <c r="BG205" s="75">
        <f t="shared" si="43"/>
        <v>29293791.180000003</v>
      </c>
      <c r="BH205" s="75">
        <f t="shared" si="44"/>
        <v>7118775.5800000001</v>
      </c>
      <c r="BI205" s="75">
        <f t="shared" si="45"/>
        <v>9961519.4700000007</v>
      </c>
      <c r="BJ205" s="75">
        <f t="shared" si="46"/>
        <v>12213496.129999999</v>
      </c>
    </row>
    <row r="206" spans="3:62" x14ac:dyDescent="0.25">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75"/>
      <c r="BH206" s="75"/>
      <c r="BI206" s="75"/>
      <c r="BJ206" s="75"/>
    </row>
    <row r="207" spans="3:62" x14ac:dyDescent="0.25">
      <c r="C207" s="111">
        <v>295</v>
      </c>
      <c r="D207" s="111"/>
      <c r="E207" s="111" t="s">
        <v>265</v>
      </c>
      <c r="F207" s="112">
        <f>F208</f>
        <v>243069.2</v>
      </c>
      <c r="G207" s="112">
        <f t="shared" ref="G207:BF207" si="48">G208</f>
        <v>0</v>
      </c>
      <c r="H207" s="112">
        <f>H208</f>
        <v>0</v>
      </c>
      <c r="I207" s="112">
        <f t="shared" si="48"/>
        <v>0</v>
      </c>
      <c r="J207" s="112">
        <f t="shared" si="48"/>
        <v>0</v>
      </c>
      <c r="K207" s="112">
        <f t="shared" si="48"/>
        <v>0</v>
      </c>
      <c r="L207" s="112">
        <f t="shared" si="48"/>
        <v>471925.8</v>
      </c>
      <c r="M207" s="112">
        <f t="shared" si="48"/>
        <v>0</v>
      </c>
      <c r="N207" s="112">
        <f t="shared" si="48"/>
        <v>344049.3</v>
      </c>
      <c r="O207" s="112">
        <f t="shared" si="48"/>
        <v>0</v>
      </c>
      <c r="P207" s="112">
        <f t="shared" si="48"/>
        <v>1843840.03</v>
      </c>
      <c r="Q207" s="112">
        <f t="shared" si="48"/>
        <v>0</v>
      </c>
      <c r="R207" s="112">
        <f t="shared" si="48"/>
        <v>0</v>
      </c>
      <c r="S207" s="112">
        <f t="shared" si="48"/>
        <v>0</v>
      </c>
      <c r="T207" s="112">
        <f t="shared" si="48"/>
        <v>0</v>
      </c>
      <c r="U207" s="112">
        <f t="shared" si="48"/>
        <v>0</v>
      </c>
      <c r="V207" s="112">
        <f t="shared" si="48"/>
        <v>12221.05</v>
      </c>
      <c r="W207" s="112">
        <f t="shared" si="48"/>
        <v>0</v>
      </c>
      <c r="X207" s="112">
        <f t="shared" si="48"/>
        <v>477224.3</v>
      </c>
      <c r="Y207" s="112">
        <f t="shared" si="48"/>
        <v>0</v>
      </c>
      <c r="Z207" s="112">
        <f t="shared" si="48"/>
        <v>0</v>
      </c>
      <c r="AA207" s="112">
        <f t="shared" si="48"/>
        <v>0</v>
      </c>
      <c r="AB207" s="112">
        <f t="shared" si="48"/>
        <v>0</v>
      </c>
      <c r="AC207" s="112">
        <f t="shared" si="48"/>
        <v>0</v>
      </c>
      <c r="AD207" s="112">
        <f t="shared" si="48"/>
        <v>0</v>
      </c>
      <c r="AE207" s="112">
        <f t="shared" si="48"/>
        <v>0</v>
      </c>
      <c r="AF207" s="112">
        <f t="shared" si="48"/>
        <v>0</v>
      </c>
      <c r="AG207" s="112">
        <f t="shared" si="48"/>
        <v>0</v>
      </c>
      <c r="AH207" s="112">
        <f t="shared" si="48"/>
        <v>0</v>
      </c>
      <c r="AI207" s="112">
        <f t="shared" si="48"/>
        <v>0</v>
      </c>
      <c r="AJ207" s="112">
        <f t="shared" si="48"/>
        <v>0</v>
      </c>
      <c r="AK207" s="112">
        <f t="shared" si="48"/>
        <v>0</v>
      </c>
      <c r="AL207" s="112">
        <f t="shared" si="48"/>
        <v>0</v>
      </c>
      <c r="AM207" s="112">
        <f t="shared" si="48"/>
        <v>0</v>
      </c>
      <c r="AN207" s="112">
        <f t="shared" si="48"/>
        <v>0</v>
      </c>
      <c r="AO207" s="112">
        <f t="shared" si="48"/>
        <v>0</v>
      </c>
      <c r="AP207" s="112">
        <f t="shared" si="48"/>
        <v>0</v>
      </c>
      <c r="AQ207" s="112">
        <f t="shared" si="48"/>
        <v>32828</v>
      </c>
      <c r="AR207" s="112">
        <f t="shared" si="48"/>
        <v>24512</v>
      </c>
      <c r="AS207" s="112">
        <f t="shared" si="48"/>
        <v>0</v>
      </c>
      <c r="AT207" s="112">
        <f t="shared" si="48"/>
        <v>17321</v>
      </c>
      <c r="AU207" s="112">
        <f t="shared" si="48"/>
        <v>0</v>
      </c>
      <c r="AV207" s="112">
        <f t="shared" si="48"/>
        <v>15120</v>
      </c>
      <c r="AW207" s="112">
        <f t="shared" si="48"/>
        <v>0</v>
      </c>
      <c r="AX207" s="112">
        <f t="shared" si="48"/>
        <v>27435</v>
      </c>
      <c r="AY207" s="112">
        <f t="shared" si="48"/>
        <v>9296</v>
      </c>
      <c r="AZ207" s="112">
        <f t="shared" si="48"/>
        <v>13508</v>
      </c>
      <c r="BA207" s="112">
        <f t="shared" si="48"/>
        <v>70211</v>
      </c>
      <c r="BB207" s="112">
        <f t="shared" si="48"/>
        <v>14019</v>
      </c>
      <c r="BC207" s="112">
        <f t="shared" si="48"/>
        <v>47620</v>
      </c>
      <c r="BD207" s="112">
        <f t="shared" si="48"/>
        <v>10578</v>
      </c>
      <c r="BE207" s="112">
        <f t="shared" si="48"/>
        <v>0</v>
      </c>
      <c r="BF207" s="112">
        <f t="shared" si="48"/>
        <v>0</v>
      </c>
      <c r="BG207" s="112">
        <f t="shared" si="43"/>
        <v>3674777.6799999997</v>
      </c>
      <c r="BH207" s="112">
        <f t="shared" si="44"/>
        <v>3392329.6799999997</v>
      </c>
      <c r="BI207" s="112">
        <f t="shared" si="45"/>
        <v>0</v>
      </c>
      <c r="BJ207" s="112">
        <f t="shared" si="46"/>
        <v>282448</v>
      </c>
    </row>
    <row r="208" spans="3:62" x14ac:dyDescent="0.25">
      <c r="D208" s="7">
        <v>2950</v>
      </c>
      <c r="E208" s="7" t="s">
        <v>265</v>
      </c>
      <c r="F208" s="12">
        <v>243069.2</v>
      </c>
      <c r="G208" s="12">
        <v>0</v>
      </c>
      <c r="H208" s="12">
        <v>0</v>
      </c>
      <c r="I208" s="12">
        <v>0</v>
      </c>
      <c r="J208" s="12">
        <v>0</v>
      </c>
      <c r="K208" s="12">
        <v>0</v>
      </c>
      <c r="L208" s="12">
        <v>471925.8</v>
      </c>
      <c r="M208" s="12">
        <v>0</v>
      </c>
      <c r="N208" s="12">
        <v>344049.3</v>
      </c>
      <c r="O208" s="12">
        <v>0</v>
      </c>
      <c r="P208" s="12">
        <v>1843840.03</v>
      </c>
      <c r="Q208" s="12">
        <v>0</v>
      </c>
      <c r="R208" s="12">
        <v>0</v>
      </c>
      <c r="S208" s="12">
        <v>0</v>
      </c>
      <c r="T208" s="12">
        <v>0</v>
      </c>
      <c r="U208" s="12">
        <v>0</v>
      </c>
      <c r="V208" s="12">
        <v>12221.05</v>
      </c>
      <c r="W208" s="12">
        <v>0</v>
      </c>
      <c r="X208" s="12">
        <v>477224.3</v>
      </c>
      <c r="Y208" s="12">
        <v>0</v>
      </c>
      <c r="Z208" s="12">
        <v>0</v>
      </c>
      <c r="AA208" s="12">
        <v>0</v>
      </c>
      <c r="AB208" s="12">
        <v>0</v>
      </c>
      <c r="AC208" s="12">
        <v>0</v>
      </c>
      <c r="AD208" s="12">
        <v>0</v>
      </c>
      <c r="AE208" s="12">
        <v>0</v>
      </c>
      <c r="AF208" s="12">
        <v>0</v>
      </c>
      <c r="AG208" s="12">
        <v>0</v>
      </c>
      <c r="AH208" s="12">
        <v>0</v>
      </c>
      <c r="AI208" s="12">
        <v>0</v>
      </c>
      <c r="AJ208" s="12">
        <v>0</v>
      </c>
      <c r="AK208" s="12">
        <v>0</v>
      </c>
      <c r="AL208" s="12">
        <v>0</v>
      </c>
      <c r="AM208" s="12">
        <v>0</v>
      </c>
      <c r="AN208" s="12">
        <v>0</v>
      </c>
      <c r="AO208" s="12">
        <v>0</v>
      </c>
      <c r="AP208" s="12">
        <v>0</v>
      </c>
      <c r="AQ208" s="12">
        <v>32828</v>
      </c>
      <c r="AR208" s="12">
        <v>24512</v>
      </c>
      <c r="AS208" s="12">
        <v>0</v>
      </c>
      <c r="AT208" s="12">
        <v>17321</v>
      </c>
      <c r="AU208" s="12">
        <v>0</v>
      </c>
      <c r="AV208" s="12">
        <v>15120</v>
      </c>
      <c r="AW208" s="12">
        <v>0</v>
      </c>
      <c r="AX208" s="12">
        <v>27435</v>
      </c>
      <c r="AY208" s="12">
        <v>9296</v>
      </c>
      <c r="AZ208" s="12">
        <v>13508</v>
      </c>
      <c r="BA208" s="12">
        <v>70211</v>
      </c>
      <c r="BB208" s="12">
        <v>14019</v>
      </c>
      <c r="BC208" s="12">
        <v>47620</v>
      </c>
      <c r="BD208" s="12">
        <v>10578</v>
      </c>
      <c r="BE208" s="12">
        <v>0</v>
      </c>
      <c r="BF208" s="12">
        <v>0</v>
      </c>
      <c r="BG208" s="75">
        <f t="shared" si="43"/>
        <v>3674777.6799999997</v>
      </c>
      <c r="BH208" s="75">
        <f t="shared" si="44"/>
        <v>3392329.6799999997</v>
      </c>
      <c r="BI208" s="75">
        <f t="shared" si="45"/>
        <v>0</v>
      </c>
      <c r="BJ208" s="75">
        <f t="shared" si="46"/>
        <v>282448</v>
      </c>
    </row>
    <row r="209" spans="3:63" x14ac:dyDescent="0.25">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75"/>
      <c r="BH209" s="75"/>
      <c r="BI209" s="75"/>
      <c r="BJ209" s="75"/>
    </row>
    <row r="210" spans="3:63" x14ac:dyDescent="0.25">
      <c r="C210" s="111">
        <v>296</v>
      </c>
      <c r="D210" s="111"/>
      <c r="E210" s="111" t="s">
        <v>266</v>
      </c>
      <c r="F210" s="112">
        <f>F211</f>
        <v>0</v>
      </c>
      <c r="G210" s="112">
        <f t="shared" ref="G210:BF210" si="49">G211</f>
        <v>0</v>
      </c>
      <c r="H210" s="112">
        <f t="shared" si="49"/>
        <v>0</v>
      </c>
      <c r="I210" s="112">
        <f t="shared" si="49"/>
        <v>0</v>
      </c>
      <c r="J210" s="112">
        <f t="shared" si="49"/>
        <v>0</v>
      </c>
      <c r="K210" s="112">
        <f t="shared" si="49"/>
        <v>0</v>
      </c>
      <c r="L210" s="112">
        <f t="shared" si="49"/>
        <v>0</v>
      </c>
      <c r="M210" s="112">
        <f t="shared" si="49"/>
        <v>0</v>
      </c>
      <c r="N210" s="112">
        <f t="shared" si="49"/>
        <v>0</v>
      </c>
      <c r="O210" s="112">
        <f t="shared" si="49"/>
        <v>0</v>
      </c>
      <c r="P210" s="112">
        <f t="shared" si="49"/>
        <v>0</v>
      </c>
      <c r="Q210" s="112">
        <f t="shared" si="49"/>
        <v>-515828.37</v>
      </c>
      <c r="R210" s="112">
        <f t="shared" si="49"/>
        <v>0</v>
      </c>
      <c r="S210" s="112">
        <f t="shared" si="49"/>
        <v>0</v>
      </c>
      <c r="T210" s="112">
        <f t="shared" si="49"/>
        <v>7900</v>
      </c>
      <c r="U210" s="112">
        <f t="shared" si="49"/>
        <v>0</v>
      </c>
      <c r="V210" s="112">
        <f t="shared" si="49"/>
        <v>0</v>
      </c>
      <c r="W210" s="112">
        <f t="shared" si="49"/>
        <v>0</v>
      </c>
      <c r="X210" s="112">
        <f t="shared" si="49"/>
        <v>0</v>
      </c>
      <c r="Y210" s="112">
        <f t="shared" si="49"/>
        <v>0</v>
      </c>
      <c r="Z210" s="112">
        <f t="shared" si="49"/>
        <v>0</v>
      </c>
      <c r="AA210" s="112">
        <f t="shared" si="49"/>
        <v>1104064</v>
      </c>
      <c r="AB210" s="112">
        <f t="shared" si="49"/>
        <v>0</v>
      </c>
      <c r="AC210" s="112">
        <f t="shared" si="49"/>
        <v>0</v>
      </c>
      <c r="AD210" s="112">
        <f t="shared" si="49"/>
        <v>0</v>
      </c>
      <c r="AE210" s="112">
        <f t="shared" si="49"/>
        <v>391410.05</v>
      </c>
      <c r="AF210" s="112">
        <f t="shared" si="49"/>
        <v>0</v>
      </c>
      <c r="AG210" s="112">
        <f t="shared" si="49"/>
        <v>0</v>
      </c>
      <c r="AH210" s="112">
        <f t="shared" si="49"/>
        <v>0</v>
      </c>
      <c r="AI210" s="112">
        <f t="shared" si="49"/>
        <v>0</v>
      </c>
      <c r="AJ210" s="112">
        <f t="shared" si="49"/>
        <v>0</v>
      </c>
      <c r="AK210" s="112">
        <f t="shared" si="49"/>
        <v>0</v>
      </c>
      <c r="AL210" s="112">
        <f t="shared" si="49"/>
        <v>0</v>
      </c>
      <c r="AM210" s="112">
        <f t="shared" si="49"/>
        <v>0</v>
      </c>
      <c r="AN210" s="112">
        <f t="shared" si="49"/>
        <v>0</v>
      </c>
      <c r="AO210" s="112">
        <f t="shared" si="49"/>
        <v>0</v>
      </c>
      <c r="AP210" s="112">
        <f t="shared" si="49"/>
        <v>0</v>
      </c>
      <c r="AQ210" s="112">
        <f t="shared" si="49"/>
        <v>0</v>
      </c>
      <c r="AR210" s="112">
        <f t="shared" si="49"/>
        <v>0</v>
      </c>
      <c r="AS210" s="112">
        <f t="shared" si="49"/>
        <v>0</v>
      </c>
      <c r="AT210" s="112">
        <f t="shared" si="49"/>
        <v>0</v>
      </c>
      <c r="AU210" s="112">
        <f t="shared" si="49"/>
        <v>3679</v>
      </c>
      <c r="AV210" s="112">
        <f t="shared" si="49"/>
        <v>0</v>
      </c>
      <c r="AW210" s="112">
        <f t="shared" si="49"/>
        <v>0</v>
      </c>
      <c r="AX210" s="112">
        <f t="shared" si="49"/>
        <v>0</v>
      </c>
      <c r="AY210" s="112">
        <f t="shared" si="49"/>
        <v>0</v>
      </c>
      <c r="AZ210" s="112">
        <f t="shared" si="49"/>
        <v>0</v>
      </c>
      <c r="BA210" s="112">
        <f t="shared" si="49"/>
        <v>0</v>
      </c>
      <c r="BB210" s="112">
        <f t="shared" si="49"/>
        <v>0</v>
      </c>
      <c r="BC210" s="112">
        <f t="shared" si="49"/>
        <v>0</v>
      </c>
      <c r="BD210" s="112">
        <f t="shared" si="49"/>
        <v>0</v>
      </c>
      <c r="BE210" s="112">
        <f t="shared" si="49"/>
        <v>0</v>
      </c>
      <c r="BF210" s="112">
        <f t="shared" si="49"/>
        <v>0</v>
      </c>
      <c r="BG210" s="112">
        <f t="shared" si="43"/>
        <v>991224.67999999993</v>
      </c>
      <c r="BH210" s="112">
        <f t="shared" si="44"/>
        <v>-507928.37</v>
      </c>
      <c r="BI210" s="112">
        <f t="shared" si="45"/>
        <v>1495474.05</v>
      </c>
      <c r="BJ210" s="112">
        <f t="shared" si="46"/>
        <v>3679</v>
      </c>
    </row>
    <row r="211" spans="3:63" x14ac:dyDescent="0.25">
      <c r="D211" s="7">
        <v>2960</v>
      </c>
      <c r="E211" s="7" t="s">
        <v>266</v>
      </c>
      <c r="F211" s="12">
        <v>0</v>
      </c>
      <c r="G211" s="12">
        <v>0</v>
      </c>
      <c r="H211" s="12">
        <v>0</v>
      </c>
      <c r="I211" s="12">
        <v>0</v>
      </c>
      <c r="J211" s="12">
        <v>0</v>
      </c>
      <c r="K211" s="12">
        <v>0</v>
      </c>
      <c r="L211" s="12">
        <v>0</v>
      </c>
      <c r="M211" s="12">
        <v>0</v>
      </c>
      <c r="N211" s="12">
        <v>0</v>
      </c>
      <c r="O211" s="12">
        <v>0</v>
      </c>
      <c r="P211" s="12">
        <v>0</v>
      </c>
      <c r="Q211" s="12">
        <v>-515828.37</v>
      </c>
      <c r="R211" s="12">
        <v>0</v>
      </c>
      <c r="S211" s="12">
        <v>0</v>
      </c>
      <c r="T211" s="12">
        <v>7900</v>
      </c>
      <c r="U211" s="12">
        <v>0</v>
      </c>
      <c r="V211" s="12">
        <v>0</v>
      </c>
      <c r="W211" s="12">
        <v>0</v>
      </c>
      <c r="X211" s="12">
        <v>0</v>
      </c>
      <c r="Y211" s="12">
        <v>0</v>
      </c>
      <c r="Z211" s="12">
        <v>0</v>
      </c>
      <c r="AA211" s="12">
        <v>1104064</v>
      </c>
      <c r="AB211" s="12">
        <v>0</v>
      </c>
      <c r="AC211" s="12">
        <v>0</v>
      </c>
      <c r="AD211" s="12">
        <v>0</v>
      </c>
      <c r="AE211" s="12">
        <v>391410.05</v>
      </c>
      <c r="AF211" s="12">
        <v>0</v>
      </c>
      <c r="AG211" s="12">
        <v>0</v>
      </c>
      <c r="AH211" s="12">
        <v>0</v>
      </c>
      <c r="AI211" s="12">
        <v>0</v>
      </c>
      <c r="AJ211" s="12">
        <v>0</v>
      </c>
      <c r="AK211" s="12">
        <v>0</v>
      </c>
      <c r="AL211" s="12">
        <v>0</v>
      </c>
      <c r="AM211" s="12">
        <v>0</v>
      </c>
      <c r="AN211" s="12">
        <v>0</v>
      </c>
      <c r="AO211" s="12">
        <v>0</v>
      </c>
      <c r="AP211" s="12">
        <v>0</v>
      </c>
      <c r="AQ211" s="12">
        <v>0</v>
      </c>
      <c r="AR211" s="12">
        <v>0</v>
      </c>
      <c r="AS211" s="12">
        <v>0</v>
      </c>
      <c r="AT211" s="12">
        <v>0</v>
      </c>
      <c r="AU211" s="12">
        <v>3679</v>
      </c>
      <c r="AV211" s="12">
        <v>0</v>
      </c>
      <c r="AW211" s="12">
        <v>0</v>
      </c>
      <c r="AX211" s="12">
        <v>0</v>
      </c>
      <c r="AY211" s="12">
        <v>0</v>
      </c>
      <c r="AZ211" s="12">
        <v>0</v>
      </c>
      <c r="BA211" s="12">
        <v>0</v>
      </c>
      <c r="BB211" s="12">
        <v>0</v>
      </c>
      <c r="BC211" s="12">
        <v>0</v>
      </c>
      <c r="BD211" s="12">
        <v>0</v>
      </c>
      <c r="BE211" s="12">
        <v>0</v>
      </c>
      <c r="BF211" s="12">
        <v>0</v>
      </c>
      <c r="BG211" s="75">
        <f t="shared" si="43"/>
        <v>991224.67999999993</v>
      </c>
      <c r="BH211" s="75">
        <f t="shared" si="44"/>
        <v>-507928.37</v>
      </c>
      <c r="BI211" s="75">
        <f t="shared" si="45"/>
        <v>1495474.05</v>
      </c>
      <c r="BJ211" s="75">
        <f t="shared" si="46"/>
        <v>3679</v>
      </c>
    </row>
    <row r="212" spans="3:63" x14ac:dyDescent="0.25">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75"/>
      <c r="BH212" s="75"/>
      <c r="BI212" s="75"/>
      <c r="BJ212" s="75"/>
    </row>
    <row r="213" spans="3:63" x14ac:dyDescent="0.25">
      <c r="C213" s="111">
        <v>298</v>
      </c>
      <c r="D213" s="111"/>
      <c r="E213" s="111" t="s">
        <v>267</v>
      </c>
      <c r="F213" s="112">
        <f>F214</f>
        <v>0</v>
      </c>
      <c r="G213" s="112">
        <f t="shared" ref="G213:BF213" si="50">G214</f>
        <v>0</v>
      </c>
      <c r="H213" s="112">
        <f t="shared" si="50"/>
        <v>0</v>
      </c>
      <c r="I213" s="112">
        <f t="shared" si="50"/>
        <v>0</v>
      </c>
      <c r="J213" s="112">
        <f t="shared" si="50"/>
        <v>0</v>
      </c>
      <c r="K213" s="112">
        <f t="shared" si="50"/>
        <v>0</v>
      </c>
      <c r="L213" s="112">
        <f t="shared" si="50"/>
        <v>0</v>
      </c>
      <c r="M213" s="112">
        <f t="shared" si="50"/>
        <v>0</v>
      </c>
      <c r="N213" s="112">
        <f t="shared" si="50"/>
        <v>0</v>
      </c>
      <c r="O213" s="112">
        <f t="shared" si="50"/>
        <v>0</v>
      </c>
      <c r="P213" s="112">
        <f t="shared" si="50"/>
        <v>0</v>
      </c>
      <c r="Q213" s="112">
        <f t="shared" si="50"/>
        <v>0</v>
      </c>
      <c r="R213" s="112">
        <f t="shared" si="50"/>
        <v>0</v>
      </c>
      <c r="S213" s="112">
        <f t="shared" si="50"/>
        <v>0</v>
      </c>
      <c r="T213" s="112">
        <f t="shared" si="50"/>
        <v>0</v>
      </c>
      <c r="U213" s="112">
        <f t="shared" si="50"/>
        <v>0</v>
      </c>
      <c r="V213" s="112">
        <f t="shared" si="50"/>
        <v>0</v>
      </c>
      <c r="W213" s="112">
        <f t="shared" si="50"/>
        <v>0</v>
      </c>
      <c r="X213" s="112">
        <f t="shared" si="50"/>
        <v>0</v>
      </c>
      <c r="Y213" s="112">
        <f t="shared" si="50"/>
        <v>0</v>
      </c>
      <c r="Z213" s="112">
        <f t="shared" si="50"/>
        <v>0</v>
      </c>
      <c r="AA213" s="112">
        <f t="shared" si="50"/>
        <v>0</v>
      </c>
      <c r="AB213" s="112">
        <f t="shared" si="50"/>
        <v>0</v>
      </c>
      <c r="AC213" s="112">
        <f t="shared" si="50"/>
        <v>0</v>
      </c>
      <c r="AD213" s="112">
        <f t="shared" si="50"/>
        <v>0</v>
      </c>
      <c r="AE213" s="112">
        <f t="shared" si="50"/>
        <v>0</v>
      </c>
      <c r="AF213" s="112">
        <f t="shared" si="50"/>
        <v>0</v>
      </c>
      <c r="AG213" s="112">
        <f t="shared" si="50"/>
        <v>0</v>
      </c>
      <c r="AH213" s="112">
        <f t="shared" si="50"/>
        <v>0</v>
      </c>
      <c r="AI213" s="112">
        <f t="shared" si="50"/>
        <v>0</v>
      </c>
      <c r="AJ213" s="112">
        <f t="shared" si="50"/>
        <v>0</v>
      </c>
      <c r="AK213" s="112">
        <f t="shared" si="50"/>
        <v>0</v>
      </c>
      <c r="AL213" s="112">
        <f t="shared" si="50"/>
        <v>0</v>
      </c>
      <c r="AM213" s="112">
        <f t="shared" si="50"/>
        <v>0</v>
      </c>
      <c r="AN213" s="112">
        <f t="shared" si="50"/>
        <v>0</v>
      </c>
      <c r="AO213" s="112">
        <f t="shared" si="50"/>
        <v>0</v>
      </c>
      <c r="AP213" s="112">
        <f t="shared" si="50"/>
        <v>0</v>
      </c>
      <c r="AQ213" s="112">
        <f t="shared" si="50"/>
        <v>0</v>
      </c>
      <c r="AR213" s="112">
        <f t="shared" si="50"/>
        <v>0</v>
      </c>
      <c r="AS213" s="112">
        <f t="shared" si="50"/>
        <v>0</v>
      </c>
      <c r="AT213" s="112">
        <f t="shared" si="50"/>
        <v>0</v>
      </c>
      <c r="AU213" s="112">
        <f t="shared" si="50"/>
        <v>0</v>
      </c>
      <c r="AV213" s="112">
        <f t="shared" si="50"/>
        <v>146768.70000000001</v>
      </c>
      <c r="AW213" s="112">
        <f t="shared" si="50"/>
        <v>0</v>
      </c>
      <c r="AX213" s="112">
        <f t="shared" si="50"/>
        <v>0</v>
      </c>
      <c r="AY213" s="112">
        <f t="shared" si="50"/>
        <v>0</v>
      </c>
      <c r="AZ213" s="112">
        <f t="shared" si="50"/>
        <v>0</v>
      </c>
      <c r="BA213" s="112">
        <f t="shared" si="50"/>
        <v>0</v>
      </c>
      <c r="BB213" s="112">
        <f t="shared" si="50"/>
        <v>0</v>
      </c>
      <c r="BC213" s="112">
        <f t="shared" si="50"/>
        <v>0</v>
      </c>
      <c r="BD213" s="112">
        <f t="shared" si="50"/>
        <v>0</v>
      </c>
      <c r="BE213" s="112">
        <f t="shared" si="50"/>
        <v>0</v>
      </c>
      <c r="BF213" s="112">
        <f t="shared" si="50"/>
        <v>0</v>
      </c>
      <c r="BG213" s="112">
        <f t="shared" si="43"/>
        <v>146768.70000000001</v>
      </c>
      <c r="BH213" s="112">
        <f t="shared" si="44"/>
        <v>0</v>
      </c>
      <c r="BI213" s="112">
        <f t="shared" si="45"/>
        <v>0</v>
      </c>
      <c r="BJ213" s="112">
        <f t="shared" si="46"/>
        <v>146768.70000000001</v>
      </c>
    </row>
    <row r="214" spans="3:63" x14ac:dyDescent="0.25">
      <c r="D214" s="7">
        <v>2980</v>
      </c>
      <c r="E214" s="7" t="s">
        <v>267</v>
      </c>
      <c r="F214" s="12">
        <v>0</v>
      </c>
      <c r="G214" s="12">
        <v>0</v>
      </c>
      <c r="H214" s="12">
        <v>0</v>
      </c>
      <c r="I214" s="12">
        <v>0</v>
      </c>
      <c r="J214" s="12">
        <v>0</v>
      </c>
      <c r="K214" s="12">
        <v>0</v>
      </c>
      <c r="L214" s="12">
        <v>0</v>
      </c>
      <c r="M214" s="12">
        <v>0</v>
      </c>
      <c r="N214" s="12">
        <v>0</v>
      </c>
      <c r="O214" s="12">
        <v>0</v>
      </c>
      <c r="P214" s="12">
        <v>0</v>
      </c>
      <c r="Q214" s="12">
        <v>0</v>
      </c>
      <c r="R214" s="12">
        <v>0</v>
      </c>
      <c r="S214" s="12">
        <v>0</v>
      </c>
      <c r="T214" s="12">
        <v>0</v>
      </c>
      <c r="U214" s="12">
        <v>0</v>
      </c>
      <c r="V214" s="12">
        <v>0</v>
      </c>
      <c r="W214" s="12">
        <v>0</v>
      </c>
      <c r="X214" s="12">
        <v>0</v>
      </c>
      <c r="Y214" s="12">
        <v>0</v>
      </c>
      <c r="Z214" s="12">
        <v>0</v>
      </c>
      <c r="AA214" s="12">
        <v>0</v>
      </c>
      <c r="AB214" s="12">
        <v>0</v>
      </c>
      <c r="AC214" s="12">
        <v>0</v>
      </c>
      <c r="AD214" s="12">
        <v>0</v>
      </c>
      <c r="AE214" s="12">
        <v>0</v>
      </c>
      <c r="AF214" s="12">
        <v>0</v>
      </c>
      <c r="AG214" s="12">
        <v>0</v>
      </c>
      <c r="AH214" s="12">
        <v>0</v>
      </c>
      <c r="AI214" s="12">
        <v>0</v>
      </c>
      <c r="AJ214" s="12">
        <v>0</v>
      </c>
      <c r="AK214" s="12">
        <v>0</v>
      </c>
      <c r="AL214" s="12">
        <v>0</v>
      </c>
      <c r="AM214" s="12">
        <v>0</v>
      </c>
      <c r="AN214" s="12">
        <v>0</v>
      </c>
      <c r="AO214" s="12">
        <v>0</v>
      </c>
      <c r="AP214" s="12">
        <v>0</v>
      </c>
      <c r="AQ214" s="12">
        <v>0</v>
      </c>
      <c r="AR214" s="12">
        <v>0</v>
      </c>
      <c r="AS214" s="12">
        <v>0</v>
      </c>
      <c r="AT214" s="12">
        <v>0</v>
      </c>
      <c r="AU214" s="12">
        <v>0</v>
      </c>
      <c r="AV214" s="12">
        <v>146768.70000000001</v>
      </c>
      <c r="AW214" s="12">
        <v>0</v>
      </c>
      <c r="AX214" s="12">
        <v>0</v>
      </c>
      <c r="AY214" s="12">
        <v>0</v>
      </c>
      <c r="AZ214" s="12">
        <v>0</v>
      </c>
      <c r="BA214" s="12">
        <v>0</v>
      </c>
      <c r="BB214" s="12">
        <v>0</v>
      </c>
      <c r="BC214" s="12">
        <v>0</v>
      </c>
      <c r="BD214" s="12">
        <v>0</v>
      </c>
      <c r="BE214" s="12">
        <v>0</v>
      </c>
      <c r="BF214" s="12">
        <v>0</v>
      </c>
      <c r="BG214" s="75">
        <f t="shared" si="43"/>
        <v>146768.70000000001</v>
      </c>
      <c r="BH214" s="75">
        <f t="shared" si="44"/>
        <v>0</v>
      </c>
      <c r="BI214" s="75">
        <f t="shared" si="45"/>
        <v>0</v>
      </c>
      <c r="BJ214" s="75">
        <f t="shared" si="46"/>
        <v>146768.70000000001</v>
      </c>
    </row>
    <row r="215" spans="3:63" x14ac:dyDescent="0.25">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75"/>
      <c r="BH215" s="75"/>
      <c r="BI215" s="75"/>
      <c r="BJ215" s="75"/>
    </row>
    <row r="216" spans="3:63" x14ac:dyDescent="0.25">
      <c r="C216" s="111">
        <v>299</v>
      </c>
      <c r="D216" s="111"/>
      <c r="E216" s="111" t="s">
        <v>441</v>
      </c>
      <c r="F216" s="169">
        <f>F217+F218</f>
        <v>1862930.6199999999</v>
      </c>
      <c r="G216" s="169">
        <f t="shared" ref="G216:BF216" si="51">G217+G218</f>
        <v>-103440.81999999999</v>
      </c>
      <c r="H216" s="169">
        <f t="shared" si="51"/>
        <v>96466.14</v>
      </c>
      <c r="I216" s="169">
        <f t="shared" si="51"/>
        <v>1004408.1400000001</v>
      </c>
      <c r="J216" s="169">
        <f t="shared" si="51"/>
        <v>5295992.0600000005</v>
      </c>
      <c r="K216" s="169">
        <f t="shared" si="51"/>
        <v>2175050.44</v>
      </c>
      <c r="L216" s="169">
        <f t="shared" si="51"/>
        <v>6527375.7999999998</v>
      </c>
      <c r="M216" s="169">
        <f t="shared" si="51"/>
        <v>-2621239.79</v>
      </c>
      <c r="N216" s="169">
        <f t="shared" si="51"/>
        <v>789376.16000000015</v>
      </c>
      <c r="O216" s="169">
        <f t="shared" si="51"/>
        <v>548519.91999999993</v>
      </c>
      <c r="P216" s="169">
        <f t="shared" si="51"/>
        <v>712012.12</v>
      </c>
      <c r="Q216" s="169">
        <f t="shared" si="51"/>
        <v>783466.63</v>
      </c>
      <c r="R216" s="169">
        <f t="shared" si="51"/>
        <v>57451.08</v>
      </c>
      <c r="S216" s="169">
        <f t="shared" si="51"/>
        <v>268973.23</v>
      </c>
      <c r="T216" s="173">
        <f t="shared" si="51"/>
        <v>570.66000000000349</v>
      </c>
      <c r="U216" s="169">
        <f t="shared" si="51"/>
        <v>1070328.93</v>
      </c>
      <c r="V216" s="169">
        <f t="shared" si="51"/>
        <v>278550.84000000003</v>
      </c>
      <c r="W216" s="169">
        <f t="shared" si="51"/>
        <v>146546.4</v>
      </c>
      <c r="X216" s="169">
        <f t="shared" si="51"/>
        <v>1980968.5099999998</v>
      </c>
      <c r="Y216" s="169">
        <f t="shared" si="51"/>
        <v>2453911.27</v>
      </c>
      <c r="Z216" s="169">
        <f t="shared" si="51"/>
        <v>3775778.77</v>
      </c>
      <c r="AA216" s="169">
        <f t="shared" si="51"/>
        <v>13062149.710000001</v>
      </c>
      <c r="AB216" s="169">
        <f t="shared" si="51"/>
        <v>245709.28</v>
      </c>
      <c r="AC216" s="169">
        <f t="shared" si="51"/>
        <v>1099631.74</v>
      </c>
      <c r="AD216" s="169">
        <f t="shared" si="51"/>
        <v>827190.08</v>
      </c>
      <c r="AE216" s="169">
        <f t="shared" si="51"/>
        <v>578576.30000000005</v>
      </c>
      <c r="AF216" s="169">
        <f t="shared" si="51"/>
        <v>1031468.49</v>
      </c>
      <c r="AG216" s="169">
        <f t="shared" si="51"/>
        <v>4469707.03</v>
      </c>
      <c r="AH216" s="169">
        <f t="shared" si="51"/>
        <v>6285987.8300000001</v>
      </c>
      <c r="AI216" s="169">
        <f t="shared" si="51"/>
        <v>1991575.19</v>
      </c>
      <c r="AJ216" s="169">
        <f t="shared" si="51"/>
        <v>1120465.58</v>
      </c>
      <c r="AK216" s="169">
        <f t="shared" si="51"/>
        <v>1362795.58</v>
      </c>
      <c r="AL216" s="169">
        <f t="shared" si="51"/>
        <v>1195205.46</v>
      </c>
      <c r="AM216" s="169">
        <f t="shared" si="51"/>
        <v>3431534.5300000003</v>
      </c>
      <c r="AN216" s="169">
        <f t="shared" si="51"/>
        <v>2575283.17</v>
      </c>
      <c r="AO216" s="169">
        <f t="shared" si="51"/>
        <v>1030609.6799999999</v>
      </c>
      <c r="AP216" s="169">
        <f t="shared" si="51"/>
        <v>9330146.8399999999</v>
      </c>
      <c r="AQ216" s="169">
        <f t="shared" si="51"/>
        <v>1787887.45</v>
      </c>
      <c r="AR216" s="169">
        <f t="shared" si="51"/>
        <v>1144362.3999999999</v>
      </c>
      <c r="AS216" s="169">
        <f t="shared" si="51"/>
        <v>7569764.6900000004</v>
      </c>
      <c r="AT216" s="169">
        <f t="shared" si="51"/>
        <v>258088.52000000002</v>
      </c>
      <c r="AU216" s="169">
        <f t="shared" si="51"/>
        <v>383366.05000000005</v>
      </c>
      <c r="AV216" s="169">
        <f t="shared" si="51"/>
        <v>2663558.04</v>
      </c>
      <c r="AW216" s="169">
        <f t="shared" si="51"/>
        <v>5033846.8499999996</v>
      </c>
      <c r="AX216" s="169">
        <f t="shared" si="51"/>
        <v>627153.66</v>
      </c>
      <c r="AY216" s="169">
        <f t="shared" si="51"/>
        <v>197366.62</v>
      </c>
      <c r="AZ216" s="169">
        <f t="shared" si="51"/>
        <v>153088.26999999999</v>
      </c>
      <c r="BA216" s="169">
        <f t="shared" si="51"/>
        <v>1977618.3199999998</v>
      </c>
      <c r="BB216" s="169">
        <f t="shared" si="51"/>
        <v>1474630.5</v>
      </c>
      <c r="BC216" s="169">
        <f t="shared" si="51"/>
        <v>2883274.71</v>
      </c>
      <c r="BD216" s="169">
        <f t="shared" si="51"/>
        <v>787104.42</v>
      </c>
      <c r="BE216" s="169">
        <f t="shared" si="51"/>
        <v>756742.26</v>
      </c>
      <c r="BF216" s="169">
        <f t="shared" si="51"/>
        <v>739270.56</v>
      </c>
      <c r="BG216" s="169">
        <f t="shared" si="43"/>
        <v>105179156.91999999</v>
      </c>
      <c r="BH216" s="169">
        <f t="shared" si="44"/>
        <v>20874307.069999993</v>
      </c>
      <c r="BI216" s="169">
        <f t="shared" si="45"/>
        <v>38304946.849999994</v>
      </c>
      <c r="BJ216" s="169">
        <f t="shared" si="46"/>
        <v>45999903</v>
      </c>
    </row>
    <row r="217" spans="3:63" x14ac:dyDescent="0.25">
      <c r="D217" s="7">
        <v>2990</v>
      </c>
      <c r="E217" s="7" t="s">
        <v>441</v>
      </c>
      <c r="F217" s="15">
        <v>-206117.81</v>
      </c>
      <c r="G217" s="15">
        <v>-230931.74</v>
      </c>
      <c r="H217" s="15">
        <v>124532.09</v>
      </c>
      <c r="I217" s="15">
        <v>-114135.93</v>
      </c>
      <c r="J217" s="15">
        <v>7190.95</v>
      </c>
      <c r="K217" s="15">
        <v>0</v>
      </c>
      <c r="L217" s="15">
        <v>23773.27</v>
      </c>
      <c r="M217" s="15">
        <v>-3253493.74</v>
      </c>
      <c r="N217" s="15">
        <v>-288991.67</v>
      </c>
      <c r="O217" s="15">
        <v>5101.07</v>
      </c>
      <c r="P217" s="15">
        <v>383432.05</v>
      </c>
      <c r="Q217" s="15">
        <v>-81058.97</v>
      </c>
      <c r="R217" s="15">
        <v>1958.96</v>
      </c>
      <c r="S217" s="15">
        <v>-32883.71</v>
      </c>
      <c r="T217" s="15">
        <v>137834.76999999999</v>
      </c>
      <c r="U217" s="15">
        <v>100618.68</v>
      </c>
      <c r="V217" s="15">
        <v>-91225.19</v>
      </c>
      <c r="W217" s="15">
        <v>-83842.03</v>
      </c>
      <c r="X217" s="15">
        <v>9425.3799999999992</v>
      </c>
      <c r="Y217" s="15">
        <v>71279.27</v>
      </c>
      <c r="Z217" s="15">
        <v>762175.92</v>
      </c>
      <c r="AA217" s="15">
        <v>1599945.33</v>
      </c>
      <c r="AB217" s="15">
        <v>-113818.35</v>
      </c>
      <c r="AC217" s="15">
        <v>5979.36</v>
      </c>
      <c r="AD217" s="15">
        <v>7580.24</v>
      </c>
      <c r="AE217" s="15">
        <v>-70858.69</v>
      </c>
      <c r="AF217" s="15">
        <v>-144543.5</v>
      </c>
      <c r="AG217" s="15">
        <v>-154450.26999999999</v>
      </c>
      <c r="AH217" s="15">
        <v>570704.15</v>
      </c>
      <c r="AI217" s="15">
        <v>89717.45</v>
      </c>
      <c r="AJ217" s="15">
        <v>-6155.02</v>
      </c>
      <c r="AK217" s="15">
        <v>4342.3500000000004</v>
      </c>
      <c r="AL217" s="15">
        <v>450000</v>
      </c>
      <c r="AM217" s="15">
        <v>42549.120000000003</v>
      </c>
      <c r="AN217" s="15">
        <v>-59505.94</v>
      </c>
      <c r="AO217" s="15">
        <v>-471.3</v>
      </c>
      <c r="AP217" s="15">
        <v>53245.440000000002</v>
      </c>
      <c r="AQ217" s="15">
        <v>-71312.800000000003</v>
      </c>
      <c r="AR217" s="15">
        <v>-102773.5</v>
      </c>
      <c r="AS217" s="15">
        <v>1535.82</v>
      </c>
      <c r="AT217" s="15">
        <v>-103783.8</v>
      </c>
      <c r="AU217" s="15">
        <v>-154372.34</v>
      </c>
      <c r="AV217" s="15">
        <v>-330157.09999999998</v>
      </c>
      <c r="AW217" s="15">
        <v>34266.46</v>
      </c>
      <c r="AX217" s="15">
        <v>51005.88</v>
      </c>
      <c r="AY217" s="15">
        <v>-43918.63</v>
      </c>
      <c r="AZ217" s="15">
        <v>-172483.83</v>
      </c>
      <c r="BA217" s="15">
        <v>-143672.57999999999</v>
      </c>
      <c r="BB217" s="15">
        <v>251.69</v>
      </c>
      <c r="BC217" s="15">
        <v>54631.45</v>
      </c>
      <c r="BD217" s="15">
        <v>1611.37</v>
      </c>
      <c r="BE217" s="15">
        <v>-412328.29</v>
      </c>
      <c r="BF217" s="15">
        <v>53968.13</v>
      </c>
      <c r="BG217" s="73">
        <f>SUM(F217:BF217)</f>
        <v>-1818630.0800000008</v>
      </c>
      <c r="BH217" s="73">
        <f t="shared" si="44"/>
        <v>-3588813.5700000003</v>
      </c>
      <c r="BI217" s="73">
        <f t="shared" si="45"/>
        <v>2621898.2400000002</v>
      </c>
      <c r="BJ217" s="73">
        <f t="shared" si="46"/>
        <v>-851714.74999999988</v>
      </c>
      <c r="BK217" s="15">
        <f>BH217+BI217+BJ217</f>
        <v>-1818630.08</v>
      </c>
    </row>
    <row r="218" spans="3:63" x14ac:dyDescent="0.25">
      <c r="D218" s="7">
        <v>2999</v>
      </c>
      <c r="E218" s="7" t="s">
        <v>842</v>
      </c>
      <c r="F218" s="15">
        <v>2069048.43</v>
      </c>
      <c r="G218" s="15">
        <v>127490.92</v>
      </c>
      <c r="H218" s="15">
        <v>-28065.95</v>
      </c>
      <c r="I218" s="15">
        <v>1118544.07</v>
      </c>
      <c r="J218" s="15">
        <v>5288801.1100000003</v>
      </c>
      <c r="K218" s="15">
        <v>2175050.44</v>
      </c>
      <c r="L218" s="15">
        <v>6503602.5300000003</v>
      </c>
      <c r="M218" s="15">
        <v>632253.94999999995</v>
      </c>
      <c r="N218" s="15">
        <v>1078367.83</v>
      </c>
      <c r="O218" s="15">
        <v>543418.85</v>
      </c>
      <c r="P218" s="16">
        <v>328580.07</v>
      </c>
      <c r="Q218" s="15">
        <v>864525.6</v>
      </c>
      <c r="R218" s="15">
        <v>55492.12</v>
      </c>
      <c r="S218" s="15">
        <v>301856.94</v>
      </c>
      <c r="T218" s="15">
        <v>-137264.10999999999</v>
      </c>
      <c r="U218" s="15">
        <v>969710.25</v>
      </c>
      <c r="V218" s="15">
        <v>369776.03</v>
      </c>
      <c r="W218" s="15">
        <v>230388.43</v>
      </c>
      <c r="X218" s="15">
        <v>1971543.13</v>
      </c>
      <c r="Y218" s="15">
        <v>2382632</v>
      </c>
      <c r="Z218" s="15">
        <v>3013602.85</v>
      </c>
      <c r="AA218" s="15">
        <v>11462204.380000001</v>
      </c>
      <c r="AB218" s="15">
        <v>359527.63</v>
      </c>
      <c r="AC218" s="15">
        <v>1093652.3799999999</v>
      </c>
      <c r="AD218" s="15">
        <v>819609.84</v>
      </c>
      <c r="AE218" s="15">
        <v>649434.99</v>
      </c>
      <c r="AF218" s="15">
        <v>1176011.99</v>
      </c>
      <c r="AG218" s="15">
        <v>4624157.3</v>
      </c>
      <c r="AH218" s="15">
        <v>5715283.6799999997</v>
      </c>
      <c r="AI218" s="15">
        <v>1901857.74</v>
      </c>
      <c r="AJ218" s="15">
        <v>1126620.6000000001</v>
      </c>
      <c r="AK218" s="15">
        <v>1358453.23</v>
      </c>
      <c r="AL218" s="15">
        <v>745205.46</v>
      </c>
      <c r="AM218" s="15">
        <v>3388985.41</v>
      </c>
      <c r="AN218" s="15">
        <v>2634789.11</v>
      </c>
      <c r="AO218" s="15">
        <v>1031080.98</v>
      </c>
      <c r="AP218" s="15">
        <v>9276901.4000000004</v>
      </c>
      <c r="AQ218" s="15">
        <v>1859200.25</v>
      </c>
      <c r="AR218" s="15">
        <v>1247135.8999999999</v>
      </c>
      <c r="AS218" s="15">
        <v>7568228.8700000001</v>
      </c>
      <c r="AT218" s="15">
        <v>361872.32</v>
      </c>
      <c r="AU218" s="15">
        <v>537738.39</v>
      </c>
      <c r="AV218" s="15">
        <v>2993715.14</v>
      </c>
      <c r="AW218" s="15">
        <v>4999580.3899999997</v>
      </c>
      <c r="AX218" s="15">
        <v>576147.78</v>
      </c>
      <c r="AY218" s="15">
        <v>241285.25</v>
      </c>
      <c r="AZ218" s="15">
        <v>325572.09999999998</v>
      </c>
      <c r="BA218" s="15">
        <v>2121290.9</v>
      </c>
      <c r="BB218" s="15">
        <v>1474378.81</v>
      </c>
      <c r="BC218" s="15">
        <v>2828643.26</v>
      </c>
      <c r="BD218" s="15">
        <v>785493.05</v>
      </c>
      <c r="BE218" s="15">
        <v>1169070.55</v>
      </c>
      <c r="BF218" s="15">
        <v>685302.43</v>
      </c>
      <c r="BG218" s="73">
        <f>SUM(F218:BF218)</f>
        <v>106997787.00000004</v>
      </c>
      <c r="BH218" s="73">
        <f t="shared" si="44"/>
        <v>24463120.640000004</v>
      </c>
      <c r="BI218" s="73">
        <f t="shared" si="45"/>
        <v>35683048.609999992</v>
      </c>
      <c r="BJ218" s="73">
        <f t="shared" si="46"/>
        <v>46851617.749999993</v>
      </c>
      <c r="BK218" s="15">
        <f>BH218+BI218+BJ218</f>
        <v>106997787</v>
      </c>
    </row>
    <row r="219" spans="3:63" x14ac:dyDescent="0.25">
      <c r="F219" s="12"/>
      <c r="G219" s="12"/>
      <c r="H219" s="12"/>
      <c r="I219" s="113"/>
      <c r="J219" s="12"/>
      <c r="K219" s="12"/>
      <c r="L219" s="12"/>
      <c r="M219" s="12"/>
      <c r="N219" s="12"/>
      <c r="O219" s="12"/>
      <c r="P219" s="21"/>
      <c r="Q219" s="12"/>
      <c r="R219" s="12"/>
      <c r="S219" s="12"/>
      <c r="T219" s="12"/>
      <c r="U219" s="12"/>
      <c r="V219" s="12"/>
      <c r="W219" s="12"/>
      <c r="X219" s="12"/>
      <c r="Y219" s="12"/>
      <c r="Z219" s="12"/>
      <c r="AA219" s="12"/>
      <c r="AB219" s="12"/>
      <c r="AC219" s="12"/>
      <c r="AD219" s="12"/>
      <c r="AE219" s="12"/>
      <c r="AF219" s="12"/>
      <c r="AG219" s="12"/>
      <c r="AH219" s="12"/>
      <c r="AI219" s="12"/>
      <c r="AJ219" s="12"/>
      <c r="AK219" s="12"/>
      <c r="AL219" s="113"/>
      <c r="AM219" s="12"/>
      <c r="AN219" s="12"/>
      <c r="AO219" s="12"/>
      <c r="AP219" s="12"/>
      <c r="AQ219" s="12"/>
      <c r="AR219" s="12"/>
      <c r="AS219" s="12"/>
      <c r="AT219" s="12"/>
      <c r="AU219" s="12"/>
      <c r="AV219" s="12"/>
      <c r="AW219" s="12"/>
      <c r="AX219" s="12"/>
      <c r="AY219" s="12"/>
      <c r="AZ219" s="12"/>
      <c r="BA219" s="12"/>
      <c r="BB219" s="12"/>
      <c r="BC219" s="12"/>
      <c r="BD219" s="12"/>
      <c r="BE219" s="12"/>
      <c r="BF219" s="12"/>
      <c r="BG219" s="75"/>
      <c r="BH219" s="75"/>
      <c r="BI219" s="75"/>
      <c r="BJ219" s="75"/>
    </row>
    <row r="220" spans="3:63" x14ac:dyDescent="0.25">
      <c r="C220" s="114"/>
      <c r="D220" s="114"/>
      <c r="E220" s="114" t="s">
        <v>580</v>
      </c>
    </row>
    <row r="221" spans="3:63" x14ac:dyDescent="0.25">
      <c r="D221" s="7">
        <v>290</v>
      </c>
      <c r="E221" s="7" t="s">
        <v>579</v>
      </c>
      <c r="F221" s="12">
        <f>'MCH2'!E156</f>
        <v>322300.57</v>
      </c>
      <c r="G221" s="12">
        <f>'MCH2'!F156</f>
        <v>30133.32</v>
      </c>
      <c r="H221" s="12">
        <f>'MCH2'!G156</f>
        <v>41330.6</v>
      </c>
      <c r="I221" s="12">
        <f>'MCH2'!H156</f>
        <v>44631.25</v>
      </c>
      <c r="J221" s="12">
        <f>'MCH2'!I156</f>
        <v>159583.26999999999</v>
      </c>
      <c r="K221" s="12">
        <f>'MCH2'!J156</f>
        <v>317394.89</v>
      </c>
      <c r="L221" s="12">
        <f>'MCH2'!K156</f>
        <v>445908.69</v>
      </c>
      <c r="M221" s="12">
        <f>'MCH2'!L156</f>
        <v>2211365.17</v>
      </c>
      <c r="N221" s="12">
        <f>'MCH2'!M156</f>
        <v>175778.23</v>
      </c>
      <c r="O221" s="12">
        <f>'MCH2'!N156</f>
        <v>2001.08</v>
      </c>
      <c r="P221" s="12">
        <f>'MCH2'!O156</f>
        <v>702588.75</v>
      </c>
      <c r="Q221" s="12">
        <f>'MCH2'!P156</f>
        <v>34808.21</v>
      </c>
      <c r="R221" s="12">
        <f>'MCH2'!Q156</f>
        <v>25374.65</v>
      </c>
      <c r="S221" s="12">
        <f>'MCH2'!R156</f>
        <v>-20394.82</v>
      </c>
      <c r="T221" s="12">
        <f>'MCH2'!S156</f>
        <v>66205.73</v>
      </c>
      <c r="U221" s="12">
        <f>'MCH2'!T156</f>
        <v>168853.41</v>
      </c>
      <c r="V221" s="12">
        <f>'MCH2'!U156</f>
        <v>38742.15</v>
      </c>
      <c r="W221" s="12">
        <f>'MCH2'!V156</f>
        <v>49400.92</v>
      </c>
      <c r="X221" s="12">
        <f>'MCH2'!W156</f>
        <v>409019.68</v>
      </c>
      <c r="Y221" s="12">
        <f>'MCH2'!X156</f>
        <v>-7184.85</v>
      </c>
      <c r="Z221" s="12">
        <f>'MCH2'!Y156</f>
        <v>116963.83</v>
      </c>
      <c r="AA221" s="12">
        <f>'MCH2'!Z156</f>
        <v>266556.25</v>
      </c>
      <c r="AB221" s="12">
        <f>'MCH2'!AA156</f>
        <v>-2759.2</v>
      </c>
      <c r="AC221" s="12">
        <f>'MCH2'!AB156</f>
        <v>31729.85</v>
      </c>
      <c r="AD221" s="12">
        <f>'MCH2'!AC156</f>
        <v>-243.21</v>
      </c>
      <c r="AE221" s="12">
        <f>'MCH2'!AD156</f>
        <v>125128.83</v>
      </c>
      <c r="AF221" s="12">
        <f>'MCH2'!AE156</f>
        <v>-113762.3</v>
      </c>
      <c r="AG221" s="12">
        <f>'MCH2'!AF156</f>
        <v>83282.86</v>
      </c>
      <c r="AH221" s="12">
        <f>'MCH2'!AG156</f>
        <v>579665.13</v>
      </c>
      <c r="AI221" s="12">
        <f>'MCH2'!AH156</f>
        <v>405918</v>
      </c>
      <c r="AJ221" s="12">
        <f>'MCH2'!AI156</f>
        <v>54787.13</v>
      </c>
      <c r="AK221" s="12">
        <f>'MCH2'!AJ156</f>
        <v>45010.42</v>
      </c>
      <c r="AL221" s="12">
        <f>'MCH2'!AK156</f>
        <v>167262.01999999999</v>
      </c>
      <c r="AM221" s="12">
        <f>'MCH2'!AL156</f>
        <v>57892.7</v>
      </c>
      <c r="AN221" s="12">
        <f>'MCH2'!AM156</f>
        <v>37079.43</v>
      </c>
      <c r="AO221" s="12">
        <f>'MCH2'!AN156</f>
        <v>-8970.94</v>
      </c>
      <c r="AP221" s="12">
        <f>'MCH2'!AO156</f>
        <v>59413.84</v>
      </c>
      <c r="AQ221" s="12">
        <f>'MCH2'!AP156</f>
        <v>42847.56</v>
      </c>
      <c r="AR221" s="12">
        <f>'MCH2'!AQ156</f>
        <v>-2741.24</v>
      </c>
      <c r="AS221" s="12">
        <f>'MCH2'!AR156</f>
        <v>13765.81</v>
      </c>
      <c r="AT221" s="12">
        <f>'MCH2'!AS156</f>
        <v>-59737.18</v>
      </c>
      <c r="AU221" s="12">
        <f>'MCH2'!AT156</f>
        <v>56544.76</v>
      </c>
      <c r="AV221" s="12">
        <f>'MCH2'!AU156</f>
        <v>116657.02</v>
      </c>
      <c r="AW221" s="12">
        <f>'MCH2'!AV156</f>
        <v>140468.65</v>
      </c>
      <c r="AX221" s="12">
        <f>'MCH2'!AW156</f>
        <v>-547.54999999999995</v>
      </c>
      <c r="AY221" s="12">
        <f>'MCH2'!AX156</f>
        <v>-262.5</v>
      </c>
      <c r="AZ221" s="12">
        <f>'MCH2'!AY156</f>
        <v>85156.39</v>
      </c>
      <c r="BA221" s="12">
        <f>'MCH2'!AZ156</f>
        <v>150896.73000000001</v>
      </c>
      <c r="BB221" s="12">
        <f>'MCH2'!BA156</f>
        <v>130926.95</v>
      </c>
      <c r="BC221" s="12">
        <f>'MCH2'!BB156</f>
        <v>81280.52</v>
      </c>
      <c r="BD221" s="12">
        <f>'MCH2'!BC156</f>
        <v>0</v>
      </c>
      <c r="BE221" s="12">
        <f>'MCH2'!BD156</f>
        <v>1454351.74</v>
      </c>
      <c r="BF221" s="12">
        <f>'MCH2'!BE156</f>
        <v>11088.07</v>
      </c>
      <c r="BG221" s="12">
        <f>'MCH2'!BF156</f>
        <v>9343491.2699999996</v>
      </c>
      <c r="BH221" s="12">
        <f>'MCH2'!BG156</f>
        <v>5225025.7500000009</v>
      </c>
      <c r="BI221" s="12">
        <f>'MCH2'!BH156</f>
        <v>1585092.7399999998</v>
      </c>
      <c r="BJ221" s="12">
        <f>'MCH2'!BI156</f>
        <v>2533372.7799999998</v>
      </c>
    </row>
    <row r="222" spans="3:63" x14ac:dyDescent="0.25">
      <c r="D222" s="7">
        <v>2990</v>
      </c>
      <c r="E222" s="7" t="s">
        <v>583</v>
      </c>
      <c r="F222" s="12">
        <f>F217</f>
        <v>-206117.81</v>
      </c>
      <c r="G222" s="12">
        <f t="shared" ref="G222:BJ222" si="52">G217</f>
        <v>-230931.74</v>
      </c>
      <c r="H222" s="12">
        <f t="shared" si="52"/>
        <v>124532.09</v>
      </c>
      <c r="I222" s="12">
        <f t="shared" si="52"/>
        <v>-114135.93</v>
      </c>
      <c r="J222" s="12">
        <f t="shared" si="52"/>
        <v>7190.95</v>
      </c>
      <c r="K222" s="12">
        <f t="shared" si="52"/>
        <v>0</v>
      </c>
      <c r="L222" s="12">
        <f t="shared" si="52"/>
        <v>23773.27</v>
      </c>
      <c r="M222" s="12">
        <f t="shared" si="52"/>
        <v>-3253493.74</v>
      </c>
      <c r="N222" s="12">
        <f t="shared" si="52"/>
        <v>-288991.67</v>
      </c>
      <c r="O222" s="12">
        <f t="shared" si="52"/>
        <v>5101.07</v>
      </c>
      <c r="P222" s="12">
        <f t="shared" si="52"/>
        <v>383432.05</v>
      </c>
      <c r="Q222" s="12">
        <f t="shared" si="52"/>
        <v>-81058.97</v>
      </c>
      <c r="R222" s="12">
        <f t="shared" si="52"/>
        <v>1958.96</v>
      </c>
      <c r="S222" s="12">
        <f t="shared" si="52"/>
        <v>-32883.71</v>
      </c>
      <c r="T222" s="12">
        <f t="shared" si="52"/>
        <v>137834.76999999999</v>
      </c>
      <c r="U222" s="12">
        <f t="shared" si="52"/>
        <v>100618.68</v>
      </c>
      <c r="V222" s="12">
        <f t="shared" si="52"/>
        <v>-91225.19</v>
      </c>
      <c r="W222" s="12">
        <f t="shared" si="52"/>
        <v>-83842.03</v>
      </c>
      <c r="X222" s="12">
        <f t="shared" si="52"/>
        <v>9425.3799999999992</v>
      </c>
      <c r="Y222" s="12">
        <f t="shared" si="52"/>
        <v>71279.27</v>
      </c>
      <c r="Z222" s="12">
        <f t="shared" si="52"/>
        <v>762175.92</v>
      </c>
      <c r="AA222" s="12">
        <f t="shared" si="52"/>
        <v>1599945.33</v>
      </c>
      <c r="AB222" s="12">
        <f t="shared" si="52"/>
        <v>-113818.35</v>
      </c>
      <c r="AC222" s="12">
        <f t="shared" si="52"/>
        <v>5979.36</v>
      </c>
      <c r="AD222" s="12">
        <f t="shared" si="52"/>
        <v>7580.24</v>
      </c>
      <c r="AE222" s="12">
        <f t="shared" si="52"/>
        <v>-70858.69</v>
      </c>
      <c r="AF222" s="12">
        <f t="shared" si="52"/>
        <v>-144543.5</v>
      </c>
      <c r="AG222" s="12">
        <f t="shared" si="52"/>
        <v>-154450.26999999999</v>
      </c>
      <c r="AH222" s="12">
        <f t="shared" si="52"/>
        <v>570704.15</v>
      </c>
      <c r="AI222" s="12">
        <f t="shared" si="52"/>
        <v>89717.45</v>
      </c>
      <c r="AJ222" s="12">
        <f t="shared" si="52"/>
        <v>-6155.02</v>
      </c>
      <c r="AK222" s="12">
        <f t="shared" si="52"/>
        <v>4342.3500000000004</v>
      </c>
      <c r="AL222" s="12">
        <f t="shared" si="52"/>
        <v>450000</v>
      </c>
      <c r="AM222" s="12">
        <f t="shared" si="52"/>
        <v>42549.120000000003</v>
      </c>
      <c r="AN222" s="12">
        <f t="shared" si="52"/>
        <v>-59505.94</v>
      </c>
      <c r="AO222" s="12">
        <f t="shared" si="52"/>
        <v>-471.3</v>
      </c>
      <c r="AP222" s="12">
        <f t="shared" si="52"/>
        <v>53245.440000000002</v>
      </c>
      <c r="AQ222" s="12">
        <f t="shared" si="52"/>
        <v>-71312.800000000003</v>
      </c>
      <c r="AR222" s="12">
        <f t="shared" si="52"/>
        <v>-102773.5</v>
      </c>
      <c r="AS222" s="12">
        <f t="shared" si="52"/>
        <v>1535.82</v>
      </c>
      <c r="AT222" s="12">
        <f t="shared" si="52"/>
        <v>-103783.8</v>
      </c>
      <c r="AU222" s="12">
        <f t="shared" si="52"/>
        <v>-154372.34</v>
      </c>
      <c r="AV222" s="12">
        <f t="shared" si="52"/>
        <v>-330157.09999999998</v>
      </c>
      <c r="AW222" s="12">
        <f t="shared" si="52"/>
        <v>34266.46</v>
      </c>
      <c r="AX222" s="12">
        <f t="shared" si="52"/>
        <v>51005.88</v>
      </c>
      <c r="AY222" s="12">
        <f t="shared" si="52"/>
        <v>-43918.63</v>
      </c>
      <c r="AZ222" s="12">
        <f t="shared" si="52"/>
        <v>-172483.83</v>
      </c>
      <c r="BA222" s="12">
        <f t="shared" si="52"/>
        <v>-143672.57999999999</v>
      </c>
      <c r="BB222" s="12">
        <f t="shared" si="52"/>
        <v>251.69</v>
      </c>
      <c r="BC222" s="12">
        <f t="shared" si="52"/>
        <v>54631.45</v>
      </c>
      <c r="BD222" s="12">
        <f t="shared" si="52"/>
        <v>1611.37</v>
      </c>
      <c r="BE222" s="12">
        <f t="shared" si="52"/>
        <v>-412328.29</v>
      </c>
      <c r="BF222" s="12">
        <f t="shared" si="52"/>
        <v>53968.13</v>
      </c>
      <c r="BG222" s="12">
        <f t="shared" si="52"/>
        <v>-1818630.0800000008</v>
      </c>
      <c r="BH222" s="12">
        <f t="shared" si="52"/>
        <v>-3588813.5700000003</v>
      </c>
      <c r="BI222" s="12">
        <f t="shared" si="52"/>
        <v>2621898.2400000002</v>
      </c>
      <c r="BJ222" s="12">
        <f t="shared" si="52"/>
        <v>-851714.74999999988</v>
      </c>
    </row>
    <row r="224" spans="3:63" x14ac:dyDescent="0.25">
      <c r="E224" s="6" t="s">
        <v>582</v>
      </c>
      <c r="F224" s="73">
        <f>F221+F222</f>
        <v>116182.76000000001</v>
      </c>
      <c r="G224" s="73">
        <f t="shared" ref="G224:BJ224" si="53">G221+G222</f>
        <v>-200798.41999999998</v>
      </c>
      <c r="H224" s="73">
        <f t="shared" si="53"/>
        <v>165862.69</v>
      </c>
      <c r="I224" s="73">
        <f t="shared" si="53"/>
        <v>-69504.679999999993</v>
      </c>
      <c r="J224" s="73">
        <f t="shared" si="53"/>
        <v>166774.22</v>
      </c>
      <c r="K224" s="73">
        <f t="shared" si="53"/>
        <v>317394.89</v>
      </c>
      <c r="L224" s="73">
        <f t="shared" si="53"/>
        <v>469681.96</v>
      </c>
      <c r="M224" s="73">
        <f t="shared" si="53"/>
        <v>-1042128.5700000003</v>
      </c>
      <c r="N224" s="73">
        <f t="shared" si="53"/>
        <v>-113213.43999999997</v>
      </c>
      <c r="O224" s="73">
        <f t="shared" si="53"/>
        <v>7102.15</v>
      </c>
      <c r="P224" s="73">
        <f t="shared" si="53"/>
        <v>1086020.8</v>
      </c>
      <c r="Q224" s="73">
        <f t="shared" si="53"/>
        <v>-46250.76</v>
      </c>
      <c r="R224" s="73">
        <f t="shared" si="53"/>
        <v>27333.61</v>
      </c>
      <c r="S224" s="73">
        <f t="shared" si="53"/>
        <v>-53278.53</v>
      </c>
      <c r="T224" s="73">
        <f t="shared" si="53"/>
        <v>204040.5</v>
      </c>
      <c r="U224" s="73">
        <f t="shared" si="53"/>
        <v>269472.08999999997</v>
      </c>
      <c r="V224" s="73">
        <f t="shared" si="53"/>
        <v>-52483.040000000001</v>
      </c>
      <c r="W224" s="73">
        <f t="shared" si="53"/>
        <v>-34441.11</v>
      </c>
      <c r="X224" s="73">
        <f t="shared" si="53"/>
        <v>418445.06</v>
      </c>
      <c r="Y224" s="73">
        <f t="shared" si="53"/>
        <v>64094.420000000006</v>
      </c>
      <c r="Z224" s="73">
        <f t="shared" si="53"/>
        <v>879139.75</v>
      </c>
      <c r="AA224" s="73">
        <f t="shared" si="53"/>
        <v>1866501.58</v>
      </c>
      <c r="AB224" s="73">
        <f t="shared" si="53"/>
        <v>-116577.55</v>
      </c>
      <c r="AC224" s="73">
        <f t="shared" si="53"/>
        <v>37709.21</v>
      </c>
      <c r="AD224" s="73">
        <f t="shared" si="53"/>
        <v>7337.03</v>
      </c>
      <c r="AE224" s="73">
        <f t="shared" si="53"/>
        <v>54270.14</v>
      </c>
      <c r="AF224" s="73">
        <f t="shared" si="53"/>
        <v>-258305.8</v>
      </c>
      <c r="AG224" s="73">
        <f t="shared" si="53"/>
        <v>-71167.409999999989</v>
      </c>
      <c r="AH224" s="73">
        <f t="shared" si="53"/>
        <v>1150369.28</v>
      </c>
      <c r="AI224" s="73">
        <f t="shared" si="53"/>
        <v>495635.45</v>
      </c>
      <c r="AJ224" s="73">
        <f t="shared" si="53"/>
        <v>48632.11</v>
      </c>
      <c r="AK224" s="73">
        <f t="shared" si="53"/>
        <v>49352.77</v>
      </c>
      <c r="AL224" s="73">
        <f t="shared" si="53"/>
        <v>617262.02</v>
      </c>
      <c r="AM224" s="73">
        <f t="shared" si="53"/>
        <v>100441.82</v>
      </c>
      <c r="AN224" s="73">
        <f t="shared" si="53"/>
        <v>-22426.510000000002</v>
      </c>
      <c r="AO224" s="73">
        <f t="shared" si="53"/>
        <v>-9442.24</v>
      </c>
      <c r="AP224" s="73">
        <f t="shared" si="53"/>
        <v>112659.28</v>
      </c>
      <c r="AQ224" s="73">
        <f t="shared" si="53"/>
        <v>-28465.240000000005</v>
      </c>
      <c r="AR224" s="73">
        <f t="shared" si="53"/>
        <v>-105514.74</v>
      </c>
      <c r="AS224" s="73">
        <f t="shared" si="53"/>
        <v>15301.63</v>
      </c>
      <c r="AT224" s="73">
        <f t="shared" si="53"/>
        <v>-163520.98000000001</v>
      </c>
      <c r="AU224" s="73">
        <f t="shared" si="53"/>
        <v>-97827.579999999987</v>
      </c>
      <c r="AV224" s="73">
        <f t="shared" si="53"/>
        <v>-213500.07999999996</v>
      </c>
      <c r="AW224" s="73">
        <f t="shared" si="53"/>
        <v>174735.11</v>
      </c>
      <c r="AX224" s="73">
        <f t="shared" si="53"/>
        <v>50458.329999999994</v>
      </c>
      <c r="AY224" s="73">
        <f t="shared" si="53"/>
        <v>-44181.13</v>
      </c>
      <c r="AZ224" s="73">
        <f t="shared" si="53"/>
        <v>-87327.439999999988</v>
      </c>
      <c r="BA224" s="73">
        <f t="shared" si="53"/>
        <v>7224.1500000000233</v>
      </c>
      <c r="BB224" s="73">
        <f t="shared" si="53"/>
        <v>131178.63999999998</v>
      </c>
      <c r="BC224" s="73">
        <f t="shared" si="53"/>
        <v>135911.97</v>
      </c>
      <c r="BD224" s="73">
        <f t="shared" si="53"/>
        <v>1611.37</v>
      </c>
      <c r="BE224" s="73">
        <f t="shared" si="53"/>
        <v>1042023.45</v>
      </c>
      <c r="BF224" s="73">
        <f t="shared" si="53"/>
        <v>65056.2</v>
      </c>
      <c r="BG224" s="73">
        <f t="shared" si="53"/>
        <v>7524861.1899999985</v>
      </c>
      <c r="BH224" s="73">
        <f t="shared" si="53"/>
        <v>1636212.1800000006</v>
      </c>
      <c r="BI224" s="73">
        <f t="shared" si="53"/>
        <v>4206990.9800000004</v>
      </c>
      <c r="BJ224" s="73">
        <f t="shared" si="53"/>
        <v>1681658.0299999998</v>
      </c>
    </row>
    <row r="225" spans="5:62" x14ac:dyDescent="0.25">
      <c r="N225" s="12"/>
      <c r="BG225" s="12"/>
      <c r="BH225" s="12"/>
      <c r="BI225" s="12"/>
      <c r="BJ225" s="12"/>
    </row>
    <row r="226" spans="5:62" x14ac:dyDescent="0.25">
      <c r="E226" s="77" t="s">
        <v>581</v>
      </c>
      <c r="F226" s="21">
        <f>F5-F121</f>
        <v>0</v>
      </c>
      <c r="G226" s="21">
        <f t="shared" ref="G226:BJ226" si="54">G5-G121</f>
        <v>0</v>
      </c>
      <c r="H226" s="21">
        <f t="shared" si="54"/>
        <v>0</v>
      </c>
      <c r="I226" s="21">
        <f t="shared" si="54"/>
        <v>0</v>
      </c>
      <c r="J226" s="21">
        <f t="shared" si="54"/>
        <v>0</v>
      </c>
      <c r="K226" s="21">
        <f t="shared" si="54"/>
        <v>0</v>
      </c>
      <c r="L226" s="21">
        <f t="shared" si="54"/>
        <v>0</v>
      </c>
      <c r="M226" s="21">
        <f t="shared" si="54"/>
        <v>0</v>
      </c>
      <c r="N226" s="21">
        <f t="shared" si="54"/>
        <v>0</v>
      </c>
      <c r="O226" s="21">
        <f t="shared" si="54"/>
        <v>0</v>
      </c>
      <c r="P226" s="21">
        <f t="shared" si="54"/>
        <v>0.10000001639127731</v>
      </c>
      <c r="Q226" s="21">
        <f t="shared" si="54"/>
        <v>0</v>
      </c>
      <c r="R226" s="21">
        <f t="shared" si="54"/>
        <v>0</v>
      </c>
      <c r="S226" s="21">
        <f t="shared" si="54"/>
        <v>0</v>
      </c>
      <c r="T226" s="21">
        <f t="shared" si="54"/>
        <v>0</v>
      </c>
      <c r="U226" s="21">
        <f t="shared" si="54"/>
        <v>0</v>
      </c>
      <c r="V226" s="21">
        <f t="shared" si="54"/>
        <v>0</v>
      </c>
      <c r="W226" s="21">
        <f t="shared" si="54"/>
        <v>0</v>
      </c>
      <c r="X226" s="21">
        <f t="shared" si="54"/>
        <v>0</v>
      </c>
      <c r="Y226" s="21">
        <f t="shared" si="54"/>
        <v>0</v>
      </c>
      <c r="Z226" s="21">
        <f t="shared" si="54"/>
        <v>0</v>
      </c>
      <c r="AA226" s="21">
        <f t="shared" si="54"/>
        <v>0</v>
      </c>
      <c r="AB226" s="21">
        <f t="shared" si="54"/>
        <v>0</v>
      </c>
      <c r="AC226" s="21">
        <f t="shared" si="54"/>
        <v>0</v>
      </c>
      <c r="AD226" s="21">
        <f t="shared" si="54"/>
        <v>0</v>
      </c>
      <c r="AE226" s="21">
        <f t="shared" si="54"/>
        <v>0</v>
      </c>
      <c r="AF226" s="21">
        <f t="shared" si="54"/>
        <v>0</v>
      </c>
      <c r="AG226" s="21">
        <f t="shared" si="54"/>
        <v>0</v>
      </c>
      <c r="AH226" s="21">
        <f t="shared" si="54"/>
        <v>0</v>
      </c>
      <c r="AI226" s="21">
        <f t="shared" si="54"/>
        <v>0</v>
      </c>
      <c r="AJ226" s="21">
        <f t="shared" si="54"/>
        <v>0</v>
      </c>
      <c r="AK226" s="21">
        <f t="shared" si="54"/>
        <v>0</v>
      </c>
      <c r="AL226" s="21">
        <f t="shared" si="54"/>
        <v>0</v>
      </c>
      <c r="AM226" s="21">
        <f t="shared" si="54"/>
        <v>0</v>
      </c>
      <c r="AN226" s="21">
        <f t="shared" si="54"/>
        <v>0</v>
      </c>
      <c r="AO226" s="21">
        <f t="shared" si="54"/>
        <v>0</v>
      </c>
      <c r="AP226" s="21">
        <f t="shared" si="54"/>
        <v>0</v>
      </c>
      <c r="AQ226" s="21">
        <f t="shared" si="54"/>
        <v>0</v>
      </c>
      <c r="AR226" s="21">
        <f t="shared" si="54"/>
        <v>0</v>
      </c>
      <c r="AS226" s="21">
        <f t="shared" si="54"/>
        <v>0</v>
      </c>
      <c r="AT226" s="21">
        <f t="shared" si="54"/>
        <v>0</v>
      </c>
      <c r="AU226" s="21">
        <f t="shared" si="54"/>
        <v>0</v>
      </c>
      <c r="AV226" s="21">
        <f t="shared" si="54"/>
        <v>0</v>
      </c>
      <c r="AW226" s="21">
        <f t="shared" si="54"/>
        <v>0</v>
      </c>
      <c r="AX226" s="21">
        <f t="shared" si="54"/>
        <v>0</v>
      </c>
      <c r="AY226" s="21">
        <f t="shared" si="54"/>
        <v>0</v>
      </c>
      <c r="AZ226" s="21">
        <f t="shared" si="54"/>
        <v>0</v>
      </c>
      <c r="BA226" s="21">
        <f t="shared" si="54"/>
        <v>0</v>
      </c>
      <c r="BB226" s="21">
        <f t="shared" si="54"/>
        <v>0</v>
      </c>
      <c r="BC226" s="21">
        <f t="shared" si="54"/>
        <v>0</v>
      </c>
      <c r="BD226" s="21">
        <f t="shared" si="54"/>
        <v>0</v>
      </c>
      <c r="BE226" s="21">
        <f t="shared" si="54"/>
        <v>0</v>
      </c>
      <c r="BF226" s="21">
        <f t="shared" si="54"/>
        <v>0</v>
      </c>
      <c r="BG226" s="21">
        <f t="shared" si="54"/>
        <v>9.9999785423278809E-2</v>
      </c>
      <c r="BH226" s="21">
        <f t="shared" si="54"/>
        <v>9.9999904632568359E-2</v>
      </c>
      <c r="BI226" s="21">
        <f t="shared" si="54"/>
        <v>0</v>
      </c>
      <c r="BJ226" s="21">
        <f t="shared" si="54"/>
        <v>0</v>
      </c>
    </row>
    <row r="228" spans="5:62" x14ac:dyDescent="0.25">
      <c r="AE228" s="12"/>
    </row>
    <row r="229" spans="5:62" x14ac:dyDescent="0.25">
      <c r="BE229" s="15"/>
    </row>
    <row r="231" spans="5:62" x14ac:dyDescent="0.25">
      <c r="BE231" s="15"/>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tint="0.59999389629810485"/>
    <pageSetUpPr fitToPage="1"/>
  </sheetPr>
  <dimension ref="A2:F229"/>
  <sheetViews>
    <sheetView workbookViewId="0"/>
  </sheetViews>
  <sheetFormatPr baseColWidth="10" defaultColWidth="11.44140625" defaultRowHeight="13.8" x14ac:dyDescent="0.25"/>
  <cols>
    <col min="1" max="3" width="4.6640625" style="7" customWidth="1"/>
    <col min="4" max="4" width="9" style="7" customWidth="1"/>
    <col min="5" max="5" width="63.5546875" style="7" customWidth="1"/>
    <col min="6" max="6" width="22.6640625" style="7" customWidth="1"/>
    <col min="7" max="16384" width="11.44140625" style="7"/>
  </cols>
  <sheetData>
    <row r="2" spans="1:6" ht="21" x14ac:dyDescent="0.4">
      <c r="A2" s="79" t="s">
        <v>835</v>
      </c>
      <c r="B2" s="6"/>
      <c r="C2" s="6"/>
      <c r="D2" s="6"/>
      <c r="E2" s="6"/>
    </row>
    <row r="4" spans="1:6" ht="14.4" thickBot="1" x14ac:dyDescent="0.3"/>
    <row r="5" spans="1:6" ht="14.4" thickBot="1" x14ac:dyDescent="0.3">
      <c r="A5" s="7" t="s">
        <v>628</v>
      </c>
      <c r="E5" s="83" t="s">
        <v>22</v>
      </c>
    </row>
    <row r="8" spans="1:6" ht="21" x14ac:dyDescent="0.4">
      <c r="A8" s="102">
        <v>1</v>
      </c>
      <c r="B8" s="102"/>
      <c r="C8" s="102"/>
      <c r="D8" s="102"/>
      <c r="E8" s="102" t="s">
        <v>238</v>
      </c>
      <c r="F8" s="115">
        <f>HLOOKUP($E$5,'5. Bilan'!$F$4:$BF$227,2,0)</f>
        <v>59034862.690000013</v>
      </c>
    </row>
    <row r="9" spans="1:6" x14ac:dyDescent="0.25">
      <c r="A9" s="6"/>
      <c r="B9" s="104">
        <v>10</v>
      </c>
      <c r="C9" s="104"/>
      <c r="D9" s="104"/>
      <c r="E9" s="104" t="s">
        <v>239</v>
      </c>
      <c r="F9" s="105">
        <f>HLOOKUP($E$5,'5. Bilan'!$F$4:$BF$227,3,0)</f>
        <v>18227970.310000002</v>
      </c>
    </row>
    <row r="10" spans="1:6" x14ac:dyDescent="0.25">
      <c r="C10" s="76">
        <v>100</v>
      </c>
      <c r="D10" s="76"/>
      <c r="E10" s="76" t="s">
        <v>240</v>
      </c>
      <c r="F10" s="116">
        <f>SUM(F11:F16)</f>
        <v>5194596.42</v>
      </c>
    </row>
    <row r="11" spans="1:6" x14ac:dyDescent="0.25">
      <c r="D11" s="7">
        <v>1000</v>
      </c>
      <c r="E11" s="7" t="s">
        <v>310</v>
      </c>
      <c r="F11" s="12">
        <f>HLOOKUP($E$5,'5. Bilan'!$F$4:$BF$227,5,0)</f>
        <v>5960.65</v>
      </c>
    </row>
    <row r="12" spans="1:6" x14ac:dyDescent="0.25">
      <c r="D12" s="7">
        <v>1001</v>
      </c>
      <c r="E12" s="7" t="s">
        <v>311</v>
      </c>
      <c r="F12" s="12">
        <f>HLOOKUP($E$5,'5. Bilan'!$F$4:$BF$227,6,0)</f>
        <v>1177412.73</v>
      </c>
    </row>
    <row r="13" spans="1:6" x14ac:dyDescent="0.25">
      <c r="D13" s="7">
        <v>1002</v>
      </c>
      <c r="E13" s="7" t="s">
        <v>319</v>
      </c>
      <c r="F13" s="12">
        <f>HLOOKUP($E$5,'5. Bilan'!$F$4:$BF$227,7,0)</f>
        <v>4011223.04</v>
      </c>
    </row>
    <row r="14" spans="1:6" x14ac:dyDescent="0.25">
      <c r="D14" s="7">
        <v>1003</v>
      </c>
      <c r="E14" s="7" t="s">
        <v>312</v>
      </c>
      <c r="F14" s="12">
        <f>HLOOKUP($E$5,'5. Bilan'!$F$4:$BF$227,8,0)</f>
        <v>0</v>
      </c>
    </row>
    <row r="15" spans="1:6" x14ac:dyDescent="0.25">
      <c r="D15" s="7">
        <v>1004</v>
      </c>
      <c r="E15" s="7" t="s">
        <v>313</v>
      </c>
      <c r="F15" s="12">
        <f>HLOOKUP($E$5,'5. Bilan'!$F$4:$BF$227,9,0)</f>
        <v>0</v>
      </c>
    </row>
    <row r="16" spans="1:6" x14ac:dyDescent="0.25">
      <c r="D16" s="7">
        <v>1009</v>
      </c>
      <c r="E16" s="7" t="s">
        <v>314</v>
      </c>
      <c r="F16" s="12">
        <f>HLOOKUP($E$5,'5. Bilan'!$F$4:$BF$227,10,0)</f>
        <v>0</v>
      </c>
    </row>
    <row r="17" spans="3:6" x14ac:dyDescent="0.25">
      <c r="F17" s="12"/>
    </row>
    <row r="18" spans="3:6" x14ac:dyDescent="0.25">
      <c r="C18" s="76">
        <v>101</v>
      </c>
      <c r="D18" s="76"/>
      <c r="E18" s="76" t="s">
        <v>241</v>
      </c>
      <c r="F18" s="96">
        <f>SUM(F19:F26)</f>
        <v>6214125.1900000004</v>
      </c>
    </row>
    <row r="19" spans="3:6" x14ac:dyDescent="0.25">
      <c r="D19" s="7">
        <v>1010</v>
      </c>
      <c r="E19" s="7" t="s">
        <v>315</v>
      </c>
      <c r="F19" s="12">
        <f>HLOOKUP($E$5,'5. Bilan'!$F$4:$BF$227,13,0)</f>
        <v>1418179.93</v>
      </c>
    </row>
    <row r="20" spans="3:6" x14ac:dyDescent="0.25">
      <c r="D20" s="7">
        <v>1011</v>
      </c>
      <c r="E20" s="7" t="s">
        <v>396</v>
      </c>
      <c r="F20" s="12">
        <f>HLOOKUP($E$5,'5. Bilan'!$F$4:$BF$227,14,0)</f>
        <v>646810.16</v>
      </c>
    </row>
    <row r="21" spans="3:6" x14ac:dyDescent="0.25">
      <c r="D21" s="7">
        <v>1012</v>
      </c>
      <c r="E21" s="7" t="s">
        <v>316</v>
      </c>
      <c r="F21" s="12">
        <f>HLOOKUP($E$5,'5. Bilan'!$F$4:$BF$227,15,0)</f>
        <v>4140310.81</v>
      </c>
    </row>
    <row r="22" spans="3:6" x14ac:dyDescent="0.25">
      <c r="D22" s="7">
        <v>1013</v>
      </c>
      <c r="E22" s="7" t="s">
        <v>317</v>
      </c>
      <c r="F22" s="12">
        <f>HLOOKUP($E$5,'5. Bilan'!$F$4:$BF$227,16,0)</f>
        <v>0</v>
      </c>
    </row>
    <row r="23" spans="3:6" x14ac:dyDescent="0.25">
      <c r="D23" s="7">
        <v>1014</v>
      </c>
      <c r="E23" s="7" t="s">
        <v>318</v>
      </c>
      <c r="F23" s="12">
        <f>HLOOKUP($E$5,'5. Bilan'!$F$4:$BF$227,17,0)</f>
        <v>0</v>
      </c>
    </row>
    <row r="24" spans="3:6" x14ac:dyDescent="0.25">
      <c r="D24" s="7">
        <v>1015</v>
      </c>
      <c r="E24" s="7" t="s">
        <v>320</v>
      </c>
      <c r="F24" s="12">
        <f>HLOOKUP($E$5,'5. Bilan'!$F$4:$BF$227,18,0)</f>
        <v>0</v>
      </c>
    </row>
    <row r="25" spans="3:6" x14ac:dyDescent="0.25">
      <c r="D25" s="7">
        <v>1016</v>
      </c>
      <c r="E25" s="7" t="s">
        <v>321</v>
      </c>
      <c r="F25" s="12">
        <f>HLOOKUP($E$5,'5. Bilan'!$F$4:$BF$227,19,0)</f>
        <v>0</v>
      </c>
    </row>
    <row r="26" spans="3:6" x14ac:dyDescent="0.25">
      <c r="D26" s="7">
        <v>1019</v>
      </c>
      <c r="E26" s="7" t="s">
        <v>322</v>
      </c>
      <c r="F26" s="12">
        <f>HLOOKUP($E$5,'5. Bilan'!$F$4:$BF$227,20,0)</f>
        <v>8824.2900000000009</v>
      </c>
    </row>
    <row r="27" spans="3:6" x14ac:dyDescent="0.25">
      <c r="F27" s="12"/>
    </row>
    <row r="28" spans="3:6" x14ac:dyDescent="0.25">
      <c r="C28" s="76">
        <v>102</v>
      </c>
      <c r="D28" s="76"/>
      <c r="E28" s="76" t="s">
        <v>242</v>
      </c>
      <c r="F28" s="96">
        <f>SUM(F29:F32)</f>
        <v>0</v>
      </c>
    </row>
    <row r="29" spans="3:6" x14ac:dyDescent="0.25">
      <c r="D29" s="7">
        <v>1020</v>
      </c>
      <c r="E29" s="7" t="s">
        <v>323</v>
      </c>
      <c r="F29" s="12">
        <f>HLOOKUP($E$5,'5. Bilan'!$F$4:$BF$227,23,0)</f>
        <v>0</v>
      </c>
    </row>
    <row r="30" spans="3:6" x14ac:dyDescent="0.25">
      <c r="D30" s="7">
        <v>1022</v>
      </c>
      <c r="E30" s="7" t="s">
        <v>324</v>
      </c>
      <c r="F30" s="12">
        <f>HLOOKUP($E$5,'5. Bilan'!$F$4:$BF$227,24,0)</f>
        <v>0</v>
      </c>
    </row>
    <row r="31" spans="3:6" x14ac:dyDescent="0.25">
      <c r="D31" s="7">
        <v>1023</v>
      </c>
      <c r="E31" s="7" t="s">
        <v>325</v>
      </c>
      <c r="F31" s="12">
        <f>HLOOKUP($E$5,'5. Bilan'!$F$4:$BF$227,25,0)</f>
        <v>0</v>
      </c>
    </row>
    <row r="32" spans="3:6" x14ac:dyDescent="0.25">
      <c r="D32" s="7">
        <v>1029</v>
      </c>
      <c r="E32" s="7" t="s">
        <v>326</v>
      </c>
      <c r="F32" s="12">
        <f>HLOOKUP($E$5,'5. Bilan'!$F$4:$BF$227,26,0)</f>
        <v>0</v>
      </c>
    </row>
    <row r="33" spans="3:6" x14ac:dyDescent="0.25">
      <c r="F33" s="12"/>
    </row>
    <row r="34" spans="3:6" x14ac:dyDescent="0.25">
      <c r="C34" s="76">
        <v>104</v>
      </c>
      <c r="D34" s="76"/>
      <c r="E34" s="76" t="s">
        <v>243</v>
      </c>
      <c r="F34" s="96">
        <f>SUM(F35:F42)</f>
        <v>1785905.0400000003</v>
      </c>
    </row>
    <row r="35" spans="3:6" x14ac:dyDescent="0.25">
      <c r="D35" s="7">
        <v>1040</v>
      </c>
      <c r="E35" s="7" t="s">
        <v>61</v>
      </c>
      <c r="F35" s="12">
        <f>HLOOKUP($E$5,'5. Bilan'!$F$4:$BF$227,29,0)</f>
        <v>0</v>
      </c>
    </row>
    <row r="36" spans="3:6" x14ac:dyDescent="0.25">
      <c r="D36" s="7">
        <v>1041</v>
      </c>
      <c r="E36" s="7" t="s">
        <v>327</v>
      </c>
      <c r="F36" s="12">
        <f>HLOOKUP($E$5,'5. Bilan'!$F$4:$BF$227,30,0)</f>
        <v>171845.33</v>
      </c>
    </row>
    <row r="37" spans="3:6" x14ac:dyDescent="0.25">
      <c r="D37" s="7">
        <v>1042</v>
      </c>
      <c r="E37" s="7" t="s">
        <v>328</v>
      </c>
      <c r="F37" s="12">
        <f>HLOOKUP($E$5,'5. Bilan'!$F$4:$BF$227,31,0)</f>
        <v>1302531.96</v>
      </c>
    </row>
    <row r="38" spans="3:6" x14ac:dyDescent="0.25">
      <c r="D38" s="7">
        <v>1043</v>
      </c>
      <c r="E38" s="7" t="s">
        <v>329</v>
      </c>
      <c r="F38" s="12">
        <f>HLOOKUP($E$5,'5. Bilan'!$F$4:$BF$227,32,0)</f>
        <v>87844.3</v>
      </c>
    </row>
    <row r="39" spans="3:6" x14ac:dyDescent="0.25">
      <c r="D39" s="7">
        <v>1044</v>
      </c>
      <c r="E39" s="7" t="s">
        <v>330</v>
      </c>
      <c r="F39" s="12">
        <f>HLOOKUP($E$5,'5. Bilan'!$F$4:$BF$227,33,0)</f>
        <v>0</v>
      </c>
    </row>
    <row r="40" spans="3:6" x14ac:dyDescent="0.25">
      <c r="D40" s="7">
        <v>1045</v>
      </c>
      <c r="E40" s="7" t="s">
        <v>331</v>
      </c>
      <c r="F40" s="12">
        <f>HLOOKUP($E$5,'5. Bilan'!$F$4:$BF$227,34,0)</f>
        <v>36670.85</v>
      </c>
    </row>
    <row r="41" spans="3:6" x14ac:dyDescent="0.25">
      <c r="D41" s="7">
        <v>1046</v>
      </c>
      <c r="E41" s="7" t="s">
        <v>332</v>
      </c>
      <c r="F41" s="12">
        <f>HLOOKUP($E$5,'5. Bilan'!$F$4:$BF$227,35,0)</f>
        <v>187012.6</v>
      </c>
    </row>
    <row r="42" spans="3:6" x14ac:dyDescent="0.25">
      <c r="D42" s="7">
        <v>1049</v>
      </c>
      <c r="E42" s="7" t="s">
        <v>333</v>
      </c>
      <c r="F42" s="12">
        <f>HLOOKUP($E$5,'5. Bilan'!$F$4:$BF$227,36,0)</f>
        <v>0</v>
      </c>
    </row>
    <row r="43" spans="3:6" x14ac:dyDescent="0.25">
      <c r="F43" s="12"/>
    </row>
    <row r="44" spans="3:6" x14ac:dyDescent="0.25">
      <c r="C44" s="76">
        <v>106</v>
      </c>
      <c r="D44" s="76"/>
      <c r="E44" s="76" t="s">
        <v>244</v>
      </c>
      <c r="F44" s="96">
        <f>SUM(F45:F49)</f>
        <v>248120</v>
      </c>
    </row>
    <row r="45" spans="3:6" x14ac:dyDescent="0.25">
      <c r="D45" s="7">
        <v>1060</v>
      </c>
      <c r="E45" s="7" t="s">
        <v>334</v>
      </c>
      <c r="F45" s="12">
        <f>HLOOKUP($E$5,'5. Bilan'!$F$4:$BF$227,39,0)</f>
        <v>0</v>
      </c>
    </row>
    <row r="46" spans="3:6" x14ac:dyDescent="0.25">
      <c r="D46" s="7">
        <v>1061</v>
      </c>
      <c r="E46" s="7" t="s">
        <v>335</v>
      </c>
      <c r="F46" s="12">
        <f>HLOOKUP($E$5,'5. Bilan'!$F$4:$BF$227,40,0)</f>
        <v>199120</v>
      </c>
    </row>
    <row r="47" spans="3:6" x14ac:dyDescent="0.25">
      <c r="D47" s="7">
        <v>1062</v>
      </c>
      <c r="E47" s="7" t="s">
        <v>336</v>
      </c>
      <c r="F47" s="12">
        <f>HLOOKUP($E$5,'5. Bilan'!$F$4:$BF$227,41,0)</f>
        <v>0</v>
      </c>
    </row>
    <row r="48" spans="3:6" x14ac:dyDescent="0.25">
      <c r="D48" s="7">
        <v>1063</v>
      </c>
      <c r="E48" s="7" t="s">
        <v>337</v>
      </c>
      <c r="F48" s="12">
        <f>HLOOKUP($E$5,'5. Bilan'!$F$4:$BF$227,42,0)</f>
        <v>49000</v>
      </c>
    </row>
    <row r="49" spans="3:6" x14ac:dyDescent="0.25">
      <c r="D49" s="7">
        <v>1068</v>
      </c>
      <c r="E49" s="7" t="s">
        <v>338</v>
      </c>
      <c r="F49" s="12">
        <f>HLOOKUP($E$5,'5. Bilan'!$F$4:$BF$227,43,0)</f>
        <v>0</v>
      </c>
    </row>
    <row r="50" spans="3:6" x14ac:dyDescent="0.25">
      <c r="F50" s="12"/>
    </row>
    <row r="51" spans="3:6" x14ac:dyDescent="0.25">
      <c r="C51" s="76">
        <v>107</v>
      </c>
      <c r="D51" s="76"/>
      <c r="E51" s="76" t="s">
        <v>343</v>
      </c>
      <c r="F51" s="96">
        <f>SUM(F52:F55)</f>
        <v>284034.5</v>
      </c>
    </row>
    <row r="52" spans="3:6" x14ac:dyDescent="0.25">
      <c r="D52" s="7">
        <v>1070</v>
      </c>
      <c r="E52" s="7" t="s">
        <v>339</v>
      </c>
      <c r="F52" s="12">
        <f>HLOOKUP($E$5,'5. Bilan'!$F$4:$BF$227,46,0)</f>
        <v>284034.5</v>
      </c>
    </row>
    <row r="53" spans="3:6" x14ac:dyDescent="0.25">
      <c r="D53" s="7">
        <v>1071</v>
      </c>
      <c r="E53" s="7" t="s">
        <v>340</v>
      </c>
      <c r="F53" s="12">
        <f>HLOOKUP($E$5,'5. Bilan'!$F$4:$BF$227,47,0)</f>
        <v>0</v>
      </c>
    </row>
    <row r="54" spans="3:6" x14ac:dyDescent="0.25">
      <c r="D54" s="7">
        <v>1072</v>
      </c>
      <c r="E54" s="7" t="s">
        <v>341</v>
      </c>
      <c r="F54" s="12">
        <f>HLOOKUP($E$5,'5. Bilan'!$F$4:$BF$227,48,0)</f>
        <v>0</v>
      </c>
    </row>
    <row r="55" spans="3:6" x14ac:dyDescent="0.25">
      <c r="D55" s="7">
        <v>1079</v>
      </c>
      <c r="E55" s="7" t="s">
        <v>342</v>
      </c>
      <c r="F55" s="12">
        <f>HLOOKUP($E$5,'5. Bilan'!$F$4:$BF$227,49,0)</f>
        <v>0</v>
      </c>
    </row>
    <row r="56" spans="3:6" x14ac:dyDescent="0.25">
      <c r="F56" s="12"/>
    </row>
    <row r="57" spans="3:6" x14ac:dyDescent="0.25">
      <c r="C57" s="76">
        <v>108</v>
      </c>
      <c r="D57" s="76"/>
      <c r="E57" s="76" t="s">
        <v>245</v>
      </c>
      <c r="F57" s="96">
        <f>SUM(F58:F63)</f>
        <v>4501189.16</v>
      </c>
    </row>
    <row r="58" spans="3:6" x14ac:dyDescent="0.25">
      <c r="D58" s="7">
        <v>1080</v>
      </c>
      <c r="E58" s="7" t="s">
        <v>344</v>
      </c>
      <c r="F58" s="12">
        <f>HLOOKUP($E$5,'5. Bilan'!$F$4:$BF$227,52,0)</f>
        <v>2236396.37</v>
      </c>
    </row>
    <row r="59" spans="3:6" x14ac:dyDescent="0.25">
      <c r="D59" s="7">
        <v>1084</v>
      </c>
      <c r="E59" s="7" t="s">
        <v>345</v>
      </c>
      <c r="F59" s="12">
        <f>HLOOKUP($E$5,'5. Bilan'!$F$4:$BF$227,53,0)</f>
        <v>1124850</v>
      </c>
    </row>
    <row r="60" spans="3:6" x14ac:dyDescent="0.25">
      <c r="D60" s="7">
        <v>1086</v>
      </c>
      <c r="E60" s="7" t="s">
        <v>346</v>
      </c>
      <c r="F60" s="12">
        <f>HLOOKUP($E$5,'5. Bilan'!$F$4:$BF$227,54,0)</f>
        <v>0</v>
      </c>
    </row>
    <row r="61" spans="3:6" x14ac:dyDescent="0.25">
      <c r="D61" s="7">
        <v>1087</v>
      </c>
      <c r="E61" s="7" t="s">
        <v>347</v>
      </c>
      <c r="F61" s="12">
        <f>HLOOKUP($E$5,'5. Bilan'!$F$4:$BF$227,55,0)</f>
        <v>1139942.79</v>
      </c>
    </row>
    <row r="62" spans="3:6" x14ac:dyDescent="0.25">
      <c r="D62" s="7">
        <v>1088</v>
      </c>
      <c r="E62" s="7" t="s">
        <v>348</v>
      </c>
      <c r="F62" s="12">
        <f>HLOOKUP($E$5,'5. Bilan'!$F$4:$BF$227,56,0)</f>
        <v>0</v>
      </c>
    </row>
    <row r="63" spans="3:6" x14ac:dyDescent="0.25">
      <c r="D63" s="7">
        <v>1089</v>
      </c>
      <c r="E63" s="7" t="s">
        <v>349</v>
      </c>
      <c r="F63" s="12">
        <f>HLOOKUP($E$5,'5. Bilan'!$F$4:$BF$227,57,0)</f>
        <v>0</v>
      </c>
    </row>
    <row r="64" spans="3:6" x14ac:dyDescent="0.25">
      <c r="F64" s="12"/>
    </row>
    <row r="65" spans="2:6" x14ac:dyDescent="0.25">
      <c r="C65" s="76">
        <v>109</v>
      </c>
      <c r="D65" s="76"/>
      <c r="E65" s="76" t="s">
        <v>350</v>
      </c>
      <c r="F65" s="96">
        <f>SUM(F66:F69)</f>
        <v>0</v>
      </c>
    </row>
    <row r="66" spans="2:6" x14ac:dyDescent="0.25">
      <c r="D66" s="7">
        <v>1090</v>
      </c>
      <c r="E66" s="7" t="s">
        <v>350</v>
      </c>
      <c r="F66" s="12">
        <f>HLOOKUP($E$5,'5. Bilan'!$F$4:$BF$227,60,0)</f>
        <v>0</v>
      </c>
    </row>
    <row r="67" spans="2:6" x14ac:dyDescent="0.25">
      <c r="D67" s="7">
        <v>1091</v>
      </c>
      <c r="E67" s="7" t="s">
        <v>351</v>
      </c>
      <c r="F67" s="12">
        <f>HLOOKUP($E$5,'5. Bilan'!$F$4:$BF$227,61,0)</f>
        <v>0</v>
      </c>
    </row>
    <row r="68" spans="2:6" x14ac:dyDescent="0.25">
      <c r="D68" s="7">
        <v>1092</v>
      </c>
      <c r="E68" s="7" t="s">
        <v>352</v>
      </c>
      <c r="F68" s="12">
        <f>HLOOKUP($E$5,'5. Bilan'!$F$4:$BF$227,62,0)</f>
        <v>0</v>
      </c>
    </row>
    <row r="69" spans="2:6" x14ac:dyDescent="0.25">
      <c r="D69" s="7">
        <v>1093</v>
      </c>
      <c r="E69" s="7" t="s">
        <v>353</v>
      </c>
      <c r="F69" s="12">
        <f>HLOOKUP($E$5,'5. Bilan'!$F$4:$BF$227,63,0)</f>
        <v>0</v>
      </c>
    </row>
    <row r="70" spans="2:6" x14ac:dyDescent="0.25">
      <c r="F70" s="12"/>
    </row>
    <row r="71" spans="2:6" x14ac:dyDescent="0.25">
      <c r="B71" s="106">
        <v>14</v>
      </c>
      <c r="C71" s="106"/>
      <c r="D71" s="106"/>
      <c r="E71" s="106" t="s">
        <v>246</v>
      </c>
      <c r="F71" s="107">
        <f>HLOOKUP($E$5,'5. Bilan'!$F$4:$BF$227,65,0)</f>
        <v>40806892.38000001</v>
      </c>
    </row>
    <row r="72" spans="2:6" x14ac:dyDescent="0.25">
      <c r="C72" s="76">
        <v>140</v>
      </c>
      <c r="D72" s="76"/>
      <c r="E72" s="76" t="s">
        <v>248</v>
      </c>
      <c r="F72" s="96">
        <f>SUM(F73:F81)</f>
        <v>37877333.000000007</v>
      </c>
    </row>
    <row r="73" spans="2:6" x14ac:dyDescent="0.25">
      <c r="D73" s="7">
        <v>1400</v>
      </c>
      <c r="E73" s="7" t="s">
        <v>354</v>
      </c>
      <c r="F73" s="12">
        <f>HLOOKUP($E$5,'5. Bilan'!$F$4:$BF$227,67,0)</f>
        <v>141611.04999999999</v>
      </c>
    </row>
    <row r="74" spans="2:6" x14ac:dyDescent="0.25">
      <c r="D74" s="7">
        <v>1401</v>
      </c>
      <c r="E74" s="7" t="s">
        <v>355</v>
      </c>
      <c r="F74" s="12">
        <f>HLOOKUP($E$5,'5. Bilan'!$F$4:$BF$227,68,0)</f>
        <v>12991407.800000001</v>
      </c>
    </row>
    <row r="75" spans="2:6" x14ac:dyDescent="0.25">
      <c r="D75" s="7">
        <v>1402</v>
      </c>
      <c r="E75" s="7" t="s">
        <v>356</v>
      </c>
      <c r="F75" s="12">
        <f>HLOOKUP($E$5,'5. Bilan'!$F$4:$BF$227,69,0)</f>
        <v>86945.3</v>
      </c>
    </row>
    <row r="76" spans="2:6" x14ac:dyDescent="0.25">
      <c r="D76" s="7">
        <v>1403</v>
      </c>
      <c r="E76" s="7" t="s">
        <v>357</v>
      </c>
      <c r="F76" s="12">
        <f>HLOOKUP($E$5,'5. Bilan'!$F$4:$BF$227,70,0)</f>
        <v>5704087.2999999998</v>
      </c>
    </row>
    <row r="77" spans="2:6" x14ac:dyDescent="0.25">
      <c r="D77" s="7">
        <v>1404</v>
      </c>
      <c r="E77" s="7" t="s">
        <v>358</v>
      </c>
      <c r="F77" s="12">
        <f>HLOOKUP($E$5,'5. Bilan'!$F$4:$BF$227,71,0)</f>
        <v>14237115.300000001</v>
      </c>
    </row>
    <row r="78" spans="2:6" x14ac:dyDescent="0.25">
      <c r="D78" s="7">
        <v>1405</v>
      </c>
      <c r="E78" s="7" t="s">
        <v>359</v>
      </c>
      <c r="F78" s="12">
        <f>HLOOKUP($E$5,'5. Bilan'!$F$4:$BF$227,72,0)</f>
        <v>0</v>
      </c>
    </row>
    <row r="79" spans="2:6" x14ac:dyDescent="0.25">
      <c r="D79" s="7">
        <v>1406</v>
      </c>
      <c r="E79" s="7" t="s">
        <v>360</v>
      </c>
      <c r="F79" s="12">
        <f>HLOOKUP($E$5,'5. Bilan'!$F$4:$BF$227,73,0)</f>
        <v>589979.15</v>
      </c>
    </row>
    <row r="80" spans="2:6" x14ac:dyDescent="0.25">
      <c r="D80" s="7">
        <v>1407</v>
      </c>
      <c r="E80" s="7" t="s">
        <v>361</v>
      </c>
      <c r="F80" s="12">
        <f>HLOOKUP($E$5,'5. Bilan'!$F$4:$BF$227,74,0)</f>
        <v>4126187.1</v>
      </c>
    </row>
    <row r="81" spans="3:6" x14ac:dyDescent="0.25">
      <c r="D81" s="7">
        <v>1409</v>
      </c>
      <c r="E81" s="7" t="s">
        <v>362</v>
      </c>
      <c r="F81" s="12">
        <f>HLOOKUP($E$5,'5. Bilan'!$F$4:$BF$227,75,0)</f>
        <v>0</v>
      </c>
    </row>
    <row r="82" spans="3:6" x14ac:dyDescent="0.25">
      <c r="F82" s="12"/>
    </row>
    <row r="83" spans="3:6" x14ac:dyDescent="0.25">
      <c r="C83" s="76">
        <v>142</v>
      </c>
      <c r="D83" s="76"/>
      <c r="E83" s="76" t="s">
        <v>577</v>
      </c>
      <c r="F83" s="96">
        <f>SUM(F84:F87)</f>
        <v>530200.1</v>
      </c>
    </row>
    <row r="84" spans="3:6" x14ac:dyDescent="0.25">
      <c r="D84" s="7">
        <v>1420</v>
      </c>
      <c r="E84" s="7" t="s">
        <v>363</v>
      </c>
      <c r="F84" s="12">
        <f>HLOOKUP($E$5,'5. Bilan'!$F$4:$BF$227,78,0)</f>
        <v>112996.8</v>
      </c>
    </row>
    <row r="85" spans="3:6" x14ac:dyDescent="0.25">
      <c r="D85" s="7">
        <v>1421</v>
      </c>
      <c r="E85" s="7" t="s">
        <v>364</v>
      </c>
      <c r="F85" s="12">
        <f>HLOOKUP($E$5,'5. Bilan'!$F$4:$BF$227,79,0)</f>
        <v>0</v>
      </c>
    </row>
    <row r="86" spans="3:6" x14ac:dyDescent="0.25">
      <c r="D86" s="7">
        <v>1427</v>
      </c>
      <c r="E86" s="7" t="s">
        <v>576</v>
      </c>
      <c r="F86" s="12">
        <f>HLOOKUP($E$5,'5. Bilan'!$F$4:$BF$227,80,0)</f>
        <v>339019.85</v>
      </c>
    </row>
    <row r="87" spans="3:6" x14ac:dyDescent="0.25">
      <c r="D87" s="7">
        <v>1429</v>
      </c>
      <c r="E87" s="7" t="s">
        <v>462</v>
      </c>
      <c r="F87" s="12">
        <f>HLOOKUP($E$5,'5. Bilan'!$F$4:$BF$227,81,0)</f>
        <v>78183.45</v>
      </c>
    </row>
    <row r="88" spans="3:6" x14ac:dyDescent="0.25">
      <c r="F88" s="12"/>
    </row>
    <row r="89" spans="3:6" x14ac:dyDescent="0.25">
      <c r="C89" s="76">
        <v>144</v>
      </c>
      <c r="D89" s="76"/>
      <c r="E89" s="76" t="s">
        <v>249</v>
      </c>
      <c r="F89" s="96">
        <f>SUM(F90:F98)</f>
        <v>180802</v>
      </c>
    </row>
    <row r="90" spans="3:6" x14ac:dyDescent="0.25">
      <c r="D90" s="7">
        <v>1440</v>
      </c>
      <c r="E90" s="7" t="s">
        <v>365</v>
      </c>
      <c r="F90" s="12">
        <f>HLOOKUP($E$5,'5. Bilan'!$F$4:$BF$227,84,0)</f>
        <v>0</v>
      </c>
    </row>
    <row r="91" spans="3:6" x14ac:dyDescent="0.25">
      <c r="D91" s="7">
        <v>1441</v>
      </c>
      <c r="E91" s="7" t="s">
        <v>367</v>
      </c>
      <c r="F91" s="12">
        <f>HLOOKUP($E$5,'5. Bilan'!$F$4:$BF$227,85,0)</f>
        <v>0</v>
      </c>
    </row>
    <row r="92" spans="3:6" x14ac:dyDescent="0.25">
      <c r="D92" s="7">
        <v>1442</v>
      </c>
      <c r="E92" s="7" t="s">
        <v>366</v>
      </c>
      <c r="F92" s="12">
        <f>HLOOKUP($E$5,'5. Bilan'!$F$4:$BF$227,86,0)</f>
        <v>20790</v>
      </c>
    </row>
    <row r="93" spans="3:6" x14ac:dyDescent="0.25">
      <c r="D93" s="7">
        <v>1443</v>
      </c>
      <c r="E93" s="7" t="s">
        <v>368</v>
      </c>
      <c r="F93" s="12">
        <f>HLOOKUP($E$5,'5. Bilan'!$F$4:$BF$227,87,0)</f>
        <v>0</v>
      </c>
    </row>
    <row r="94" spans="3:6" x14ac:dyDescent="0.25">
      <c r="D94" s="7">
        <v>1444</v>
      </c>
      <c r="E94" s="7" t="s">
        <v>369</v>
      </c>
      <c r="F94" s="12">
        <f>HLOOKUP($E$5,'5. Bilan'!$F$4:$BF$227,88,0)</f>
        <v>0</v>
      </c>
    </row>
    <row r="95" spans="3:6" x14ac:dyDescent="0.25">
      <c r="D95" s="7">
        <v>1445</v>
      </c>
      <c r="E95" s="7" t="s">
        <v>370</v>
      </c>
      <c r="F95" s="12">
        <f>HLOOKUP($E$5,'5. Bilan'!$F$4:$BF$227,89,0)</f>
        <v>0</v>
      </c>
    </row>
    <row r="96" spans="3:6" x14ac:dyDescent="0.25">
      <c r="D96" s="7">
        <v>1446</v>
      </c>
      <c r="E96" s="7" t="s">
        <v>371</v>
      </c>
      <c r="F96" s="12">
        <f>HLOOKUP($E$5,'5. Bilan'!$F$4:$BF$227,90,0)</f>
        <v>160012</v>
      </c>
    </row>
    <row r="97" spans="3:6" x14ac:dyDescent="0.25">
      <c r="D97" s="7">
        <v>1447</v>
      </c>
      <c r="E97" s="7" t="s">
        <v>372</v>
      </c>
      <c r="F97" s="12">
        <f>HLOOKUP($E$5,'5. Bilan'!$F$4:$BF$227,91,0)</f>
        <v>0</v>
      </c>
    </row>
    <row r="98" spans="3:6" x14ac:dyDescent="0.25">
      <c r="D98" s="7">
        <v>1448</v>
      </c>
      <c r="E98" s="7" t="s">
        <v>373</v>
      </c>
      <c r="F98" s="12">
        <f>HLOOKUP($E$5,'5. Bilan'!$F$4:$BF$227,92,0)</f>
        <v>0</v>
      </c>
    </row>
    <row r="99" spans="3:6" x14ac:dyDescent="0.25">
      <c r="F99" s="12"/>
    </row>
    <row r="100" spans="3:6" x14ac:dyDescent="0.25">
      <c r="C100" s="76">
        <v>145</v>
      </c>
      <c r="D100" s="76"/>
      <c r="E100" s="76" t="s">
        <v>376</v>
      </c>
      <c r="F100" s="96">
        <f>SUM(F101:F109)</f>
        <v>22040</v>
      </c>
    </row>
    <row r="101" spans="3:6" x14ac:dyDescent="0.25">
      <c r="D101" s="7">
        <v>1450</v>
      </c>
      <c r="E101" s="7" t="s">
        <v>375</v>
      </c>
      <c r="F101" s="12">
        <f>HLOOKUP($E$5,'5. Bilan'!$F$4:$BF$227,95,0)</f>
        <v>0</v>
      </c>
    </row>
    <row r="102" spans="3:6" x14ac:dyDescent="0.25">
      <c r="D102" s="7">
        <v>1451</v>
      </c>
      <c r="E102" s="7" t="s">
        <v>374</v>
      </c>
      <c r="F102" s="12">
        <f>HLOOKUP($E$5,'5. Bilan'!$F$4:$BF$227,96,0)</f>
        <v>0</v>
      </c>
    </row>
    <row r="103" spans="3:6" x14ac:dyDescent="0.25">
      <c r="D103" s="7">
        <v>1452</v>
      </c>
      <c r="E103" s="7" t="s">
        <v>377</v>
      </c>
      <c r="F103" s="12">
        <f>HLOOKUP($E$5,'5. Bilan'!$F$4:$BF$227,97,0)</f>
        <v>0</v>
      </c>
    </row>
    <row r="104" spans="3:6" x14ac:dyDescent="0.25">
      <c r="D104" s="7">
        <v>1453</v>
      </c>
      <c r="E104" s="7" t="s">
        <v>378</v>
      </c>
      <c r="F104" s="12">
        <f>HLOOKUP($E$5,'5. Bilan'!$F$4:$BF$227,98,0)</f>
        <v>0</v>
      </c>
    </row>
    <row r="105" spans="3:6" x14ac:dyDescent="0.25">
      <c r="D105" s="7">
        <v>1454</v>
      </c>
      <c r="E105" s="7" t="s">
        <v>379</v>
      </c>
      <c r="F105" s="12">
        <f>HLOOKUP($E$5,'5. Bilan'!$F$4:$BF$227,99,0)</f>
        <v>10000</v>
      </c>
    </row>
    <row r="106" spans="3:6" x14ac:dyDescent="0.25">
      <c r="D106" s="7">
        <v>1455</v>
      </c>
      <c r="E106" s="7" t="s">
        <v>380</v>
      </c>
      <c r="F106" s="12">
        <f>HLOOKUP($E$5,'5. Bilan'!$F$4:$BF$227,100,0)</f>
        <v>12040</v>
      </c>
    </row>
    <row r="107" spans="3:6" x14ac:dyDescent="0.25">
      <c r="D107" s="7">
        <v>1456</v>
      </c>
      <c r="E107" s="7" t="s">
        <v>381</v>
      </c>
      <c r="F107" s="12">
        <f>HLOOKUP($E$5,'5. Bilan'!$F$4:$BF$227,101,0)</f>
        <v>0</v>
      </c>
    </row>
    <row r="108" spans="3:6" x14ac:dyDescent="0.25">
      <c r="D108" s="7">
        <v>1457</v>
      </c>
      <c r="E108" s="7" t="s">
        <v>382</v>
      </c>
      <c r="F108" s="12">
        <f>HLOOKUP($E$5,'5. Bilan'!$F$4:$BF$227,102,0)</f>
        <v>0</v>
      </c>
    </row>
    <row r="109" spans="3:6" x14ac:dyDescent="0.25">
      <c r="D109" s="7">
        <v>1458</v>
      </c>
      <c r="E109" s="7" t="s">
        <v>383</v>
      </c>
      <c r="F109" s="12">
        <f>HLOOKUP($E$5,'5. Bilan'!$F$4:$BF$227,103,0)</f>
        <v>0</v>
      </c>
    </row>
    <row r="110" spans="3:6" x14ac:dyDescent="0.25">
      <c r="F110" s="12"/>
    </row>
    <row r="111" spans="3:6" x14ac:dyDescent="0.25">
      <c r="C111" s="76">
        <v>146</v>
      </c>
      <c r="D111" s="76"/>
      <c r="E111" s="76" t="s">
        <v>394</v>
      </c>
      <c r="F111" s="96">
        <f>SUM(F112:F121)</f>
        <v>2196517.2799999998</v>
      </c>
    </row>
    <row r="112" spans="3:6" x14ac:dyDescent="0.25">
      <c r="D112" s="7">
        <v>1460</v>
      </c>
      <c r="E112" s="7" t="s">
        <v>391</v>
      </c>
      <c r="F112" s="12">
        <f>HLOOKUP($E$5,'5. Bilan'!$F$4:$BF$227,106,0)</f>
        <v>0</v>
      </c>
    </row>
    <row r="113" spans="1:6" x14ac:dyDescent="0.25">
      <c r="D113" s="7">
        <v>1461</v>
      </c>
      <c r="E113" s="7" t="s">
        <v>392</v>
      </c>
      <c r="F113" s="12">
        <f>HLOOKUP($E$5,'5. Bilan'!$F$4:$BF$227,107,0)</f>
        <v>86616.9</v>
      </c>
    </row>
    <row r="114" spans="1:6" x14ac:dyDescent="0.25">
      <c r="D114" s="7">
        <v>1462</v>
      </c>
      <c r="E114" s="7" t="s">
        <v>384</v>
      </c>
      <c r="F114" s="12">
        <f>HLOOKUP($E$5,'5. Bilan'!$F$4:$BF$227,108,0)</f>
        <v>1976903.63</v>
      </c>
    </row>
    <row r="115" spans="1:6" x14ac:dyDescent="0.25">
      <c r="D115" s="7">
        <v>1463</v>
      </c>
      <c r="E115" s="7" t="s">
        <v>385</v>
      </c>
      <c r="F115" s="12">
        <f>HLOOKUP($E$5,'5. Bilan'!$F$4:$BF$227,109,0)</f>
        <v>0</v>
      </c>
    </row>
    <row r="116" spans="1:6" x14ac:dyDescent="0.25">
      <c r="D116" s="7">
        <v>1464</v>
      </c>
      <c r="E116" s="7" t="s">
        <v>386</v>
      </c>
      <c r="F116" s="12">
        <f>HLOOKUP($E$5,'5. Bilan'!$F$4:$BF$227,110,0)</f>
        <v>0</v>
      </c>
    </row>
    <row r="117" spans="1:6" x14ac:dyDescent="0.25">
      <c r="D117" s="7">
        <v>1465</v>
      </c>
      <c r="E117" s="7" t="s">
        <v>387</v>
      </c>
      <c r="F117" s="12">
        <f>HLOOKUP($E$5,'5. Bilan'!$F$4:$BF$227,111,0)</f>
        <v>132996.75</v>
      </c>
    </row>
    <row r="118" spans="1:6" x14ac:dyDescent="0.25">
      <c r="D118" s="7">
        <v>1466</v>
      </c>
      <c r="E118" s="7" t="s">
        <v>393</v>
      </c>
      <c r="F118" s="12">
        <f>HLOOKUP($E$5,'5. Bilan'!$F$4:$BF$227,112,0)</f>
        <v>0</v>
      </c>
    </row>
    <row r="119" spans="1:6" x14ac:dyDescent="0.25">
      <c r="D119" s="7">
        <v>1467</v>
      </c>
      <c r="E119" s="7" t="s">
        <v>388</v>
      </c>
      <c r="F119" s="12">
        <f>HLOOKUP($E$5,'5. Bilan'!$F$4:$BF$227,113,0)</f>
        <v>0</v>
      </c>
    </row>
    <row r="120" spans="1:6" x14ac:dyDescent="0.25">
      <c r="D120" s="7">
        <v>1468</v>
      </c>
      <c r="E120" s="7" t="s">
        <v>389</v>
      </c>
      <c r="F120" s="12">
        <f>HLOOKUP($E$5,'5. Bilan'!$F$4:$BF$227,114,0)</f>
        <v>0</v>
      </c>
    </row>
    <row r="121" spans="1:6" x14ac:dyDescent="0.25">
      <c r="D121" s="7">
        <v>1469</v>
      </c>
      <c r="E121" s="7" t="s">
        <v>390</v>
      </c>
      <c r="F121" s="12">
        <f>HLOOKUP($E$5,'5. Bilan'!$F$4:$BF$227,115,0)</f>
        <v>0</v>
      </c>
    </row>
    <row r="122" spans="1:6" x14ac:dyDescent="0.25">
      <c r="F122" s="12"/>
    </row>
    <row r="123" spans="1:6" x14ac:dyDescent="0.25">
      <c r="F123" s="12"/>
    </row>
    <row r="124" spans="1:6" ht="21" x14ac:dyDescent="0.4">
      <c r="A124" s="17">
        <v>2</v>
      </c>
      <c r="B124" s="17"/>
      <c r="C124" s="17"/>
      <c r="D124" s="17"/>
      <c r="E124" s="17" t="s">
        <v>250</v>
      </c>
      <c r="F124" s="117">
        <f>HLOOKUP($E$5,'5. Bilan'!$F$4:$BF$227,118,0)</f>
        <v>59034862.589999996</v>
      </c>
    </row>
    <row r="125" spans="1:6" x14ac:dyDescent="0.25">
      <c r="A125" s="6"/>
      <c r="B125" s="109">
        <v>20</v>
      </c>
      <c r="C125" s="109"/>
      <c r="D125" s="109"/>
      <c r="E125" s="109" t="s">
        <v>251</v>
      </c>
      <c r="F125" s="110">
        <f>HLOOKUP($E$5,'5. Bilan'!$F$4:$BF$227,119,0)</f>
        <v>47318439.43</v>
      </c>
    </row>
    <row r="126" spans="1:6" x14ac:dyDescent="0.25">
      <c r="C126" s="111">
        <v>200</v>
      </c>
      <c r="D126" s="111"/>
      <c r="E126" s="111" t="s">
        <v>252</v>
      </c>
      <c r="F126" s="112">
        <f>SUM(F127:F134)</f>
        <v>2440635.39</v>
      </c>
    </row>
    <row r="127" spans="1:6" x14ac:dyDescent="0.25">
      <c r="D127" s="7">
        <v>2000</v>
      </c>
      <c r="E127" s="7" t="s">
        <v>395</v>
      </c>
      <c r="F127" s="12">
        <f>HLOOKUP($E$5,'5. Bilan'!$F$4:$BF$227,121,0)</f>
        <v>2219570.15</v>
      </c>
    </row>
    <row r="128" spans="1:6" x14ac:dyDescent="0.25">
      <c r="D128" s="7">
        <v>2001</v>
      </c>
      <c r="E128" s="7" t="s">
        <v>396</v>
      </c>
      <c r="F128" s="12">
        <f>HLOOKUP($E$5,'5. Bilan'!$F$4:$BF$227,122,0)</f>
        <v>51927.9</v>
      </c>
    </row>
    <row r="129" spans="3:6" x14ac:dyDescent="0.25">
      <c r="D129" s="7">
        <v>2002</v>
      </c>
      <c r="E129" s="7" t="s">
        <v>397</v>
      </c>
      <c r="F129" s="12">
        <f>HLOOKUP($E$5,'5. Bilan'!$F$4:$BF$227,123,0)</f>
        <v>79439.64</v>
      </c>
    </row>
    <row r="130" spans="3:6" x14ac:dyDescent="0.25">
      <c r="D130" s="7">
        <v>2003</v>
      </c>
      <c r="E130" s="7" t="s">
        <v>398</v>
      </c>
      <c r="F130" s="12">
        <f>HLOOKUP($E$5,'5. Bilan'!$F$4:$BF$227,124,0)</f>
        <v>80150</v>
      </c>
    </row>
    <row r="131" spans="3:6" x14ac:dyDescent="0.25">
      <c r="D131" s="7">
        <v>2004</v>
      </c>
      <c r="E131" s="7" t="s">
        <v>399</v>
      </c>
      <c r="F131" s="12">
        <f>HLOOKUP($E$5,'5. Bilan'!$F$4:$BF$227,125,0)</f>
        <v>0</v>
      </c>
    </row>
    <row r="132" spans="3:6" x14ac:dyDescent="0.25">
      <c r="D132" s="7">
        <v>2005</v>
      </c>
      <c r="E132" s="7" t="s">
        <v>320</v>
      </c>
      <c r="F132" s="12">
        <f>HLOOKUP($E$5,'5. Bilan'!$F$4:$BF$227,126,0)</f>
        <v>0</v>
      </c>
    </row>
    <row r="133" spans="3:6" x14ac:dyDescent="0.25">
      <c r="D133" s="7">
        <v>2006</v>
      </c>
      <c r="E133" s="7" t="s">
        <v>444</v>
      </c>
      <c r="F133" s="12">
        <f>HLOOKUP($E$5,'5. Bilan'!$F$4:$BF$227,127,0)</f>
        <v>9547.7000000000007</v>
      </c>
    </row>
    <row r="134" spans="3:6" x14ac:dyDescent="0.25">
      <c r="D134" s="7">
        <v>2009</v>
      </c>
      <c r="E134" s="7" t="s">
        <v>401</v>
      </c>
      <c r="F134" s="12">
        <f>HLOOKUP($E$5,'5. Bilan'!$F$4:$BF$227,128,0)</f>
        <v>0</v>
      </c>
    </row>
    <row r="135" spans="3:6" x14ac:dyDescent="0.25">
      <c r="F135" s="12"/>
    </row>
    <row r="136" spans="3:6" x14ac:dyDescent="0.25">
      <c r="C136" s="111">
        <v>201</v>
      </c>
      <c r="D136" s="111"/>
      <c r="E136" s="111" t="s">
        <v>253</v>
      </c>
      <c r="F136" s="112">
        <f>SUM(F137:F144)</f>
        <v>9445973.3000000007</v>
      </c>
    </row>
    <row r="137" spans="3:6" x14ac:dyDescent="0.25">
      <c r="D137" s="7">
        <v>2010</v>
      </c>
      <c r="E137" s="7" t="s">
        <v>402</v>
      </c>
      <c r="F137" s="12">
        <f>HLOOKUP($E$5,'5. Bilan'!$F$4:$BF$227,131,0)</f>
        <v>0</v>
      </c>
    </row>
    <row r="138" spans="3:6" x14ac:dyDescent="0.25">
      <c r="D138" s="7">
        <v>2011</v>
      </c>
      <c r="E138" s="7" t="s">
        <v>403</v>
      </c>
      <c r="F138" s="12">
        <f>HLOOKUP($E$5,'5. Bilan'!$F$4:$BF$227,132,0)</f>
        <v>3000000</v>
      </c>
    </row>
    <row r="139" spans="3:6" x14ac:dyDescent="0.25">
      <c r="D139" s="7">
        <v>2012</v>
      </c>
      <c r="E139" s="7" t="s">
        <v>404</v>
      </c>
      <c r="F139" s="12">
        <f>HLOOKUP($E$5,'5. Bilan'!$F$4:$BF$227,133,0)</f>
        <v>0</v>
      </c>
    </row>
    <row r="140" spans="3:6" x14ac:dyDescent="0.25">
      <c r="D140" s="7">
        <v>2013</v>
      </c>
      <c r="E140" s="7" t="s">
        <v>405</v>
      </c>
      <c r="F140" s="12">
        <f>HLOOKUP($E$5,'5. Bilan'!$F$4:$BF$227,134,0)</f>
        <v>0</v>
      </c>
    </row>
    <row r="141" spans="3:6" x14ac:dyDescent="0.25">
      <c r="D141" s="7">
        <v>2014</v>
      </c>
      <c r="E141" s="7" t="s">
        <v>407</v>
      </c>
      <c r="F141" s="12">
        <f>HLOOKUP($E$5,'5. Bilan'!$F$4:$BF$227,135,0)</f>
        <v>6446160.1500000004</v>
      </c>
    </row>
    <row r="142" spans="3:6" x14ac:dyDescent="0.25">
      <c r="D142" s="7">
        <v>2015</v>
      </c>
      <c r="E142" s="7" t="s">
        <v>406</v>
      </c>
      <c r="F142" s="12">
        <f>HLOOKUP($E$5,'5. Bilan'!$F$4:$BF$227,136,0)</f>
        <v>0</v>
      </c>
    </row>
    <row r="143" spans="3:6" x14ac:dyDescent="0.25">
      <c r="D143" s="7">
        <v>2016</v>
      </c>
      <c r="E143" s="7" t="s">
        <v>268</v>
      </c>
      <c r="F143" s="12">
        <f>HLOOKUP($E$5,'5. Bilan'!$F$4:$BF$227,137,0)</f>
        <v>0</v>
      </c>
    </row>
    <row r="144" spans="3:6" x14ac:dyDescent="0.25">
      <c r="D144" s="7">
        <v>2019</v>
      </c>
      <c r="E144" s="7" t="s">
        <v>408</v>
      </c>
      <c r="F144" s="12">
        <f>HLOOKUP($E$5,'5. Bilan'!$F$4:$BF$227,138,0)</f>
        <v>-186.85</v>
      </c>
    </row>
    <row r="145" spans="3:6" x14ac:dyDescent="0.25">
      <c r="F145" s="12"/>
    </row>
    <row r="146" spans="3:6" x14ac:dyDescent="0.25">
      <c r="C146" s="111">
        <v>204</v>
      </c>
      <c r="D146" s="111"/>
      <c r="E146" s="111" t="s">
        <v>254</v>
      </c>
      <c r="F146" s="112">
        <f>SUM(F147:F154)</f>
        <v>362937.54</v>
      </c>
    </row>
    <row r="147" spans="3:6" x14ac:dyDescent="0.25">
      <c r="D147" s="7">
        <v>2040</v>
      </c>
      <c r="E147" s="7" t="s">
        <v>61</v>
      </c>
      <c r="F147" s="12">
        <f>HLOOKUP($E$5,'5. Bilan'!$F$4:$BF$227,141,0)</f>
        <v>19536.150000000001</v>
      </c>
    </row>
    <row r="148" spans="3:6" x14ac:dyDescent="0.25">
      <c r="D148" s="7">
        <v>2041</v>
      </c>
      <c r="E148" s="7" t="s">
        <v>276</v>
      </c>
      <c r="F148" s="12">
        <f>HLOOKUP($E$5,'5. Bilan'!$F$4:$BF$227,142,0)</f>
        <v>179426.65</v>
      </c>
    </row>
    <row r="149" spans="3:6" x14ac:dyDescent="0.25">
      <c r="D149" s="7">
        <v>2042</v>
      </c>
      <c r="E149" s="7" t="s">
        <v>328</v>
      </c>
      <c r="F149" s="12">
        <f>HLOOKUP($E$5,'5. Bilan'!$F$4:$BF$227,143,0)</f>
        <v>4516.55</v>
      </c>
    </row>
    <row r="150" spans="3:6" x14ac:dyDescent="0.25">
      <c r="D150" s="7">
        <v>2043</v>
      </c>
      <c r="E150" s="7" t="s">
        <v>329</v>
      </c>
      <c r="F150" s="12">
        <f>HLOOKUP($E$5,'5. Bilan'!$F$4:$BF$227,144,0)</f>
        <v>103911.86</v>
      </c>
    </row>
    <row r="151" spans="3:6" x14ac:dyDescent="0.25">
      <c r="D151" s="7">
        <v>2044</v>
      </c>
      <c r="E151" s="7" t="s">
        <v>409</v>
      </c>
      <c r="F151" s="12">
        <f>HLOOKUP($E$5,'5. Bilan'!$F$4:$BF$227,145,0)</f>
        <v>57375</v>
      </c>
    </row>
    <row r="152" spans="3:6" x14ac:dyDescent="0.25">
      <c r="D152" s="7">
        <v>2045</v>
      </c>
      <c r="E152" s="7" t="s">
        <v>331</v>
      </c>
      <c r="F152" s="12">
        <f>HLOOKUP($E$5,'5. Bilan'!$F$4:$BF$227,146,0)</f>
        <v>-1828.67</v>
      </c>
    </row>
    <row r="153" spans="3:6" x14ac:dyDescent="0.25">
      <c r="D153" s="7">
        <v>2046</v>
      </c>
      <c r="E153" s="7" t="s">
        <v>410</v>
      </c>
      <c r="F153" s="12">
        <f>HLOOKUP($E$5,'5. Bilan'!$F$4:$BF$227,147,0)</f>
        <v>0</v>
      </c>
    </row>
    <row r="154" spans="3:6" x14ac:dyDescent="0.25">
      <c r="D154" s="7">
        <v>2049</v>
      </c>
      <c r="E154" s="7" t="s">
        <v>411</v>
      </c>
      <c r="F154" s="12">
        <f>HLOOKUP($E$5,'5. Bilan'!$F$4:$BF$227,148,0)</f>
        <v>0</v>
      </c>
    </row>
    <row r="155" spans="3:6" x14ac:dyDescent="0.25">
      <c r="F155" s="12"/>
    </row>
    <row r="156" spans="3:6" x14ac:dyDescent="0.25">
      <c r="C156" s="111">
        <v>205</v>
      </c>
      <c r="D156" s="111"/>
      <c r="E156" s="111" t="s">
        <v>255</v>
      </c>
      <c r="F156" s="112">
        <f>SUM(F157:F166)</f>
        <v>109573.70000000001</v>
      </c>
    </row>
    <row r="157" spans="3:6" x14ac:dyDescent="0.25">
      <c r="D157" s="7">
        <v>2050</v>
      </c>
      <c r="E157" s="7" t="s">
        <v>412</v>
      </c>
      <c r="F157" s="12">
        <f>HLOOKUP($E$5,'5. Bilan'!$F$4:$BF$227,151,0)</f>
        <v>105000</v>
      </c>
    </row>
    <row r="158" spans="3:6" x14ac:dyDescent="0.25">
      <c r="D158" s="7">
        <v>2051</v>
      </c>
      <c r="E158" s="7" t="s">
        <v>413</v>
      </c>
      <c r="F158" s="12">
        <f>HLOOKUP($E$5,'5. Bilan'!$F$4:$BF$227,152,0)</f>
        <v>0</v>
      </c>
    </row>
    <row r="159" spans="3:6" x14ac:dyDescent="0.25">
      <c r="D159" s="7">
        <v>2052</v>
      </c>
      <c r="E159" s="7" t="s">
        <v>414</v>
      </c>
      <c r="F159" s="12">
        <f>HLOOKUP($E$5,'5. Bilan'!$F$4:$BF$227,153,0)</f>
        <v>0</v>
      </c>
    </row>
    <row r="160" spans="3:6" x14ac:dyDescent="0.25">
      <c r="D160" s="7">
        <v>2053</v>
      </c>
      <c r="E160" s="7" t="s">
        <v>418</v>
      </c>
      <c r="F160" s="12">
        <f>HLOOKUP($E$5,'5. Bilan'!$F$4:$BF$227,154,0)</f>
        <v>0</v>
      </c>
    </row>
    <row r="161" spans="3:6" x14ac:dyDescent="0.25">
      <c r="D161" s="7">
        <v>2054</v>
      </c>
      <c r="E161" s="7" t="s">
        <v>416</v>
      </c>
      <c r="F161" s="12">
        <f>HLOOKUP($E$5,'5. Bilan'!$F$4:$BF$227,155,0)</f>
        <v>495.6</v>
      </c>
    </row>
    <row r="162" spans="3:6" x14ac:dyDescent="0.25">
      <c r="D162" s="7">
        <v>2055</v>
      </c>
      <c r="E162" s="7" t="s">
        <v>415</v>
      </c>
      <c r="F162" s="12">
        <f>HLOOKUP($E$5,'5. Bilan'!$F$4:$BF$227,156,0)</f>
        <v>0</v>
      </c>
    </row>
    <row r="163" spans="3:6" x14ac:dyDescent="0.25">
      <c r="D163" s="7">
        <v>2056</v>
      </c>
      <c r="E163" s="7" t="s">
        <v>417</v>
      </c>
      <c r="F163" s="12">
        <f>HLOOKUP($E$5,'5. Bilan'!$F$4:$BF$227,157,0)</f>
        <v>0</v>
      </c>
    </row>
    <row r="164" spans="3:6" x14ac:dyDescent="0.25">
      <c r="D164" s="7">
        <v>2057</v>
      </c>
      <c r="E164" s="7" t="s">
        <v>419</v>
      </c>
      <c r="F164" s="12">
        <f>HLOOKUP($E$5,'5. Bilan'!$F$4:$BF$227,158,0)</f>
        <v>0</v>
      </c>
    </row>
    <row r="165" spans="3:6" x14ac:dyDescent="0.25">
      <c r="D165" s="7">
        <v>2058</v>
      </c>
      <c r="E165" s="7" t="s">
        <v>420</v>
      </c>
      <c r="F165" s="12">
        <f>HLOOKUP($E$5,'5. Bilan'!$F$4:$BF$227,159,0)</f>
        <v>0</v>
      </c>
    </row>
    <row r="166" spans="3:6" x14ac:dyDescent="0.25">
      <c r="D166" s="7">
        <v>2059</v>
      </c>
      <c r="E166" s="7" t="s">
        <v>421</v>
      </c>
      <c r="F166" s="12">
        <f>HLOOKUP($E$5,'5. Bilan'!$F$4:$BF$227,160,0)</f>
        <v>4078.1</v>
      </c>
    </row>
    <row r="167" spans="3:6" x14ac:dyDescent="0.25">
      <c r="F167" s="12"/>
    </row>
    <row r="168" spans="3:6" x14ac:dyDescent="0.25">
      <c r="C168" s="111">
        <v>206</v>
      </c>
      <c r="D168" s="111"/>
      <c r="E168" s="111" t="s">
        <v>256</v>
      </c>
      <c r="F168" s="112">
        <f>SUM(F169:F174)</f>
        <v>33729190</v>
      </c>
    </row>
    <row r="169" spans="3:6" x14ac:dyDescent="0.25">
      <c r="D169" s="7">
        <v>2060</v>
      </c>
      <c r="E169" s="7" t="s">
        <v>422</v>
      </c>
      <c r="F169" s="12">
        <f>HLOOKUP($E$5,'5. Bilan'!$F$4:$BF$227,163,0)</f>
        <v>0</v>
      </c>
    </row>
    <row r="170" spans="3:6" x14ac:dyDescent="0.25">
      <c r="D170" s="7">
        <v>2062</v>
      </c>
      <c r="E170" s="7" t="s">
        <v>423</v>
      </c>
      <c r="F170" s="12">
        <f>HLOOKUP($E$5,'5. Bilan'!$F$4:$BF$227,164,0)</f>
        <v>0</v>
      </c>
    </row>
    <row r="171" spans="3:6" x14ac:dyDescent="0.25">
      <c r="D171" s="7">
        <v>2063</v>
      </c>
      <c r="E171" s="7" t="s">
        <v>424</v>
      </c>
      <c r="F171" s="12">
        <f>HLOOKUP($E$5,'5. Bilan'!$F$4:$BF$227,165,0)</f>
        <v>33729190</v>
      </c>
    </row>
    <row r="172" spans="3:6" x14ac:dyDescent="0.25">
      <c r="D172" s="7">
        <v>2064</v>
      </c>
      <c r="E172" s="7" t="s">
        <v>445</v>
      </c>
      <c r="F172" s="12">
        <f>HLOOKUP($E$5,'5. Bilan'!$F$4:$BF$227,166,0)</f>
        <v>0</v>
      </c>
    </row>
    <row r="173" spans="3:6" x14ac:dyDescent="0.25">
      <c r="D173" s="7">
        <v>2067</v>
      </c>
      <c r="E173" s="7" t="s">
        <v>426</v>
      </c>
      <c r="F173" s="12">
        <f>HLOOKUP($E$5,'5. Bilan'!$F$4:$BF$227,167,0)</f>
        <v>0</v>
      </c>
    </row>
    <row r="174" spans="3:6" x14ac:dyDescent="0.25">
      <c r="D174" s="7">
        <v>2069</v>
      </c>
      <c r="E174" s="7" t="s">
        <v>427</v>
      </c>
      <c r="F174" s="12">
        <f>HLOOKUP($E$5,'5. Bilan'!$F$4:$BF$227,168,0)</f>
        <v>0</v>
      </c>
    </row>
    <row r="175" spans="3:6" x14ac:dyDescent="0.25">
      <c r="F175" s="12"/>
    </row>
    <row r="176" spans="3:6" x14ac:dyDescent="0.25">
      <c r="C176" s="111">
        <v>208</v>
      </c>
      <c r="D176" s="111"/>
      <c r="E176" s="111" t="s">
        <v>257</v>
      </c>
      <c r="F176" s="112">
        <f>SUM(F177:F185)</f>
        <v>477423.5</v>
      </c>
    </row>
    <row r="177" spans="3:6" x14ac:dyDescent="0.25">
      <c r="D177" s="7">
        <v>2081</v>
      </c>
      <c r="E177" s="7" t="s">
        <v>428</v>
      </c>
      <c r="F177" s="12">
        <f>HLOOKUP($E$5,'5. Bilan'!$F$4:$BF$227,171,0)</f>
        <v>0</v>
      </c>
    </row>
    <row r="178" spans="3:6" x14ac:dyDescent="0.25">
      <c r="D178" s="7">
        <v>2082</v>
      </c>
      <c r="E178" s="7" t="s">
        <v>429</v>
      </c>
      <c r="F178" s="12">
        <f>HLOOKUP($E$5,'5. Bilan'!$F$4:$BF$227,172,0)</f>
        <v>0</v>
      </c>
    </row>
    <row r="179" spans="3:6" x14ac:dyDescent="0.25">
      <c r="D179" s="7">
        <v>2083</v>
      </c>
      <c r="E179" s="7" t="s">
        <v>430</v>
      </c>
      <c r="F179" s="12">
        <f>HLOOKUP($E$5,'5. Bilan'!$F$4:$BF$227,173,0)</f>
        <v>0</v>
      </c>
    </row>
    <row r="180" spans="3:6" x14ac:dyDescent="0.25">
      <c r="D180" s="7">
        <v>2084</v>
      </c>
      <c r="E180" s="7" t="s">
        <v>431</v>
      </c>
      <c r="F180" s="12">
        <f>HLOOKUP($E$5,'5. Bilan'!$F$4:$BF$227,174,0)</f>
        <v>0</v>
      </c>
    </row>
    <row r="181" spans="3:6" x14ac:dyDescent="0.25">
      <c r="D181" s="7">
        <v>2085</v>
      </c>
      <c r="E181" s="7" t="s">
        <v>433</v>
      </c>
      <c r="F181" s="12">
        <f>HLOOKUP($E$5,'5. Bilan'!$F$4:$BF$227,175,0)</f>
        <v>477423.5</v>
      </c>
    </row>
    <row r="182" spans="3:6" x14ac:dyDescent="0.25">
      <c r="D182" s="7">
        <v>2086</v>
      </c>
      <c r="E182" s="7" t="s">
        <v>432</v>
      </c>
      <c r="F182" s="12">
        <f>HLOOKUP($E$5,'5. Bilan'!$F$4:$BF$227,176,0)</f>
        <v>0</v>
      </c>
    </row>
    <row r="183" spans="3:6" x14ac:dyDescent="0.25">
      <c r="D183" s="7">
        <v>2087</v>
      </c>
      <c r="E183" s="7" t="s">
        <v>434</v>
      </c>
      <c r="F183" s="12">
        <f>HLOOKUP($E$5,'5. Bilan'!$F$4:$BF$227,177,0)</f>
        <v>0</v>
      </c>
    </row>
    <row r="184" spans="3:6" x14ac:dyDescent="0.25">
      <c r="D184" s="7">
        <v>2088</v>
      </c>
      <c r="E184" s="7" t="s">
        <v>435</v>
      </c>
      <c r="F184" s="12">
        <f>HLOOKUP($E$5,'5. Bilan'!$F$4:$BF$227,178,0)</f>
        <v>0</v>
      </c>
    </row>
    <row r="185" spans="3:6" x14ac:dyDescent="0.25">
      <c r="D185" s="7">
        <v>2089</v>
      </c>
      <c r="E185" s="7" t="s">
        <v>436</v>
      </c>
      <c r="F185" s="12">
        <f>HLOOKUP($E$5,'5. Bilan'!$F$4:$BF$227,179,0)</f>
        <v>0</v>
      </c>
    </row>
    <row r="186" spans="3:6" x14ac:dyDescent="0.25">
      <c r="F186" s="12"/>
    </row>
    <row r="187" spans="3:6" x14ac:dyDescent="0.25">
      <c r="C187" s="111">
        <v>209</v>
      </c>
      <c r="D187" s="111"/>
      <c r="E187" s="111" t="s">
        <v>258</v>
      </c>
      <c r="F187" s="112">
        <f>SUM(F188:F191)</f>
        <v>752706</v>
      </c>
    </row>
    <row r="188" spans="3:6" x14ac:dyDescent="0.25">
      <c r="D188" s="7">
        <v>2090</v>
      </c>
      <c r="E188" s="7" t="s">
        <v>258</v>
      </c>
      <c r="F188" s="12">
        <f>HLOOKUP($E$5,'5. Bilan'!$F$4:$BF$227,182,0)</f>
        <v>0</v>
      </c>
    </row>
    <row r="189" spans="3:6" x14ac:dyDescent="0.25">
      <c r="D189" s="7">
        <v>2091</v>
      </c>
      <c r="E189" s="7" t="s">
        <v>437</v>
      </c>
      <c r="F189" s="12">
        <f>HLOOKUP($E$5,'5. Bilan'!$F$4:$BF$227,183,0)</f>
        <v>752706</v>
      </c>
    </row>
    <row r="190" spans="3:6" x14ac:dyDescent="0.25">
      <c r="D190" s="7">
        <v>2092</v>
      </c>
      <c r="E190" s="7" t="s">
        <v>438</v>
      </c>
      <c r="F190" s="12">
        <f>HLOOKUP($E$5,'5. Bilan'!$F$4:$BF$227,184,0)</f>
        <v>0</v>
      </c>
    </row>
    <row r="191" spans="3:6" x14ac:dyDescent="0.25">
      <c r="D191" s="7">
        <v>2093</v>
      </c>
      <c r="E191" s="7" t="s">
        <v>439</v>
      </c>
      <c r="F191" s="12">
        <f>HLOOKUP($E$5,'5. Bilan'!$F$4:$BF$227,185,0)</f>
        <v>0</v>
      </c>
    </row>
    <row r="192" spans="3:6" x14ac:dyDescent="0.25">
      <c r="F192" s="12"/>
    </row>
    <row r="193" spans="2:6" x14ac:dyDescent="0.25">
      <c r="B193" s="109">
        <v>29</v>
      </c>
      <c r="C193" s="109"/>
      <c r="D193" s="109"/>
      <c r="E193" s="109" t="s">
        <v>259</v>
      </c>
      <c r="F193" s="110">
        <f>HLOOKUP($E$5,'5. Bilan'!$F$4:$BF$227,187,0)</f>
        <v>11716423.159999998</v>
      </c>
    </row>
    <row r="194" spans="2:6" x14ac:dyDescent="0.25">
      <c r="C194" s="111">
        <v>290</v>
      </c>
      <c r="D194" s="111"/>
      <c r="E194" s="111" t="s">
        <v>260</v>
      </c>
      <c r="F194" s="112">
        <f>SUM(F195)</f>
        <v>4590811.22</v>
      </c>
    </row>
    <row r="195" spans="2:6" x14ac:dyDescent="0.25">
      <c r="D195" s="7">
        <v>2900</v>
      </c>
      <c r="E195" s="7" t="s">
        <v>260</v>
      </c>
      <c r="F195" s="12">
        <f>HLOOKUP($E$5,'5. Bilan'!$F$4:$BF$227,189,0)</f>
        <v>4590811.22</v>
      </c>
    </row>
    <row r="196" spans="2:6" x14ac:dyDescent="0.25">
      <c r="F196" s="12"/>
    </row>
    <row r="197" spans="2:6" x14ac:dyDescent="0.25">
      <c r="C197" s="111">
        <v>291</v>
      </c>
      <c r="D197" s="111"/>
      <c r="E197" s="111" t="s">
        <v>261</v>
      </c>
      <c r="F197" s="112">
        <f>SUM(F198:F199)</f>
        <v>269724.81</v>
      </c>
    </row>
    <row r="198" spans="2:6" x14ac:dyDescent="0.25">
      <c r="D198" s="7">
        <v>2910</v>
      </c>
      <c r="E198" s="7" t="s">
        <v>261</v>
      </c>
      <c r="F198" s="12">
        <f>HLOOKUP($E$5,'5. Bilan'!$F$4:$BF$227,192,0)</f>
        <v>0</v>
      </c>
    </row>
    <row r="199" spans="2:6" x14ac:dyDescent="0.25">
      <c r="D199" s="7">
        <v>2911</v>
      </c>
      <c r="E199" s="7" t="s">
        <v>440</v>
      </c>
      <c r="F199" s="12">
        <f>HLOOKUP($E$5,'5. Bilan'!$F$4:$BF$227,193,0)</f>
        <v>269724.81</v>
      </c>
    </row>
    <row r="200" spans="2:6" x14ac:dyDescent="0.25">
      <c r="F200" s="12"/>
    </row>
    <row r="201" spans="2:6" x14ac:dyDescent="0.25">
      <c r="C201" s="111">
        <v>292</v>
      </c>
      <c r="D201" s="111"/>
      <c r="E201" s="111" t="s">
        <v>262</v>
      </c>
      <c r="F201" s="112">
        <f>SUM(F202)</f>
        <v>0</v>
      </c>
    </row>
    <row r="202" spans="2:6" x14ac:dyDescent="0.25">
      <c r="D202" s="7">
        <v>2920</v>
      </c>
      <c r="E202" s="7" t="s">
        <v>262</v>
      </c>
      <c r="F202" s="12">
        <f>HLOOKUP($E$5,'5. Bilan'!$F$4:$BF$227,196,0)</f>
        <v>0</v>
      </c>
    </row>
    <row r="203" spans="2:6" x14ac:dyDescent="0.25">
      <c r="F203" s="12"/>
    </row>
    <row r="204" spans="2:6" x14ac:dyDescent="0.25">
      <c r="C204" s="111">
        <v>293</v>
      </c>
      <c r="D204" s="111"/>
      <c r="E204" s="111" t="s">
        <v>263</v>
      </c>
      <c r="F204" s="112">
        <f>SUM(F205)</f>
        <v>3312134.98</v>
      </c>
    </row>
    <row r="205" spans="2:6" x14ac:dyDescent="0.25">
      <c r="D205" s="7">
        <v>2930</v>
      </c>
      <c r="E205" s="7" t="s">
        <v>263</v>
      </c>
      <c r="F205" s="12">
        <f>HLOOKUP($E$5,'5. Bilan'!$F$4:$BF$227,199,0)</f>
        <v>3312134.98</v>
      </c>
    </row>
    <row r="206" spans="2:6" x14ac:dyDescent="0.25">
      <c r="F206" s="12"/>
    </row>
    <row r="207" spans="2:6" x14ac:dyDescent="0.25">
      <c r="C207" s="111">
        <v>294</v>
      </c>
      <c r="D207" s="111"/>
      <c r="E207" s="111" t="s">
        <v>264</v>
      </c>
      <c r="F207" s="112">
        <f>SUM(F208)</f>
        <v>987900</v>
      </c>
    </row>
    <row r="208" spans="2:6" x14ac:dyDescent="0.25">
      <c r="D208" s="7">
        <v>2940</v>
      </c>
      <c r="E208" s="7" t="s">
        <v>264</v>
      </c>
      <c r="F208" s="12">
        <f>HLOOKUP($E$5,'5. Bilan'!$F$4:$BF$227,202,0)</f>
        <v>987900</v>
      </c>
    </row>
    <row r="209" spans="3:6" x14ac:dyDescent="0.25">
      <c r="F209" s="12"/>
    </row>
    <row r="210" spans="3:6" x14ac:dyDescent="0.25">
      <c r="C210" s="111">
        <v>295</v>
      </c>
      <c r="D210" s="111"/>
      <c r="E210" s="111" t="s">
        <v>265</v>
      </c>
      <c r="F210" s="112">
        <f>SUM(F211)</f>
        <v>1843840.03</v>
      </c>
    </row>
    <row r="211" spans="3:6" x14ac:dyDescent="0.25">
      <c r="D211" s="7">
        <v>2950</v>
      </c>
      <c r="E211" s="7" t="s">
        <v>265</v>
      </c>
      <c r="F211" s="12">
        <f>HLOOKUP($E$5,'5. Bilan'!$F$4:$BF$227,205,0)</f>
        <v>1843840.03</v>
      </c>
    </row>
    <row r="212" spans="3:6" x14ac:dyDescent="0.25">
      <c r="F212" s="12"/>
    </row>
    <row r="213" spans="3:6" x14ac:dyDescent="0.25">
      <c r="C213" s="111">
        <v>296</v>
      </c>
      <c r="D213" s="111"/>
      <c r="E213" s="111" t="s">
        <v>266</v>
      </c>
      <c r="F213" s="112">
        <f>SUM(F214)</f>
        <v>0</v>
      </c>
    </row>
    <row r="214" spans="3:6" x14ac:dyDescent="0.25">
      <c r="D214" s="7">
        <v>2960</v>
      </c>
      <c r="E214" s="7" t="s">
        <v>266</v>
      </c>
      <c r="F214" s="12">
        <f>HLOOKUP($E$5,'5. Bilan'!$F$4:$BF$227,208,0)</f>
        <v>0</v>
      </c>
    </row>
    <row r="215" spans="3:6" x14ac:dyDescent="0.25">
      <c r="F215" s="12"/>
    </row>
    <row r="216" spans="3:6" x14ac:dyDescent="0.25">
      <c r="C216" s="111">
        <v>298</v>
      </c>
      <c r="D216" s="111"/>
      <c r="E216" s="111" t="s">
        <v>267</v>
      </c>
      <c r="F216" s="112">
        <f>SUM(F217)</f>
        <v>0</v>
      </c>
    </row>
    <row r="217" spans="3:6" x14ac:dyDescent="0.25">
      <c r="D217" s="7">
        <v>2980</v>
      </c>
      <c r="E217" s="7" t="s">
        <v>267</v>
      </c>
      <c r="F217" s="12">
        <f>HLOOKUP($E$5,'5. Bilan'!$F$4:$BF$227,211,0)</f>
        <v>0</v>
      </c>
    </row>
    <row r="218" spans="3:6" x14ac:dyDescent="0.25">
      <c r="F218" s="12"/>
    </row>
    <row r="219" spans="3:6" x14ac:dyDescent="0.25">
      <c r="C219" s="111">
        <v>299</v>
      </c>
      <c r="D219" s="111"/>
      <c r="E219" s="111" t="s">
        <v>441</v>
      </c>
      <c r="F219" s="112">
        <f>SUM(F220:F221)</f>
        <v>712012.12</v>
      </c>
    </row>
    <row r="220" spans="3:6" x14ac:dyDescent="0.25">
      <c r="D220" s="7">
        <v>2990</v>
      </c>
      <c r="E220" s="7" t="s">
        <v>441</v>
      </c>
      <c r="F220" s="12">
        <f>HLOOKUP($E$5,'5. Bilan'!$F$4:$BF$227,214,0)</f>
        <v>383432.05</v>
      </c>
    </row>
    <row r="221" spans="3:6" x14ac:dyDescent="0.25">
      <c r="D221" s="7">
        <v>2999</v>
      </c>
      <c r="E221" s="7" t="s">
        <v>842</v>
      </c>
      <c r="F221" s="12">
        <f>HLOOKUP($E$5,'5. Bilan'!$F$4:$BF$227,215,0)</f>
        <v>328580.07</v>
      </c>
    </row>
    <row r="222" spans="3:6" x14ac:dyDescent="0.25">
      <c r="F222" s="12"/>
    </row>
    <row r="223" spans="3:6" x14ac:dyDescent="0.25">
      <c r="C223" s="114"/>
      <c r="D223" s="114"/>
      <c r="E223" s="114" t="s">
        <v>580</v>
      </c>
      <c r="F223" s="118"/>
    </row>
    <row r="224" spans="3:6" x14ac:dyDescent="0.25">
      <c r="D224" s="7">
        <v>290</v>
      </c>
      <c r="E224" s="7" t="s">
        <v>579</v>
      </c>
      <c r="F224" s="12">
        <f>HLOOKUP($E$5,'5. Bilan'!$F$4:$BF$227,218,0)</f>
        <v>702588.75</v>
      </c>
    </row>
    <row r="225" spans="4:6" x14ac:dyDescent="0.25">
      <c r="D225" s="7">
        <v>2990</v>
      </c>
      <c r="E225" s="7" t="s">
        <v>583</v>
      </c>
      <c r="F225" s="12">
        <f>HLOOKUP($E$5,'5. Bilan'!$F$4:$BF$227,219,0)</f>
        <v>383432.05</v>
      </c>
    </row>
    <row r="226" spans="4:6" x14ac:dyDescent="0.25">
      <c r="F226" s="12"/>
    </row>
    <row r="227" spans="4:6" x14ac:dyDescent="0.25">
      <c r="E227" s="6" t="s">
        <v>582</v>
      </c>
      <c r="F227" s="12">
        <f>HLOOKUP($E$5,'5. Bilan'!$F$4:$BF$227,221,0)</f>
        <v>1086020.8</v>
      </c>
    </row>
    <row r="228" spans="4:6" x14ac:dyDescent="0.25">
      <c r="F228" s="12"/>
    </row>
    <row r="229" spans="4:6" x14ac:dyDescent="0.25">
      <c r="E229" s="77" t="s">
        <v>581</v>
      </c>
      <c r="F229" s="12">
        <f>HLOOKUP($E$5,'5. Bilan'!$F$4:$BF$227,223,0)</f>
        <v>0.10000001639127731</v>
      </c>
    </row>
  </sheetData>
  <pageMargins left="0.7" right="0.7" top="0.75" bottom="0.75" header="0.3" footer="0.3"/>
  <pageSetup paperSize="9" scale="21"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'5. Bilan'!$F$4:$BF$4</xm:f>
          </x14:formula1>
          <xm:sqref>E5</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59999389629810485"/>
    <pageSetUpPr fitToPage="1"/>
  </sheetPr>
  <dimension ref="A2:F220"/>
  <sheetViews>
    <sheetView workbookViewId="0"/>
  </sheetViews>
  <sheetFormatPr baseColWidth="10" defaultColWidth="11.44140625" defaultRowHeight="13.8" x14ac:dyDescent="0.25"/>
  <cols>
    <col min="1" max="3" width="4.6640625" style="7" customWidth="1"/>
    <col min="4" max="4" width="9" style="7" customWidth="1"/>
    <col min="5" max="5" width="63.5546875" style="7" customWidth="1"/>
    <col min="6" max="6" width="27.88671875" style="7" customWidth="1"/>
    <col min="7" max="16384" width="11.44140625" style="7"/>
  </cols>
  <sheetData>
    <row r="2" spans="1:6" ht="21" x14ac:dyDescent="0.4">
      <c r="A2" s="79" t="s">
        <v>824</v>
      </c>
      <c r="B2" s="6"/>
      <c r="C2" s="6"/>
      <c r="D2" s="6"/>
      <c r="E2" s="6"/>
    </row>
    <row r="3" spans="1:6" x14ac:dyDescent="0.25">
      <c r="A3" s="7" t="s">
        <v>198</v>
      </c>
      <c r="F3" s="8">
        <f>'5. Bilan'!BG3</f>
        <v>73865</v>
      </c>
    </row>
    <row r="4" spans="1:6" x14ac:dyDescent="0.25">
      <c r="F4" s="9" t="s">
        <v>443</v>
      </c>
    </row>
    <row r="5" spans="1:6" ht="21" x14ac:dyDescent="0.4">
      <c r="A5" s="102">
        <v>1</v>
      </c>
      <c r="B5" s="102"/>
      <c r="C5" s="102"/>
      <c r="D5" s="102"/>
      <c r="E5" s="102" t="s">
        <v>238</v>
      </c>
      <c r="F5" s="103">
        <f>'5. Bilan'!BG5</f>
        <v>915185372.55000007</v>
      </c>
    </row>
    <row r="6" spans="1:6" x14ac:dyDescent="0.25">
      <c r="A6" s="6"/>
      <c r="B6" s="104">
        <v>10</v>
      </c>
      <c r="C6" s="104"/>
      <c r="D6" s="104"/>
      <c r="E6" s="104" t="s">
        <v>239</v>
      </c>
      <c r="F6" s="105">
        <f>'5. Bilan'!BG6</f>
        <v>347225836.00999993</v>
      </c>
    </row>
    <row r="7" spans="1:6" x14ac:dyDescent="0.25">
      <c r="C7" s="76">
        <v>100</v>
      </c>
      <c r="D7" s="76"/>
      <c r="E7" s="76" t="s">
        <v>240</v>
      </c>
      <c r="F7" s="96">
        <f>'5. Bilan'!BG7</f>
        <v>96910512.700000018</v>
      </c>
    </row>
    <row r="8" spans="1:6" x14ac:dyDescent="0.25">
      <c r="D8" s="7">
        <v>1000</v>
      </c>
      <c r="E8" s="7" t="s">
        <v>310</v>
      </c>
      <c r="F8" s="12">
        <f>'5. Bilan'!BG8</f>
        <v>174390.34999999995</v>
      </c>
    </row>
    <row r="9" spans="1:6" x14ac:dyDescent="0.25">
      <c r="D9" s="7">
        <v>1001</v>
      </c>
      <c r="E9" s="7" t="s">
        <v>311</v>
      </c>
      <c r="F9" s="12">
        <f>'5. Bilan'!BG9</f>
        <v>23985218.699999999</v>
      </c>
    </row>
    <row r="10" spans="1:6" x14ac:dyDescent="0.25">
      <c r="D10" s="7">
        <v>1002</v>
      </c>
      <c r="E10" s="7" t="s">
        <v>319</v>
      </c>
      <c r="F10" s="12">
        <f>'5. Bilan'!BG10</f>
        <v>71174869.220000014</v>
      </c>
    </row>
    <row r="11" spans="1:6" x14ac:dyDescent="0.25">
      <c r="D11" s="7">
        <v>1003</v>
      </c>
      <c r="E11" s="7" t="s">
        <v>312</v>
      </c>
      <c r="F11" s="12">
        <f>'5. Bilan'!BG11</f>
        <v>1560000</v>
      </c>
    </row>
    <row r="12" spans="1:6" x14ac:dyDescent="0.25">
      <c r="D12" s="7">
        <v>1004</v>
      </c>
      <c r="E12" s="7" t="s">
        <v>313</v>
      </c>
      <c r="F12" s="12">
        <f>'5. Bilan'!BG12</f>
        <v>9109.43</v>
      </c>
    </row>
    <row r="13" spans="1:6" x14ac:dyDescent="0.25">
      <c r="D13" s="7">
        <v>1009</v>
      </c>
      <c r="E13" s="7" t="s">
        <v>314</v>
      </c>
      <c r="F13" s="12">
        <f>'5. Bilan'!BG13</f>
        <v>6925</v>
      </c>
    </row>
    <row r="14" spans="1:6" x14ac:dyDescent="0.25">
      <c r="F14" s="75"/>
    </row>
    <row r="15" spans="1:6" x14ac:dyDescent="0.25">
      <c r="C15" s="76">
        <v>101</v>
      </c>
      <c r="D15" s="76"/>
      <c r="E15" s="76" t="s">
        <v>241</v>
      </c>
      <c r="F15" s="96">
        <f>'5. Bilan'!BG15</f>
        <v>86778480.850000009</v>
      </c>
    </row>
    <row r="16" spans="1:6" x14ac:dyDescent="0.25">
      <c r="D16" s="7">
        <v>1010</v>
      </c>
      <c r="E16" s="7" t="s">
        <v>315</v>
      </c>
      <c r="F16" s="12">
        <f>'5. Bilan'!BG16</f>
        <v>31746536.729999997</v>
      </c>
    </row>
    <row r="17" spans="3:6" x14ac:dyDescent="0.25">
      <c r="D17" s="7">
        <v>1011</v>
      </c>
      <c r="E17" s="7" t="s">
        <v>396</v>
      </c>
      <c r="F17" s="12">
        <f>'5. Bilan'!BG17</f>
        <v>6094836.0599999996</v>
      </c>
    </row>
    <row r="18" spans="3:6" x14ac:dyDescent="0.25">
      <c r="D18" s="7">
        <v>1012</v>
      </c>
      <c r="E18" s="7" t="s">
        <v>316</v>
      </c>
      <c r="F18" s="12">
        <f>'5. Bilan'!BG18</f>
        <v>45269285.99000001</v>
      </c>
    </row>
    <row r="19" spans="3:6" x14ac:dyDescent="0.25">
      <c r="D19" s="7">
        <v>1013</v>
      </c>
      <c r="E19" s="7" t="s">
        <v>317</v>
      </c>
      <c r="F19" s="12">
        <f>'5. Bilan'!BG19</f>
        <v>377558.8</v>
      </c>
    </row>
    <row r="20" spans="3:6" x14ac:dyDescent="0.25">
      <c r="D20" s="7">
        <v>1014</v>
      </c>
      <c r="E20" s="7" t="s">
        <v>318</v>
      </c>
      <c r="F20" s="12">
        <f>'5. Bilan'!BG20</f>
        <v>761712.19000000006</v>
      </c>
    </row>
    <row r="21" spans="3:6" x14ac:dyDescent="0.25">
      <c r="D21" s="7">
        <v>1015</v>
      </c>
      <c r="E21" s="7" t="s">
        <v>320</v>
      </c>
      <c r="F21" s="12">
        <f>'5. Bilan'!BG21</f>
        <v>1560601.46</v>
      </c>
    </row>
    <row r="22" spans="3:6" x14ac:dyDescent="0.25">
      <c r="D22" s="7">
        <v>1016</v>
      </c>
      <c r="E22" s="7" t="s">
        <v>321</v>
      </c>
      <c r="F22" s="12">
        <f>'5. Bilan'!BG22</f>
        <v>19953.95</v>
      </c>
    </row>
    <row r="23" spans="3:6" x14ac:dyDescent="0.25">
      <c r="D23" s="7">
        <v>1019</v>
      </c>
      <c r="E23" s="7" t="s">
        <v>322</v>
      </c>
      <c r="F23" s="12">
        <f>'5. Bilan'!BG23</f>
        <v>947995.66999999993</v>
      </c>
    </row>
    <row r="24" spans="3:6" x14ac:dyDescent="0.25">
      <c r="F24" s="75"/>
    </row>
    <row r="25" spans="3:6" x14ac:dyDescent="0.25">
      <c r="C25" s="76">
        <v>102</v>
      </c>
      <c r="D25" s="76"/>
      <c r="E25" s="76" t="s">
        <v>242</v>
      </c>
      <c r="F25" s="96">
        <f>'5. Bilan'!BG25</f>
        <v>0</v>
      </c>
    </row>
    <row r="26" spans="3:6" x14ac:dyDescent="0.25">
      <c r="D26" s="7">
        <v>1020</v>
      </c>
      <c r="E26" s="7" t="s">
        <v>323</v>
      </c>
      <c r="F26" s="12">
        <f>'5. Bilan'!BG26</f>
        <v>0</v>
      </c>
    </row>
    <row r="27" spans="3:6" x14ac:dyDescent="0.25">
      <c r="D27" s="7">
        <v>1022</v>
      </c>
      <c r="E27" s="7" t="s">
        <v>324</v>
      </c>
      <c r="F27" s="12">
        <f>'5. Bilan'!BG27</f>
        <v>0</v>
      </c>
    </row>
    <row r="28" spans="3:6" x14ac:dyDescent="0.25">
      <c r="D28" s="7">
        <v>1023</v>
      </c>
      <c r="E28" s="7" t="s">
        <v>325</v>
      </c>
      <c r="F28" s="12">
        <f>'5. Bilan'!BG28</f>
        <v>0</v>
      </c>
    </row>
    <row r="29" spans="3:6" x14ac:dyDescent="0.25">
      <c r="D29" s="7">
        <v>1029</v>
      </c>
      <c r="E29" s="7" t="s">
        <v>326</v>
      </c>
      <c r="F29" s="12">
        <f>'5. Bilan'!BG29</f>
        <v>0</v>
      </c>
    </row>
    <row r="30" spans="3:6" x14ac:dyDescent="0.25">
      <c r="F30" s="75"/>
    </row>
    <row r="31" spans="3:6" x14ac:dyDescent="0.25">
      <c r="C31" s="76">
        <v>104</v>
      </c>
      <c r="D31" s="76"/>
      <c r="E31" s="76" t="s">
        <v>243</v>
      </c>
      <c r="F31" s="96">
        <f>'5. Bilan'!BG31</f>
        <v>33228353.909999993</v>
      </c>
    </row>
    <row r="32" spans="3:6" x14ac:dyDescent="0.25">
      <c r="D32" s="7">
        <v>1040</v>
      </c>
      <c r="E32" s="7" t="s">
        <v>61</v>
      </c>
      <c r="F32" s="12">
        <f>'5. Bilan'!BG32</f>
        <v>21843.13</v>
      </c>
    </row>
    <row r="33" spans="3:6" x14ac:dyDescent="0.25">
      <c r="D33" s="7">
        <v>1041</v>
      </c>
      <c r="E33" s="7" t="s">
        <v>327</v>
      </c>
      <c r="F33" s="12">
        <f>'5. Bilan'!BG33</f>
        <v>9549114.4700000007</v>
      </c>
    </row>
    <row r="34" spans="3:6" x14ac:dyDescent="0.25">
      <c r="D34" s="7">
        <v>1042</v>
      </c>
      <c r="E34" s="7" t="s">
        <v>328</v>
      </c>
      <c r="F34" s="12">
        <f>'5. Bilan'!BG34</f>
        <v>6541527.6299999999</v>
      </c>
    </row>
    <row r="35" spans="3:6" x14ac:dyDescent="0.25">
      <c r="D35" s="7">
        <v>1043</v>
      </c>
      <c r="E35" s="7" t="s">
        <v>329</v>
      </c>
      <c r="F35" s="12">
        <f>'5. Bilan'!BG35</f>
        <v>12659847.819999998</v>
      </c>
    </row>
    <row r="36" spans="3:6" x14ac:dyDescent="0.25">
      <c r="D36" s="7">
        <v>1044</v>
      </c>
      <c r="E36" s="7" t="s">
        <v>330</v>
      </c>
      <c r="F36" s="12">
        <f>'5. Bilan'!BG36</f>
        <v>224003.12999999998</v>
      </c>
    </row>
    <row r="37" spans="3:6" x14ac:dyDescent="0.25">
      <c r="D37" s="7">
        <v>1045</v>
      </c>
      <c r="E37" s="7" t="s">
        <v>331</v>
      </c>
      <c r="F37" s="12">
        <f>'5. Bilan'!BG37</f>
        <v>2343849.8099999996</v>
      </c>
    </row>
    <row r="38" spans="3:6" x14ac:dyDescent="0.25">
      <c r="D38" s="7">
        <v>1046</v>
      </c>
      <c r="E38" s="7" t="s">
        <v>332</v>
      </c>
      <c r="F38" s="12">
        <f>'5. Bilan'!BG38</f>
        <v>890033.6</v>
      </c>
    </row>
    <row r="39" spans="3:6" x14ac:dyDescent="0.25">
      <c r="D39" s="7">
        <v>1049</v>
      </c>
      <c r="E39" s="7" t="s">
        <v>333</v>
      </c>
      <c r="F39" s="12">
        <f>'5. Bilan'!BG39</f>
        <v>998134.32000000007</v>
      </c>
    </row>
    <row r="40" spans="3:6" x14ac:dyDescent="0.25">
      <c r="F40" s="75"/>
    </row>
    <row r="41" spans="3:6" x14ac:dyDescent="0.25">
      <c r="C41" s="76">
        <v>106</v>
      </c>
      <c r="D41" s="76"/>
      <c r="E41" s="76" t="s">
        <v>244</v>
      </c>
      <c r="F41" s="96">
        <f>'5. Bilan'!BG41</f>
        <v>889789.95</v>
      </c>
    </row>
    <row r="42" spans="3:6" x14ac:dyDescent="0.25">
      <c r="D42" s="7">
        <v>1060</v>
      </c>
      <c r="E42" s="7" t="s">
        <v>334</v>
      </c>
      <c r="F42" s="12">
        <f>'5. Bilan'!BG42</f>
        <v>76187.840000000011</v>
      </c>
    </row>
    <row r="43" spans="3:6" x14ac:dyDescent="0.25">
      <c r="D43" s="7">
        <v>1061</v>
      </c>
      <c r="E43" s="7" t="s">
        <v>335</v>
      </c>
      <c r="F43" s="12">
        <f>'5. Bilan'!BG43</f>
        <v>676350.75999999989</v>
      </c>
    </row>
    <row r="44" spans="3:6" x14ac:dyDescent="0.25">
      <c r="D44" s="7">
        <v>1062</v>
      </c>
      <c r="E44" s="7" t="s">
        <v>336</v>
      </c>
      <c r="F44" s="12">
        <f>'5. Bilan'!BG44</f>
        <v>0</v>
      </c>
    </row>
    <row r="45" spans="3:6" x14ac:dyDescent="0.25">
      <c r="D45" s="7">
        <v>1063</v>
      </c>
      <c r="E45" s="7" t="s">
        <v>337</v>
      </c>
      <c r="F45" s="12">
        <f>'5. Bilan'!BG45</f>
        <v>137251.35</v>
      </c>
    </row>
    <row r="46" spans="3:6" x14ac:dyDescent="0.25">
      <c r="D46" s="7">
        <v>1068</v>
      </c>
      <c r="E46" s="7" t="s">
        <v>338</v>
      </c>
      <c r="F46" s="12">
        <f>'5. Bilan'!BG46</f>
        <v>0</v>
      </c>
    </row>
    <row r="47" spans="3:6" x14ac:dyDescent="0.25">
      <c r="F47" s="75"/>
    </row>
    <row r="48" spans="3:6" x14ac:dyDescent="0.25">
      <c r="C48" s="76">
        <v>107</v>
      </c>
      <c r="D48" s="76"/>
      <c r="E48" s="76" t="s">
        <v>343</v>
      </c>
      <c r="F48" s="96">
        <f>'5. Bilan'!BG48</f>
        <v>20947216.59</v>
      </c>
    </row>
    <row r="49" spans="3:6" x14ac:dyDescent="0.25">
      <c r="D49" s="7">
        <v>1070</v>
      </c>
      <c r="E49" s="7" t="s">
        <v>339</v>
      </c>
      <c r="F49" s="12">
        <f>'5. Bilan'!BG49</f>
        <v>4692487.05</v>
      </c>
    </row>
    <row r="50" spans="3:6" x14ac:dyDescent="0.25">
      <c r="D50" s="7">
        <v>1071</v>
      </c>
      <c r="E50" s="7" t="s">
        <v>340</v>
      </c>
      <c r="F50" s="12">
        <f>'5. Bilan'!BG50</f>
        <v>16254729.540000001</v>
      </c>
    </row>
    <row r="51" spans="3:6" x14ac:dyDescent="0.25">
      <c r="D51" s="7">
        <v>1072</v>
      </c>
      <c r="E51" s="7" t="s">
        <v>341</v>
      </c>
      <c r="F51" s="12">
        <f>'5. Bilan'!BG51</f>
        <v>0</v>
      </c>
    </row>
    <row r="52" spans="3:6" x14ac:dyDescent="0.25">
      <c r="D52" s="7">
        <v>1079</v>
      </c>
      <c r="E52" s="7" t="s">
        <v>342</v>
      </c>
      <c r="F52" s="12">
        <f>'5. Bilan'!BG52</f>
        <v>0</v>
      </c>
    </row>
    <row r="53" spans="3:6" x14ac:dyDescent="0.25">
      <c r="F53" s="75"/>
    </row>
    <row r="54" spans="3:6" x14ac:dyDescent="0.25">
      <c r="C54" s="76">
        <v>108</v>
      </c>
      <c r="D54" s="76"/>
      <c r="E54" s="76" t="s">
        <v>245</v>
      </c>
      <c r="F54" s="96">
        <f>'5. Bilan'!BG54</f>
        <v>108471482.00999999</v>
      </c>
    </row>
    <row r="55" spans="3:6" x14ac:dyDescent="0.25">
      <c r="D55" s="7">
        <v>1080</v>
      </c>
      <c r="E55" s="7" t="s">
        <v>344</v>
      </c>
      <c r="F55" s="12">
        <f>'5. Bilan'!BG55</f>
        <v>39915719.199999996</v>
      </c>
    </row>
    <row r="56" spans="3:6" x14ac:dyDescent="0.25">
      <c r="D56" s="7">
        <v>1084</v>
      </c>
      <c r="E56" s="7" t="s">
        <v>345</v>
      </c>
      <c r="F56" s="12">
        <f>'5. Bilan'!BG56</f>
        <v>65743803.020000011</v>
      </c>
    </row>
    <row r="57" spans="3:6" x14ac:dyDescent="0.25">
      <c r="D57" s="7">
        <v>1086</v>
      </c>
      <c r="E57" s="7" t="s">
        <v>346</v>
      </c>
      <c r="F57" s="12">
        <f>'5. Bilan'!BG57</f>
        <v>0</v>
      </c>
    </row>
    <row r="58" spans="3:6" x14ac:dyDescent="0.25">
      <c r="D58" s="7">
        <v>1087</v>
      </c>
      <c r="E58" s="7" t="s">
        <v>347</v>
      </c>
      <c r="F58" s="12">
        <f>'5. Bilan'!BG58</f>
        <v>2637959.79</v>
      </c>
    </row>
    <row r="59" spans="3:6" x14ac:dyDescent="0.25">
      <c r="D59" s="7">
        <v>1088</v>
      </c>
      <c r="E59" s="7" t="s">
        <v>348</v>
      </c>
      <c r="F59" s="12">
        <f>'5. Bilan'!BG59</f>
        <v>0</v>
      </c>
    </row>
    <row r="60" spans="3:6" x14ac:dyDescent="0.25">
      <c r="D60" s="7">
        <v>1089</v>
      </c>
      <c r="E60" s="7" t="s">
        <v>349</v>
      </c>
      <c r="F60" s="12">
        <f>'5. Bilan'!BG60</f>
        <v>174000</v>
      </c>
    </row>
    <row r="61" spans="3:6" x14ac:dyDescent="0.25">
      <c r="F61" s="75"/>
    </row>
    <row r="62" spans="3:6" x14ac:dyDescent="0.25">
      <c r="C62" s="76">
        <v>109</v>
      </c>
      <c r="D62" s="76"/>
      <c r="E62" s="76" t="s">
        <v>350</v>
      </c>
      <c r="F62" s="96">
        <f>'5. Bilan'!BG62</f>
        <v>0</v>
      </c>
    </row>
    <row r="63" spans="3:6" x14ac:dyDescent="0.25">
      <c r="D63" s="7">
        <v>1090</v>
      </c>
      <c r="E63" s="7" t="s">
        <v>350</v>
      </c>
      <c r="F63" s="12">
        <f>'5. Bilan'!BG63</f>
        <v>0</v>
      </c>
    </row>
    <row r="64" spans="3:6" x14ac:dyDescent="0.25">
      <c r="D64" s="7">
        <v>1091</v>
      </c>
      <c r="E64" s="7" t="s">
        <v>351</v>
      </c>
      <c r="F64" s="12">
        <f>'5. Bilan'!BG64</f>
        <v>0</v>
      </c>
    </row>
    <row r="65" spans="2:6" x14ac:dyDescent="0.25">
      <c r="D65" s="7">
        <v>1092</v>
      </c>
      <c r="E65" s="7" t="s">
        <v>352</v>
      </c>
      <c r="F65" s="12">
        <f>'5. Bilan'!BG65</f>
        <v>0</v>
      </c>
    </row>
    <row r="66" spans="2:6" x14ac:dyDescent="0.25">
      <c r="D66" s="7">
        <v>1093</v>
      </c>
      <c r="E66" s="7" t="s">
        <v>353</v>
      </c>
      <c r="F66" s="12">
        <f>'5. Bilan'!BG66</f>
        <v>0</v>
      </c>
    </row>
    <row r="67" spans="2:6" x14ac:dyDescent="0.25">
      <c r="F67" s="75"/>
    </row>
    <row r="68" spans="2:6" x14ac:dyDescent="0.25">
      <c r="B68" s="104">
        <v>14</v>
      </c>
      <c r="C68" s="104"/>
      <c r="D68" s="104"/>
      <c r="E68" s="104" t="s">
        <v>246</v>
      </c>
      <c r="F68" s="105">
        <f>'5. Bilan'!BG68</f>
        <v>567959536.5400002</v>
      </c>
    </row>
    <row r="69" spans="2:6" x14ac:dyDescent="0.25">
      <c r="C69" s="76">
        <v>140</v>
      </c>
      <c r="D69" s="76"/>
      <c r="E69" s="76" t="s">
        <v>248</v>
      </c>
      <c r="F69" s="116">
        <f>'5. Bilan'!BG69</f>
        <v>544569984.5</v>
      </c>
    </row>
    <row r="70" spans="2:6" x14ac:dyDescent="0.25">
      <c r="D70" s="7">
        <v>1400</v>
      </c>
      <c r="E70" s="7" t="s">
        <v>354</v>
      </c>
      <c r="F70" s="12">
        <f>'5. Bilan'!BG70</f>
        <v>26503677.559999995</v>
      </c>
    </row>
    <row r="71" spans="2:6" x14ac:dyDescent="0.25">
      <c r="D71" s="7">
        <v>1401</v>
      </c>
      <c r="E71" s="7" t="s">
        <v>355</v>
      </c>
      <c r="F71" s="12">
        <f>'5. Bilan'!BG71</f>
        <v>113207645.75999998</v>
      </c>
    </row>
    <row r="72" spans="2:6" x14ac:dyDescent="0.25">
      <c r="D72" s="7">
        <v>1402</v>
      </c>
      <c r="E72" s="7" t="s">
        <v>356</v>
      </c>
      <c r="F72" s="12">
        <f>'5. Bilan'!BG72</f>
        <v>5668104.2299999995</v>
      </c>
    </row>
    <row r="73" spans="2:6" x14ac:dyDescent="0.25">
      <c r="D73" s="7">
        <v>1403</v>
      </c>
      <c r="E73" s="7" t="s">
        <v>357</v>
      </c>
      <c r="F73" s="12">
        <f>'5. Bilan'!BG73</f>
        <v>116646082.88000001</v>
      </c>
    </row>
    <row r="74" spans="2:6" x14ac:dyDescent="0.25">
      <c r="D74" s="7">
        <v>1404</v>
      </c>
      <c r="E74" s="7" t="s">
        <v>358</v>
      </c>
      <c r="F74" s="12">
        <f>'5. Bilan'!BG74</f>
        <v>198854745.47999999</v>
      </c>
    </row>
    <row r="75" spans="2:6" x14ac:dyDescent="0.25">
      <c r="D75" s="7">
        <v>1405</v>
      </c>
      <c r="E75" s="7" t="s">
        <v>359</v>
      </c>
      <c r="F75" s="12">
        <f>'5. Bilan'!BG75</f>
        <v>33357536.700000003</v>
      </c>
    </row>
    <row r="76" spans="2:6" x14ac:dyDescent="0.25">
      <c r="D76" s="7">
        <v>1406</v>
      </c>
      <c r="E76" s="7" t="s">
        <v>360</v>
      </c>
      <c r="F76" s="12">
        <f>'5. Bilan'!BG76</f>
        <v>7958644.1800000016</v>
      </c>
    </row>
    <row r="77" spans="2:6" x14ac:dyDescent="0.25">
      <c r="D77" s="7">
        <v>1407</v>
      </c>
      <c r="E77" s="7" t="s">
        <v>361</v>
      </c>
      <c r="F77" s="12">
        <f>'5. Bilan'!BG77</f>
        <v>42365851.710000001</v>
      </c>
    </row>
    <row r="78" spans="2:6" x14ac:dyDescent="0.25">
      <c r="D78" s="7">
        <v>1409</v>
      </c>
      <c r="E78" s="7" t="s">
        <v>362</v>
      </c>
      <c r="F78" s="12">
        <f>'5. Bilan'!BG78</f>
        <v>7696</v>
      </c>
    </row>
    <row r="79" spans="2:6" x14ac:dyDescent="0.25">
      <c r="F79" s="75"/>
    </row>
    <row r="80" spans="2:6" x14ac:dyDescent="0.25">
      <c r="C80" s="76">
        <v>142</v>
      </c>
      <c r="D80" s="76"/>
      <c r="E80" s="76" t="s">
        <v>247</v>
      </c>
      <c r="F80" s="96">
        <f>'5. Bilan'!BG80</f>
        <v>8961088.4000000022</v>
      </c>
    </row>
    <row r="81" spans="3:6" x14ac:dyDescent="0.25">
      <c r="D81" s="7">
        <v>1420</v>
      </c>
      <c r="E81" s="7" t="s">
        <v>363</v>
      </c>
      <c r="F81" s="12">
        <f>'5. Bilan'!BG81</f>
        <v>776391.04</v>
      </c>
    </row>
    <row r="82" spans="3:6" x14ac:dyDescent="0.25">
      <c r="D82" s="7">
        <v>1421</v>
      </c>
      <c r="E82" s="7" t="s">
        <v>364</v>
      </c>
      <c r="F82" s="12">
        <f>'5. Bilan'!BG82</f>
        <v>0</v>
      </c>
    </row>
    <row r="83" spans="3:6" x14ac:dyDescent="0.25">
      <c r="F83" s="75"/>
    </row>
    <row r="84" spans="3:6" x14ac:dyDescent="0.25">
      <c r="C84" s="76">
        <v>144</v>
      </c>
      <c r="D84" s="76"/>
      <c r="E84" s="76" t="s">
        <v>249</v>
      </c>
      <c r="F84" s="96">
        <f>'5. Bilan'!BG86</f>
        <v>2720281</v>
      </c>
    </row>
    <row r="85" spans="3:6" x14ac:dyDescent="0.25">
      <c r="D85" s="7">
        <v>1440</v>
      </c>
      <c r="E85" s="7" t="s">
        <v>365</v>
      </c>
      <c r="F85" s="12">
        <f>'5. Bilan'!BG87</f>
        <v>0</v>
      </c>
    </row>
    <row r="86" spans="3:6" x14ac:dyDescent="0.25">
      <c r="D86" s="7">
        <v>1441</v>
      </c>
      <c r="E86" s="7" t="s">
        <v>367</v>
      </c>
      <c r="F86" s="12">
        <f>'5. Bilan'!BG88</f>
        <v>0</v>
      </c>
    </row>
    <row r="87" spans="3:6" x14ac:dyDescent="0.25">
      <c r="D87" s="7">
        <v>1442</v>
      </c>
      <c r="E87" s="7" t="s">
        <v>366</v>
      </c>
      <c r="F87" s="12">
        <f>'5. Bilan'!BG89</f>
        <v>2152952.4</v>
      </c>
    </row>
    <row r="88" spans="3:6" x14ac:dyDescent="0.25">
      <c r="D88" s="7">
        <v>1443</v>
      </c>
      <c r="E88" s="7" t="s">
        <v>368</v>
      </c>
      <c r="F88" s="12">
        <f>'5. Bilan'!BG90</f>
        <v>0</v>
      </c>
    </row>
    <row r="89" spans="3:6" x14ac:dyDescent="0.25">
      <c r="D89" s="7">
        <v>1444</v>
      </c>
      <c r="E89" s="7" t="s">
        <v>369</v>
      </c>
      <c r="F89" s="12">
        <f>'5. Bilan'!BG91</f>
        <v>0</v>
      </c>
    </row>
    <row r="90" spans="3:6" x14ac:dyDescent="0.25">
      <c r="D90" s="7">
        <v>1445</v>
      </c>
      <c r="E90" s="7" t="s">
        <v>370</v>
      </c>
      <c r="F90" s="12">
        <f>'5. Bilan'!BG92</f>
        <v>407316.6</v>
      </c>
    </row>
    <row r="91" spans="3:6" x14ac:dyDescent="0.25">
      <c r="D91" s="7">
        <v>1446</v>
      </c>
      <c r="E91" s="7" t="s">
        <v>371</v>
      </c>
      <c r="F91" s="12">
        <f>'5. Bilan'!BG93</f>
        <v>160012</v>
      </c>
    </row>
    <row r="92" spans="3:6" x14ac:dyDescent="0.25">
      <c r="D92" s="7">
        <v>1447</v>
      </c>
      <c r="E92" s="7" t="s">
        <v>372</v>
      </c>
      <c r="F92" s="12">
        <f>'5. Bilan'!BG94</f>
        <v>0</v>
      </c>
    </row>
    <row r="93" spans="3:6" x14ac:dyDescent="0.25">
      <c r="D93" s="7">
        <v>1448</v>
      </c>
      <c r="E93" s="7" t="s">
        <v>373</v>
      </c>
      <c r="F93" s="12">
        <f>'5. Bilan'!BG95</f>
        <v>0</v>
      </c>
    </row>
    <row r="94" spans="3:6" x14ac:dyDescent="0.25">
      <c r="F94" s="75"/>
    </row>
    <row r="95" spans="3:6" x14ac:dyDescent="0.25">
      <c r="C95" s="76">
        <v>145</v>
      </c>
      <c r="D95" s="76"/>
      <c r="E95" s="76" t="s">
        <v>376</v>
      </c>
      <c r="F95" s="96">
        <f>'5. Bilan'!BG97</f>
        <v>4928842.3900000006</v>
      </c>
    </row>
    <row r="96" spans="3:6" x14ac:dyDescent="0.25">
      <c r="D96" s="7">
        <v>1450</v>
      </c>
      <c r="E96" s="7" t="s">
        <v>375</v>
      </c>
      <c r="F96" s="12">
        <f>'5. Bilan'!BG98</f>
        <v>1</v>
      </c>
    </row>
    <row r="97" spans="3:6" x14ac:dyDescent="0.25">
      <c r="D97" s="7">
        <v>1451</v>
      </c>
      <c r="E97" s="7" t="s">
        <v>374</v>
      </c>
      <c r="F97" s="12">
        <f>'5. Bilan'!BG99</f>
        <v>0</v>
      </c>
    </row>
    <row r="98" spans="3:6" x14ac:dyDescent="0.25">
      <c r="D98" s="7">
        <v>1452</v>
      </c>
      <c r="E98" s="7" t="s">
        <v>377</v>
      </c>
      <c r="F98" s="12">
        <f>'5. Bilan'!BG100</f>
        <v>479885</v>
      </c>
    </row>
    <row r="99" spans="3:6" x14ac:dyDescent="0.25">
      <c r="D99" s="7">
        <v>1453</v>
      </c>
      <c r="E99" s="7" t="s">
        <v>378</v>
      </c>
      <c r="F99" s="12">
        <f>'5. Bilan'!BG101</f>
        <v>0</v>
      </c>
    </row>
    <row r="100" spans="3:6" x14ac:dyDescent="0.25">
      <c r="D100" s="7">
        <v>1454</v>
      </c>
      <c r="E100" s="7" t="s">
        <v>379</v>
      </c>
      <c r="F100" s="12">
        <f>'5. Bilan'!BG102</f>
        <v>597605</v>
      </c>
    </row>
    <row r="101" spans="3:6" x14ac:dyDescent="0.25">
      <c r="D101" s="7">
        <v>1455</v>
      </c>
      <c r="E101" s="7" t="s">
        <v>380</v>
      </c>
      <c r="F101" s="12">
        <f>'5. Bilan'!BG103</f>
        <v>3708251.39</v>
      </c>
    </row>
    <row r="102" spans="3:6" x14ac:dyDescent="0.25">
      <c r="D102" s="7">
        <v>1456</v>
      </c>
      <c r="E102" s="7" t="s">
        <v>381</v>
      </c>
      <c r="F102" s="12">
        <f>'5. Bilan'!BG104</f>
        <v>143100</v>
      </c>
    </row>
    <row r="103" spans="3:6" x14ac:dyDescent="0.25">
      <c r="D103" s="7">
        <v>1457</v>
      </c>
      <c r="E103" s="7" t="s">
        <v>382</v>
      </c>
      <c r="F103" s="12">
        <f>'5. Bilan'!BG105</f>
        <v>0</v>
      </c>
    </row>
    <row r="104" spans="3:6" x14ac:dyDescent="0.25">
      <c r="D104" s="7">
        <v>1458</v>
      </c>
      <c r="E104" s="7" t="s">
        <v>383</v>
      </c>
      <c r="F104" s="12">
        <f>'5. Bilan'!BG106</f>
        <v>0</v>
      </c>
    </row>
    <row r="105" spans="3:6" x14ac:dyDescent="0.25">
      <c r="F105" s="75"/>
    </row>
    <row r="106" spans="3:6" x14ac:dyDescent="0.25">
      <c r="C106" s="76">
        <v>146</v>
      </c>
      <c r="D106" s="76"/>
      <c r="E106" s="76" t="s">
        <v>394</v>
      </c>
      <c r="F106" s="96">
        <f>'5. Bilan'!BG108</f>
        <v>6779340.2499999991</v>
      </c>
    </row>
    <row r="107" spans="3:6" x14ac:dyDescent="0.25">
      <c r="D107" s="7">
        <v>1460</v>
      </c>
      <c r="E107" s="7" t="s">
        <v>391</v>
      </c>
      <c r="F107" s="12">
        <f>'5. Bilan'!BG109</f>
        <v>0</v>
      </c>
    </row>
    <row r="108" spans="3:6" x14ac:dyDescent="0.25">
      <c r="D108" s="7">
        <v>1461</v>
      </c>
      <c r="E108" s="7" t="s">
        <v>392</v>
      </c>
      <c r="F108" s="12">
        <f>'5. Bilan'!BG110</f>
        <v>86616.9</v>
      </c>
    </row>
    <row r="109" spans="3:6" x14ac:dyDescent="0.25">
      <c r="D109" s="7">
        <v>1462</v>
      </c>
      <c r="E109" s="7" t="s">
        <v>384</v>
      </c>
      <c r="F109" s="12">
        <f>'5. Bilan'!BG111</f>
        <v>6425194.4999999991</v>
      </c>
    </row>
    <row r="110" spans="3:6" x14ac:dyDescent="0.25">
      <c r="D110" s="7">
        <v>1463</v>
      </c>
      <c r="E110" s="7" t="s">
        <v>385</v>
      </c>
      <c r="F110" s="12">
        <f>'5. Bilan'!BG112</f>
        <v>0</v>
      </c>
    </row>
    <row r="111" spans="3:6" x14ac:dyDescent="0.25">
      <c r="D111" s="7">
        <v>1464</v>
      </c>
      <c r="E111" s="7" t="s">
        <v>386</v>
      </c>
      <c r="F111" s="12">
        <f>'5. Bilan'!BG113</f>
        <v>0</v>
      </c>
    </row>
    <row r="112" spans="3:6" x14ac:dyDescent="0.25">
      <c r="D112" s="7">
        <v>1465</v>
      </c>
      <c r="E112" s="7" t="s">
        <v>387</v>
      </c>
      <c r="F112" s="12">
        <f>'5. Bilan'!BG114</f>
        <v>132996.75</v>
      </c>
    </row>
    <row r="113" spans="1:6" x14ac:dyDescent="0.25">
      <c r="D113" s="7">
        <v>1466</v>
      </c>
      <c r="E113" s="7" t="s">
        <v>393</v>
      </c>
      <c r="F113" s="12">
        <f>'5. Bilan'!BG115</f>
        <v>134532.1</v>
      </c>
    </row>
    <row r="114" spans="1:6" x14ac:dyDescent="0.25">
      <c r="D114" s="7">
        <v>1467</v>
      </c>
      <c r="E114" s="7" t="s">
        <v>388</v>
      </c>
      <c r="F114" s="12">
        <f>'5. Bilan'!BG116</f>
        <v>0</v>
      </c>
    </row>
    <row r="115" spans="1:6" x14ac:dyDescent="0.25">
      <c r="D115" s="7">
        <v>1468</v>
      </c>
      <c r="E115" s="7" t="s">
        <v>389</v>
      </c>
      <c r="F115" s="12">
        <f>'5. Bilan'!BG117</f>
        <v>0</v>
      </c>
    </row>
    <row r="116" spans="1:6" x14ac:dyDescent="0.25">
      <c r="D116" s="7">
        <v>1469</v>
      </c>
      <c r="E116" s="7" t="s">
        <v>390</v>
      </c>
      <c r="F116" s="12">
        <f>'5. Bilan'!BG118</f>
        <v>0</v>
      </c>
    </row>
    <row r="117" spans="1:6" x14ac:dyDescent="0.25">
      <c r="F117" s="75"/>
    </row>
    <row r="118" spans="1:6" x14ac:dyDescent="0.25">
      <c r="F118" s="75"/>
    </row>
    <row r="119" spans="1:6" ht="21" x14ac:dyDescent="0.4">
      <c r="A119" s="17">
        <v>2</v>
      </c>
      <c r="B119" s="17"/>
      <c r="C119" s="17"/>
      <c r="D119" s="17"/>
      <c r="E119" s="17" t="s">
        <v>250</v>
      </c>
      <c r="F119" s="108">
        <f>'5. Bilan'!BG121</f>
        <v>915185372.45000029</v>
      </c>
    </row>
    <row r="120" spans="1:6" x14ac:dyDescent="0.25">
      <c r="A120" s="6"/>
      <c r="B120" s="109">
        <v>20</v>
      </c>
      <c r="C120" s="109"/>
      <c r="D120" s="109"/>
      <c r="E120" s="109" t="s">
        <v>251</v>
      </c>
      <c r="F120" s="110">
        <f>'5. Bilan'!BG122</f>
        <v>646617537.25999999</v>
      </c>
    </row>
    <row r="121" spans="1:6" x14ac:dyDescent="0.25">
      <c r="C121" s="111">
        <v>200</v>
      </c>
      <c r="D121" s="111"/>
      <c r="E121" s="111" t="s">
        <v>252</v>
      </c>
      <c r="F121" s="112">
        <f>'5. Bilan'!BG123</f>
        <v>39496696.610000007</v>
      </c>
    </row>
    <row r="122" spans="1:6" x14ac:dyDescent="0.25">
      <c r="D122" s="7">
        <v>2000</v>
      </c>
      <c r="E122" s="7" t="s">
        <v>395</v>
      </c>
      <c r="F122" s="12">
        <f>'5. Bilan'!BG124</f>
        <v>32179591.420000009</v>
      </c>
    </row>
    <row r="123" spans="1:6" x14ac:dyDescent="0.25">
      <c r="D123" s="7">
        <v>2001</v>
      </c>
      <c r="E123" s="7" t="s">
        <v>396</v>
      </c>
      <c r="F123" s="12">
        <f>'5. Bilan'!BG125</f>
        <v>1544401.8599999999</v>
      </c>
    </row>
    <row r="124" spans="1:6" x14ac:dyDescent="0.25">
      <c r="D124" s="7">
        <v>2002</v>
      </c>
      <c r="E124" s="7" t="s">
        <v>397</v>
      </c>
      <c r="F124" s="12">
        <f>'5. Bilan'!BG126</f>
        <v>4265999.0900000008</v>
      </c>
    </row>
    <row r="125" spans="1:6" x14ac:dyDescent="0.25">
      <c r="D125" s="7">
        <v>2003</v>
      </c>
      <c r="E125" s="7" t="s">
        <v>398</v>
      </c>
      <c r="F125" s="12">
        <f>'5. Bilan'!BG127</f>
        <v>80250</v>
      </c>
    </row>
    <row r="126" spans="1:6" x14ac:dyDescent="0.25">
      <c r="D126" s="7">
        <v>2004</v>
      </c>
      <c r="E126" s="7" t="s">
        <v>399</v>
      </c>
      <c r="F126" s="12">
        <f>'5. Bilan'!BG128</f>
        <v>504107.15</v>
      </c>
    </row>
    <row r="127" spans="1:6" x14ac:dyDescent="0.25">
      <c r="D127" s="7">
        <v>2005</v>
      </c>
      <c r="E127" s="7" t="s">
        <v>320</v>
      </c>
      <c r="F127" s="12">
        <f>'5. Bilan'!BG129</f>
        <v>827604.39</v>
      </c>
    </row>
    <row r="128" spans="1:6" x14ac:dyDescent="0.25">
      <c r="D128" s="7">
        <v>2006</v>
      </c>
      <c r="E128" s="7" t="s">
        <v>400</v>
      </c>
      <c r="F128" s="12">
        <f>'5. Bilan'!BG130</f>
        <v>93842.7</v>
      </c>
    </row>
    <row r="129" spans="3:6" x14ac:dyDescent="0.25">
      <c r="D129" s="7">
        <v>2009</v>
      </c>
      <c r="E129" s="7" t="s">
        <v>401</v>
      </c>
      <c r="F129" s="12">
        <f>'5. Bilan'!BG131</f>
        <v>900</v>
      </c>
    </row>
    <row r="130" spans="3:6" x14ac:dyDescent="0.25">
      <c r="F130" s="75"/>
    </row>
    <row r="131" spans="3:6" x14ac:dyDescent="0.25">
      <c r="C131" s="111">
        <v>201</v>
      </c>
      <c r="D131" s="111"/>
      <c r="E131" s="111" t="s">
        <v>253</v>
      </c>
      <c r="F131" s="112">
        <f>'5. Bilan'!BG133</f>
        <v>102543852.65000001</v>
      </c>
    </row>
    <row r="132" spans="3:6" x14ac:dyDescent="0.25">
      <c r="D132" s="7">
        <v>2010</v>
      </c>
      <c r="E132" s="7" t="s">
        <v>402</v>
      </c>
      <c r="F132" s="12">
        <f>'5. Bilan'!BG134</f>
        <v>39715920.380000003</v>
      </c>
    </row>
    <row r="133" spans="3:6" x14ac:dyDescent="0.25">
      <c r="D133" s="7">
        <v>2011</v>
      </c>
      <c r="E133" s="7" t="s">
        <v>403</v>
      </c>
      <c r="F133" s="12">
        <f>'5. Bilan'!BG135</f>
        <v>4621246.1899999995</v>
      </c>
    </row>
    <row r="134" spans="3:6" x14ac:dyDescent="0.25">
      <c r="D134" s="7">
        <v>2012</v>
      </c>
      <c r="E134" s="7" t="s">
        <v>404</v>
      </c>
      <c r="F134" s="12">
        <f>'5. Bilan'!BG136</f>
        <v>0</v>
      </c>
    </row>
    <row r="135" spans="3:6" x14ac:dyDescent="0.25">
      <c r="D135" s="7">
        <v>2013</v>
      </c>
      <c r="E135" s="7" t="s">
        <v>405</v>
      </c>
      <c r="F135" s="12">
        <f>'5. Bilan'!BG137</f>
        <v>0</v>
      </c>
    </row>
    <row r="136" spans="3:6" x14ac:dyDescent="0.25">
      <c r="D136" s="7">
        <v>2014</v>
      </c>
      <c r="E136" s="7" t="s">
        <v>407</v>
      </c>
      <c r="F136" s="12">
        <f>'5. Bilan'!BG138</f>
        <v>57111487.93</v>
      </c>
    </row>
    <row r="137" spans="3:6" x14ac:dyDescent="0.25">
      <c r="D137" s="7">
        <v>2015</v>
      </c>
      <c r="E137" s="7" t="s">
        <v>406</v>
      </c>
      <c r="F137" s="12">
        <f>'5. Bilan'!BG139</f>
        <v>0</v>
      </c>
    </row>
    <row r="138" spans="3:6" x14ac:dyDescent="0.25">
      <c r="D138" s="7">
        <v>2016</v>
      </c>
      <c r="E138" s="7" t="s">
        <v>268</v>
      </c>
      <c r="F138" s="12">
        <f>'5. Bilan'!BG140</f>
        <v>0</v>
      </c>
    </row>
    <row r="139" spans="3:6" x14ac:dyDescent="0.25">
      <c r="D139" s="7">
        <v>2019</v>
      </c>
      <c r="E139" s="7" t="s">
        <v>408</v>
      </c>
      <c r="F139" s="12">
        <f>'5. Bilan'!BG141</f>
        <v>1095198.1499999999</v>
      </c>
    </row>
    <row r="140" spans="3:6" x14ac:dyDescent="0.25">
      <c r="F140" s="75"/>
    </row>
    <row r="141" spans="3:6" x14ac:dyDescent="0.25">
      <c r="C141" s="111">
        <v>204</v>
      </c>
      <c r="D141" s="111"/>
      <c r="E141" s="111" t="s">
        <v>254</v>
      </c>
      <c r="F141" s="112">
        <f>'5. Bilan'!BG143</f>
        <v>17332224.73</v>
      </c>
    </row>
    <row r="142" spans="3:6" x14ac:dyDescent="0.25">
      <c r="D142" s="7">
        <v>2040</v>
      </c>
      <c r="E142" s="7" t="s">
        <v>61</v>
      </c>
      <c r="F142" s="12">
        <f>'5. Bilan'!BG144</f>
        <v>679420.4</v>
      </c>
    </row>
    <row r="143" spans="3:6" x14ac:dyDescent="0.25">
      <c r="D143" s="7">
        <v>2041</v>
      </c>
      <c r="E143" s="7" t="s">
        <v>276</v>
      </c>
      <c r="F143" s="12">
        <f>'5. Bilan'!BG145</f>
        <v>10516223.93</v>
      </c>
    </row>
    <row r="144" spans="3:6" x14ac:dyDescent="0.25">
      <c r="D144" s="7">
        <v>2042</v>
      </c>
      <c r="E144" s="7" t="s">
        <v>328</v>
      </c>
      <c r="F144" s="12">
        <f>'5. Bilan'!BG146</f>
        <v>1956759.7499999995</v>
      </c>
    </row>
    <row r="145" spans="3:6" x14ac:dyDescent="0.25">
      <c r="D145" s="7">
        <v>2043</v>
      </c>
      <c r="E145" s="7" t="s">
        <v>329</v>
      </c>
      <c r="F145" s="12">
        <f>'5. Bilan'!BG147</f>
        <v>3499638.81</v>
      </c>
    </row>
    <row r="146" spans="3:6" x14ac:dyDescent="0.25">
      <c r="D146" s="7">
        <v>2044</v>
      </c>
      <c r="E146" s="7" t="s">
        <v>409</v>
      </c>
      <c r="F146" s="12">
        <f>'5. Bilan'!BG148</f>
        <v>382818.61</v>
      </c>
    </row>
    <row r="147" spans="3:6" x14ac:dyDescent="0.25">
      <c r="D147" s="7">
        <v>2045</v>
      </c>
      <c r="E147" s="7" t="s">
        <v>331</v>
      </c>
      <c r="F147" s="12">
        <f>'5. Bilan'!BG149</f>
        <v>289283.63999999996</v>
      </c>
    </row>
    <row r="148" spans="3:6" x14ac:dyDescent="0.25">
      <c r="D148" s="7">
        <v>2046</v>
      </c>
      <c r="E148" s="7" t="s">
        <v>410</v>
      </c>
      <c r="F148" s="12">
        <f>'5. Bilan'!BG150</f>
        <v>3703.75</v>
      </c>
    </row>
    <row r="149" spans="3:6" x14ac:dyDescent="0.25">
      <c r="D149" s="7">
        <v>2049</v>
      </c>
      <c r="E149" s="7" t="s">
        <v>411</v>
      </c>
      <c r="F149" s="12">
        <f>'5. Bilan'!BG151</f>
        <v>4375.84</v>
      </c>
    </row>
    <row r="150" spans="3:6" x14ac:dyDescent="0.25">
      <c r="F150" s="75"/>
    </row>
    <row r="151" spans="3:6" x14ac:dyDescent="0.25">
      <c r="C151" s="111">
        <v>205</v>
      </c>
      <c r="D151" s="111"/>
      <c r="E151" s="111" t="s">
        <v>255</v>
      </c>
      <c r="F151" s="112">
        <f>'5. Bilan'!BG153</f>
        <v>1269616.2899999998</v>
      </c>
    </row>
    <row r="152" spans="3:6" x14ac:dyDescent="0.25">
      <c r="D152" s="7">
        <v>2050</v>
      </c>
      <c r="E152" s="7" t="s">
        <v>412</v>
      </c>
      <c r="F152" s="12">
        <f>'5. Bilan'!BG154</f>
        <v>1015469.91</v>
      </c>
    </row>
    <row r="153" spans="3:6" x14ac:dyDescent="0.25">
      <c r="D153" s="7">
        <v>2051</v>
      </c>
      <c r="E153" s="7" t="s">
        <v>413</v>
      </c>
      <c r="F153" s="12">
        <f>'5. Bilan'!BG155</f>
        <v>0</v>
      </c>
    </row>
    <row r="154" spans="3:6" x14ac:dyDescent="0.25">
      <c r="D154" s="7">
        <v>2052</v>
      </c>
      <c r="E154" s="7" t="s">
        <v>414</v>
      </c>
      <c r="F154" s="12">
        <f>'5. Bilan'!BG156</f>
        <v>5000</v>
      </c>
    </row>
    <row r="155" spans="3:6" x14ac:dyDescent="0.25">
      <c r="D155" s="7">
        <v>2053</v>
      </c>
      <c r="E155" s="7" t="s">
        <v>418</v>
      </c>
      <c r="F155" s="12">
        <f>'5. Bilan'!BG157</f>
        <v>90763.32</v>
      </c>
    </row>
    <row r="156" spans="3:6" x14ac:dyDescent="0.25">
      <c r="D156" s="7">
        <v>2054</v>
      </c>
      <c r="E156" s="7" t="s">
        <v>416</v>
      </c>
      <c r="F156" s="12">
        <f>'5. Bilan'!BG158</f>
        <v>495.6</v>
      </c>
    </row>
    <row r="157" spans="3:6" x14ac:dyDescent="0.25">
      <c r="D157" s="7">
        <v>2055</v>
      </c>
      <c r="E157" s="7" t="s">
        <v>415</v>
      </c>
      <c r="F157" s="12">
        <f>'5. Bilan'!BG159</f>
        <v>150809.35999999999</v>
      </c>
    </row>
    <row r="158" spans="3:6" x14ac:dyDescent="0.25">
      <c r="D158" s="7">
        <v>2056</v>
      </c>
      <c r="E158" s="7" t="s">
        <v>417</v>
      </c>
      <c r="F158" s="12">
        <f>'5. Bilan'!BG160</f>
        <v>0</v>
      </c>
    </row>
    <row r="159" spans="3:6" x14ac:dyDescent="0.25">
      <c r="D159" s="7">
        <v>2057</v>
      </c>
      <c r="E159" s="7" t="s">
        <v>419</v>
      </c>
      <c r="F159" s="12">
        <f>'5. Bilan'!BG161</f>
        <v>0</v>
      </c>
    </row>
    <row r="160" spans="3:6" x14ac:dyDescent="0.25">
      <c r="D160" s="7">
        <v>2058</v>
      </c>
      <c r="E160" s="7" t="s">
        <v>420</v>
      </c>
      <c r="F160" s="12">
        <f>'5. Bilan'!BG162</f>
        <v>0</v>
      </c>
    </row>
    <row r="161" spans="3:6" x14ac:dyDescent="0.25">
      <c r="D161" s="7">
        <v>2059</v>
      </c>
      <c r="E161" s="7" t="s">
        <v>421</v>
      </c>
      <c r="F161" s="12">
        <f>'5. Bilan'!BG163</f>
        <v>7078.1</v>
      </c>
    </row>
    <row r="162" spans="3:6" x14ac:dyDescent="0.25">
      <c r="F162" s="75"/>
    </row>
    <row r="163" spans="3:6" x14ac:dyDescent="0.25">
      <c r="C163" s="111">
        <v>206</v>
      </c>
      <c r="D163" s="111"/>
      <c r="E163" s="111" t="s">
        <v>256</v>
      </c>
      <c r="F163" s="112">
        <f>'5. Bilan'!BG165</f>
        <v>470255248.19999999</v>
      </c>
    </row>
    <row r="164" spans="3:6" x14ac:dyDescent="0.25">
      <c r="D164" s="7">
        <v>2060</v>
      </c>
      <c r="E164" s="7" t="s">
        <v>422</v>
      </c>
      <c r="F164" s="12">
        <f>'5. Bilan'!BG166</f>
        <v>31381269.149999999</v>
      </c>
    </row>
    <row r="165" spans="3:6" x14ac:dyDescent="0.25">
      <c r="D165" s="7">
        <v>2062</v>
      </c>
      <c r="E165" s="7" t="s">
        <v>423</v>
      </c>
      <c r="F165" s="12">
        <f>'5. Bilan'!BG167</f>
        <v>99500</v>
      </c>
    </row>
    <row r="166" spans="3:6" x14ac:dyDescent="0.25">
      <c r="D166" s="7">
        <v>2063</v>
      </c>
      <c r="E166" s="7" t="s">
        <v>424</v>
      </c>
      <c r="F166" s="12">
        <f>'5. Bilan'!BG168</f>
        <v>284098378.90999997</v>
      </c>
    </row>
    <row r="167" spans="3:6" x14ac:dyDescent="0.25">
      <c r="D167" s="7">
        <v>2064</v>
      </c>
      <c r="E167" s="7" t="s">
        <v>425</v>
      </c>
      <c r="F167" s="12">
        <f>'5. Bilan'!BG169</f>
        <v>161732622.71000001</v>
      </c>
    </row>
    <row r="168" spans="3:6" x14ac:dyDescent="0.25">
      <c r="D168" s="7">
        <v>2067</v>
      </c>
      <c r="E168" s="7" t="s">
        <v>426</v>
      </c>
      <c r="F168" s="12">
        <f>'5. Bilan'!BG170</f>
        <v>0</v>
      </c>
    </row>
    <row r="169" spans="3:6" x14ac:dyDescent="0.25">
      <c r="D169" s="7">
        <v>2069</v>
      </c>
      <c r="E169" s="7" t="s">
        <v>427</v>
      </c>
      <c r="F169" s="12">
        <f>'5. Bilan'!BG171</f>
        <v>-7056522.5700000003</v>
      </c>
    </row>
    <row r="170" spans="3:6" x14ac:dyDescent="0.25">
      <c r="F170" s="75"/>
    </row>
    <row r="171" spans="3:6" x14ac:dyDescent="0.25">
      <c r="C171" s="111">
        <v>208</v>
      </c>
      <c r="D171" s="111"/>
      <c r="E171" s="111" t="s">
        <v>257</v>
      </c>
      <c r="F171" s="112">
        <f>'5. Bilan'!BG173</f>
        <v>6141439.4199999999</v>
      </c>
    </row>
    <row r="172" spans="3:6" x14ac:dyDescent="0.25">
      <c r="D172" s="7">
        <v>2081</v>
      </c>
      <c r="E172" s="7" t="s">
        <v>428</v>
      </c>
      <c r="F172" s="12">
        <f>'5. Bilan'!BG174</f>
        <v>0</v>
      </c>
    </row>
    <row r="173" spans="3:6" x14ac:dyDescent="0.25">
      <c r="D173" s="7">
        <v>2082</v>
      </c>
      <c r="E173" s="7" t="s">
        <v>429</v>
      </c>
      <c r="F173" s="12">
        <f>'5. Bilan'!BG175</f>
        <v>0</v>
      </c>
    </row>
    <row r="174" spans="3:6" x14ac:dyDescent="0.25">
      <c r="D174" s="7">
        <v>2083</v>
      </c>
      <c r="E174" s="7" t="s">
        <v>430</v>
      </c>
      <c r="F174" s="12">
        <f>'5. Bilan'!BG176</f>
        <v>10691.47</v>
      </c>
    </row>
    <row r="175" spans="3:6" x14ac:dyDescent="0.25">
      <c r="D175" s="7">
        <v>2084</v>
      </c>
      <c r="E175" s="7" t="s">
        <v>431</v>
      </c>
      <c r="F175" s="12">
        <f>'5. Bilan'!BG177</f>
        <v>0</v>
      </c>
    </row>
    <row r="176" spans="3:6" x14ac:dyDescent="0.25">
      <c r="D176" s="7">
        <v>2085</v>
      </c>
      <c r="E176" s="7" t="s">
        <v>433</v>
      </c>
      <c r="F176" s="12">
        <f>'5. Bilan'!BG178</f>
        <v>708507.95</v>
      </c>
    </row>
    <row r="177" spans="2:6" x14ac:dyDescent="0.25">
      <c r="D177" s="7">
        <v>2086</v>
      </c>
      <c r="E177" s="7" t="s">
        <v>432</v>
      </c>
      <c r="F177" s="12">
        <f>'5. Bilan'!BG179</f>
        <v>0</v>
      </c>
    </row>
    <row r="178" spans="2:6" x14ac:dyDescent="0.25">
      <c r="D178" s="7">
        <v>2087</v>
      </c>
      <c r="E178" s="7" t="s">
        <v>434</v>
      </c>
      <c r="F178" s="12">
        <f>'5. Bilan'!BG180</f>
        <v>104873.55</v>
      </c>
    </row>
    <row r="179" spans="2:6" x14ac:dyDescent="0.25">
      <c r="D179" s="7">
        <v>2088</v>
      </c>
      <c r="E179" s="7" t="s">
        <v>435</v>
      </c>
      <c r="F179" s="12">
        <f>'5. Bilan'!BG181</f>
        <v>0</v>
      </c>
    </row>
    <row r="180" spans="2:6" x14ac:dyDescent="0.25">
      <c r="D180" s="7">
        <v>2089</v>
      </c>
      <c r="E180" s="7" t="s">
        <v>436</v>
      </c>
      <c r="F180" s="12">
        <f>'5. Bilan'!BG182</f>
        <v>5317366.45</v>
      </c>
    </row>
    <row r="181" spans="2:6" x14ac:dyDescent="0.25">
      <c r="F181" s="75"/>
    </row>
    <row r="182" spans="2:6" x14ac:dyDescent="0.25">
      <c r="C182" s="111">
        <v>209</v>
      </c>
      <c r="D182" s="111"/>
      <c r="E182" s="111" t="s">
        <v>258</v>
      </c>
      <c r="F182" s="112">
        <f>'5. Bilan'!BG184</f>
        <v>9578459.3599999994</v>
      </c>
    </row>
    <row r="183" spans="2:6" x14ac:dyDescent="0.25">
      <c r="D183" s="7">
        <v>2090</v>
      </c>
      <c r="E183" s="7" t="s">
        <v>258</v>
      </c>
      <c r="F183" s="12">
        <f>'5. Bilan'!BG185</f>
        <v>289870.75</v>
      </c>
    </row>
    <row r="184" spans="2:6" x14ac:dyDescent="0.25">
      <c r="D184" s="7">
        <v>2091</v>
      </c>
      <c r="E184" s="7" t="s">
        <v>437</v>
      </c>
      <c r="F184" s="12">
        <f>'5. Bilan'!BG186</f>
        <v>8235792.0600000005</v>
      </c>
    </row>
    <row r="185" spans="2:6" x14ac:dyDescent="0.25">
      <c r="D185" s="7">
        <v>2092</v>
      </c>
      <c r="E185" s="7" t="s">
        <v>438</v>
      </c>
      <c r="F185" s="12">
        <f>'5. Bilan'!BG187</f>
        <v>997074</v>
      </c>
    </row>
    <row r="186" spans="2:6" x14ac:dyDescent="0.25">
      <c r="D186" s="7">
        <v>2093</v>
      </c>
      <c r="E186" s="7" t="s">
        <v>439</v>
      </c>
      <c r="F186" s="12">
        <f>'5. Bilan'!BG188</f>
        <v>55722.55</v>
      </c>
    </row>
    <row r="187" spans="2:6" x14ac:dyDescent="0.25">
      <c r="F187" s="75"/>
    </row>
    <row r="188" spans="2:6" x14ac:dyDescent="0.25">
      <c r="B188" s="109">
        <v>29</v>
      </c>
      <c r="C188" s="109"/>
      <c r="D188" s="109"/>
      <c r="E188" s="109" t="s">
        <v>259</v>
      </c>
      <c r="F188" s="110">
        <f>'5. Bilan'!BG190</f>
        <v>268567835.18999994</v>
      </c>
    </row>
    <row r="189" spans="2:6" x14ac:dyDescent="0.25">
      <c r="C189" s="111">
        <v>290</v>
      </c>
      <c r="D189" s="111"/>
      <c r="E189" s="111" t="s">
        <v>260</v>
      </c>
      <c r="F189" s="112">
        <f>'5. Bilan'!BG191</f>
        <v>109120439.25999996</v>
      </c>
    </row>
    <row r="190" spans="2:6" x14ac:dyDescent="0.25">
      <c r="D190" s="7">
        <v>2900</v>
      </c>
      <c r="E190" s="7" t="s">
        <v>260</v>
      </c>
      <c r="F190" s="12">
        <f>'5. Bilan'!BG192</f>
        <v>109120439.25999996</v>
      </c>
    </row>
    <row r="191" spans="2:6" x14ac:dyDescent="0.25">
      <c r="F191" s="75"/>
    </row>
    <row r="192" spans="2:6" x14ac:dyDescent="0.25">
      <c r="C192" s="111">
        <v>291</v>
      </c>
      <c r="D192" s="111"/>
      <c r="E192" s="111" t="s">
        <v>261</v>
      </c>
      <c r="F192" s="112">
        <f>'5. Bilan'!BG194</f>
        <v>1610467.83</v>
      </c>
    </row>
    <row r="193" spans="3:6" x14ac:dyDescent="0.25">
      <c r="D193" s="7">
        <v>2910</v>
      </c>
      <c r="E193" s="7" t="s">
        <v>261</v>
      </c>
      <c r="F193" s="12">
        <f>'5. Bilan'!BG195</f>
        <v>1340743.02</v>
      </c>
    </row>
    <row r="194" spans="3:6" x14ac:dyDescent="0.25">
      <c r="D194" s="7">
        <v>2911</v>
      </c>
      <c r="E194" s="7" t="s">
        <v>440</v>
      </c>
      <c r="F194" s="12">
        <f>'5. Bilan'!BG196</f>
        <v>269724.81</v>
      </c>
    </row>
    <row r="195" spans="3:6" x14ac:dyDescent="0.25">
      <c r="F195" s="75"/>
    </row>
    <row r="196" spans="3:6" x14ac:dyDescent="0.25">
      <c r="C196" s="111">
        <v>292</v>
      </c>
      <c r="D196" s="111"/>
      <c r="E196" s="111" t="s">
        <v>262</v>
      </c>
      <c r="F196" s="112">
        <f>'5. Bilan'!BG198</f>
        <v>290206.59999999998</v>
      </c>
    </row>
    <row r="197" spans="3:6" x14ac:dyDescent="0.25">
      <c r="D197" s="7">
        <v>2920</v>
      </c>
      <c r="E197" s="7" t="s">
        <v>262</v>
      </c>
      <c r="F197" s="12">
        <f>'5. Bilan'!BG199</f>
        <v>290206.59999999998</v>
      </c>
    </row>
    <row r="198" spans="3:6" x14ac:dyDescent="0.25">
      <c r="F198" s="75"/>
    </row>
    <row r="199" spans="3:6" x14ac:dyDescent="0.25">
      <c r="C199" s="111">
        <v>293</v>
      </c>
      <c r="D199" s="111"/>
      <c r="E199" s="111" t="s">
        <v>263</v>
      </c>
      <c r="F199" s="112">
        <f>'5. Bilan'!BG201</f>
        <v>18261002.340000004</v>
      </c>
    </row>
    <row r="200" spans="3:6" x14ac:dyDescent="0.25">
      <c r="D200" s="7">
        <v>2930</v>
      </c>
      <c r="E200" s="7" t="s">
        <v>263</v>
      </c>
      <c r="F200" s="12">
        <f>'5. Bilan'!BG202</f>
        <v>18261002.340000004</v>
      </c>
    </row>
    <row r="201" spans="3:6" x14ac:dyDescent="0.25">
      <c r="F201" s="75"/>
    </row>
    <row r="202" spans="3:6" x14ac:dyDescent="0.25">
      <c r="C202" s="111">
        <v>294</v>
      </c>
      <c r="D202" s="111"/>
      <c r="E202" s="111" t="s">
        <v>264</v>
      </c>
      <c r="F202" s="112">
        <f>'5. Bilan'!BG204</f>
        <v>29293791.180000003</v>
      </c>
    </row>
    <row r="203" spans="3:6" x14ac:dyDescent="0.25">
      <c r="D203" s="7">
        <v>2940</v>
      </c>
      <c r="E203" s="7" t="s">
        <v>264</v>
      </c>
      <c r="F203" s="12">
        <f>'5. Bilan'!BG205</f>
        <v>29293791.180000003</v>
      </c>
    </row>
    <row r="204" spans="3:6" x14ac:dyDescent="0.25">
      <c r="F204" s="75"/>
    </row>
    <row r="205" spans="3:6" x14ac:dyDescent="0.25">
      <c r="C205" s="111">
        <v>295</v>
      </c>
      <c r="D205" s="111"/>
      <c r="E205" s="111" t="s">
        <v>265</v>
      </c>
      <c r="F205" s="112">
        <f>'5. Bilan'!BG207</f>
        <v>3674777.6799999997</v>
      </c>
    </row>
    <row r="206" spans="3:6" x14ac:dyDescent="0.25">
      <c r="D206" s="7">
        <v>2950</v>
      </c>
      <c r="E206" s="7" t="s">
        <v>265</v>
      </c>
      <c r="F206" s="12">
        <f>'5. Bilan'!BG208</f>
        <v>3674777.6799999997</v>
      </c>
    </row>
    <row r="207" spans="3:6" x14ac:dyDescent="0.25">
      <c r="F207" s="75"/>
    </row>
    <row r="208" spans="3:6" x14ac:dyDescent="0.25">
      <c r="C208" s="111">
        <v>296</v>
      </c>
      <c r="D208" s="111"/>
      <c r="E208" s="111" t="s">
        <v>266</v>
      </c>
      <c r="F208" s="112">
        <f>'5. Bilan'!BG210</f>
        <v>991224.67999999993</v>
      </c>
    </row>
    <row r="209" spans="3:6" x14ac:dyDescent="0.25">
      <c r="D209" s="7">
        <v>2960</v>
      </c>
      <c r="E209" s="7" t="s">
        <v>266</v>
      </c>
      <c r="F209" s="12">
        <f>'5. Bilan'!BG211</f>
        <v>991224.67999999993</v>
      </c>
    </row>
    <row r="210" spans="3:6" x14ac:dyDescent="0.25">
      <c r="F210" s="75"/>
    </row>
    <row r="211" spans="3:6" x14ac:dyDescent="0.25">
      <c r="C211" s="111">
        <v>298</v>
      </c>
      <c r="D211" s="111"/>
      <c r="E211" s="111" t="s">
        <v>267</v>
      </c>
      <c r="F211" s="112">
        <f>'5. Bilan'!BG213</f>
        <v>146768.70000000001</v>
      </c>
    </row>
    <row r="212" spans="3:6" x14ac:dyDescent="0.25">
      <c r="D212" s="7">
        <v>2980</v>
      </c>
      <c r="E212" s="7" t="s">
        <v>267</v>
      </c>
      <c r="F212" s="12">
        <f>'5. Bilan'!BG214</f>
        <v>146768.70000000001</v>
      </c>
    </row>
    <row r="213" spans="3:6" x14ac:dyDescent="0.25">
      <c r="F213" s="75"/>
    </row>
    <row r="214" spans="3:6" x14ac:dyDescent="0.25">
      <c r="C214" s="111">
        <v>299</v>
      </c>
      <c r="D214" s="111"/>
      <c r="E214" s="111" t="s">
        <v>441</v>
      </c>
      <c r="F214" s="112">
        <f>'5. Bilan'!BG216</f>
        <v>105179156.91999999</v>
      </c>
    </row>
    <row r="215" spans="3:6" x14ac:dyDescent="0.25">
      <c r="D215" s="7">
        <v>2990</v>
      </c>
      <c r="E215" s="7" t="s">
        <v>441</v>
      </c>
      <c r="F215" s="75">
        <f>'5. Bilan'!BG217</f>
        <v>-1818630.0800000008</v>
      </c>
    </row>
    <row r="216" spans="3:6" x14ac:dyDescent="0.25">
      <c r="D216" s="7">
        <v>2999</v>
      </c>
      <c r="E216" s="7" t="s">
        <v>442</v>
      </c>
      <c r="F216" s="75">
        <f>'5. Bilan'!BG218</f>
        <v>106997787.00000004</v>
      </c>
    </row>
    <row r="217" spans="3:6" x14ac:dyDescent="0.25">
      <c r="F217" s="75"/>
    </row>
    <row r="218" spans="3:6" x14ac:dyDescent="0.25">
      <c r="F218" s="75"/>
    </row>
    <row r="219" spans="3:6" x14ac:dyDescent="0.25">
      <c r="F219" s="75"/>
    </row>
    <row r="220" spans="3:6" x14ac:dyDescent="0.25">
      <c r="E220" s="77" t="s">
        <v>68</v>
      </c>
      <c r="F220" s="21">
        <f>'5. Bilan'!BG226</f>
        <v>9.9999785423278809E-2</v>
      </c>
    </row>
  </sheetData>
  <pageMargins left="0.7" right="0.7" top="0.75" bottom="0.75" header="0.3" footer="0.3"/>
  <pageSetup paperSize="8" scale="33"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tint="0.59999389629810485"/>
  </sheetPr>
  <dimension ref="B2:E10"/>
  <sheetViews>
    <sheetView workbookViewId="0"/>
  </sheetViews>
  <sheetFormatPr baseColWidth="10" defaultColWidth="11.44140625" defaultRowHeight="13.8" x14ac:dyDescent="0.25"/>
  <cols>
    <col min="1" max="1" width="5.88671875" style="7" customWidth="1"/>
    <col min="2" max="2" width="7.44140625" style="7" customWidth="1"/>
    <col min="3" max="3" width="8.33203125" style="7" customWidth="1"/>
    <col min="4" max="4" width="60.5546875" style="7" customWidth="1"/>
    <col min="5" max="5" width="22.88671875" style="7" customWidth="1"/>
    <col min="6" max="16384" width="11.44140625" style="7"/>
  </cols>
  <sheetData>
    <row r="2" spans="2:5" x14ac:dyDescent="0.25">
      <c r="B2" s="6">
        <v>290</v>
      </c>
      <c r="C2" s="6"/>
      <c r="D2" s="7" t="s">
        <v>260</v>
      </c>
      <c r="E2" s="12">
        <f>'5.2 Tableau bilan'!F189</f>
        <v>109120439.25999996</v>
      </c>
    </row>
    <row r="3" spans="2:5" x14ac:dyDescent="0.25">
      <c r="B3" s="6">
        <v>291</v>
      </c>
      <c r="C3" s="6"/>
      <c r="D3" s="7" t="s">
        <v>261</v>
      </c>
      <c r="E3" s="12">
        <f>'5.2 Tableau bilan'!F192</f>
        <v>1610467.83</v>
      </c>
    </row>
    <row r="4" spans="2:5" x14ac:dyDescent="0.25">
      <c r="B4" s="6">
        <v>292</v>
      </c>
      <c r="C4" s="6"/>
      <c r="D4" s="7" t="s">
        <v>262</v>
      </c>
      <c r="E4" s="12">
        <f>'5.2 Tableau bilan'!F196</f>
        <v>290206.59999999998</v>
      </c>
    </row>
    <row r="5" spans="2:5" x14ac:dyDescent="0.25">
      <c r="B5" s="6">
        <v>293</v>
      </c>
      <c r="C5" s="6"/>
      <c r="D5" s="7" t="s">
        <v>263</v>
      </c>
      <c r="E5" s="12">
        <f>'5.2 Tableau bilan'!F199</f>
        <v>18261002.340000004</v>
      </c>
    </row>
    <row r="6" spans="2:5" x14ac:dyDescent="0.25">
      <c r="B6" s="6">
        <v>294</v>
      </c>
      <c r="C6" s="6"/>
      <c r="D6" s="7" t="s">
        <v>264</v>
      </c>
      <c r="E6" s="12">
        <f>'5.2 Tableau bilan'!F202</f>
        <v>29293791.180000003</v>
      </c>
    </row>
    <row r="7" spans="2:5" x14ac:dyDescent="0.25">
      <c r="B7" s="6">
        <v>295</v>
      </c>
      <c r="C7" s="6"/>
      <c r="D7" s="7" t="s">
        <v>265</v>
      </c>
      <c r="E7" s="12">
        <f>'5.2 Tableau bilan'!F205</f>
        <v>3674777.6799999997</v>
      </c>
    </row>
    <row r="8" spans="2:5" x14ac:dyDescent="0.25">
      <c r="B8" s="6">
        <v>296</v>
      </c>
      <c r="C8" s="6"/>
      <c r="D8" s="7" t="s">
        <v>266</v>
      </c>
      <c r="E8" s="12">
        <f>'5.2 Tableau bilan'!F208</f>
        <v>991224.67999999993</v>
      </c>
    </row>
    <row r="9" spans="2:5" x14ac:dyDescent="0.25">
      <c r="B9" s="6">
        <v>298</v>
      </c>
      <c r="C9" s="6"/>
      <c r="D9" s="7" t="s">
        <v>267</v>
      </c>
      <c r="E9" s="12">
        <f>'5.2 Tableau bilan'!F211</f>
        <v>146768.70000000001</v>
      </c>
    </row>
    <row r="10" spans="2:5" x14ac:dyDescent="0.25">
      <c r="B10" s="6">
        <v>299</v>
      </c>
      <c r="C10" s="6"/>
      <c r="D10" s="7" t="s">
        <v>441</v>
      </c>
      <c r="E10" s="12">
        <f>'5.2 Tableau bilan'!F214</f>
        <v>105179156.91999999</v>
      </c>
    </row>
  </sheetData>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59999389629810485"/>
  </sheetPr>
  <dimension ref="A2:BG40"/>
  <sheetViews>
    <sheetView workbookViewId="0">
      <pane xSplit="2" ySplit="7" topLeftCell="C8" activePane="bottomRight" state="frozen"/>
      <selection pane="topRight" activeCell="C1" sqref="C1"/>
      <selection pane="bottomLeft" activeCell="A7" sqref="A7"/>
      <selection pane="bottomRight" activeCell="C8" sqref="C8"/>
    </sheetView>
  </sheetViews>
  <sheetFormatPr baseColWidth="10" defaultColWidth="11.44140625" defaultRowHeight="13.8" x14ac:dyDescent="0.25"/>
  <cols>
    <col min="1" max="1" width="5.6640625" style="7" customWidth="1"/>
    <col min="2" max="2" width="50.33203125" style="7" customWidth="1"/>
    <col min="3" max="56" width="16.33203125" style="7" customWidth="1"/>
    <col min="57" max="59" width="17.88671875" style="7" customWidth="1"/>
    <col min="60" max="16384" width="11.44140625" style="7"/>
  </cols>
  <sheetData>
    <row r="2" spans="1:59" ht="21" x14ac:dyDescent="0.4">
      <c r="A2" s="79" t="s">
        <v>822</v>
      </c>
      <c r="B2" s="6"/>
    </row>
    <row r="3" spans="1:59" ht="15" customHeight="1" x14ac:dyDescent="0.25">
      <c r="A3" s="119" t="s">
        <v>447</v>
      </c>
      <c r="B3" s="6"/>
    </row>
    <row r="4" spans="1:59" ht="15" customHeight="1" x14ac:dyDescent="0.25">
      <c r="A4" s="6"/>
      <c r="B4" s="6"/>
    </row>
    <row r="5" spans="1:59" ht="15" customHeight="1" x14ac:dyDescent="0.4">
      <c r="A5" s="5"/>
      <c r="B5" s="6"/>
    </row>
    <row r="6" spans="1:59" x14ac:dyDescent="0.25">
      <c r="A6" s="120"/>
      <c r="C6" s="8">
        <f>'Base de données pop.'!C2</f>
        <v>951</v>
      </c>
      <c r="D6" s="8">
        <f>'Base de données pop.'!C3</f>
        <v>258</v>
      </c>
      <c r="E6" s="8">
        <f>'Base de données pop.'!C4</f>
        <v>471</v>
      </c>
      <c r="F6" s="8">
        <f>'Base de données pop.'!C5</f>
        <v>441</v>
      </c>
      <c r="G6" s="8">
        <f>'Base de données pop.'!C6</f>
        <v>3686</v>
      </c>
      <c r="H6" s="8">
        <f>'Base de données pop.'!C7</f>
        <v>3313</v>
      </c>
      <c r="I6" s="8">
        <f>'Base de données pop.'!C8</f>
        <v>2654</v>
      </c>
      <c r="J6" s="8">
        <f>'Base de données pop.'!C9</f>
        <v>12636</v>
      </c>
      <c r="K6" s="8">
        <f>'Base de données pop.'!C10</f>
        <v>1360</v>
      </c>
      <c r="L6" s="8">
        <f>'Base de données pop.'!C11</f>
        <v>112</v>
      </c>
      <c r="M6" s="8">
        <f>'Base de données pop.'!C12</f>
        <v>7319</v>
      </c>
      <c r="N6" s="8">
        <f>'Base de données pop.'!C13</f>
        <v>522</v>
      </c>
      <c r="O6" s="8">
        <f>'Base de données pop.'!C14</f>
        <v>106</v>
      </c>
      <c r="P6" s="8">
        <f>'Base de données pop.'!C15</f>
        <v>425</v>
      </c>
      <c r="Q6" s="8">
        <f>'Base de données pop.'!C16</f>
        <v>350</v>
      </c>
      <c r="R6" s="8">
        <f>'Base de données pop.'!C17</f>
        <v>733</v>
      </c>
      <c r="S6" s="8">
        <f>'Base de données pop.'!C18</f>
        <v>270</v>
      </c>
      <c r="T6" s="8">
        <f>'Base de données pop.'!C19</f>
        <v>417</v>
      </c>
      <c r="U6" s="8">
        <f>'Base de données pop.'!C20</f>
        <v>3285</v>
      </c>
      <c r="V6" s="8">
        <f>'Base de données pop.'!C21</f>
        <v>308</v>
      </c>
      <c r="W6" s="8">
        <f>'Base de données pop.'!C22</f>
        <v>1258</v>
      </c>
      <c r="X6" s="8">
        <f>'Base de données pop.'!C23</f>
        <v>1524</v>
      </c>
      <c r="Y6" s="8">
        <f>'Base de données pop.'!C24</f>
        <v>87</v>
      </c>
      <c r="Z6" s="8">
        <f>'Base de données pop.'!C25</f>
        <v>156</v>
      </c>
      <c r="AA6" s="8">
        <f>'Base de données pop.'!C26</f>
        <v>510</v>
      </c>
      <c r="AB6" s="8">
        <f>'Base de données pop.'!C27</f>
        <v>705</v>
      </c>
      <c r="AC6" s="8">
        <f>'Base de données pop.'!C28</f>
        <v>551</v>
      </c>
      <c r="AD6" s="8">
        <f>'Base de données pop.'!C29</f>
        <v>511</v>
      </c>
      <c r="AE6" s="8">
        <f>'Base de données pop.'!C30</f>
        <v>1902</v>
      </c>
      <c r="AF6" s="8">
        <f>'Base de données pop.'!C31</f>
        <v>2575</v>
      </c>
      <c r="AG6" s="8">
        <f>'Base de données pop.'!C32</f>
        <v>228</v>
      </c>
      <c r="AH6" s="8">
        <f>'Base de données pop.'!C33</f>
        <v>118</v>
      </c>
      <c r="AI6" s="8">
        <f>'Base de données pop.'!C34</f>
        <v>1882</v>
      </c>
      <c r="AJ6" s="8">
        <f>'Base de données pop.'!C35</f>
        <v>1114</v>
      </c>
      <c r="AK6" s="8">
        <f>'Base de données pop.'!C36</f>
        <v>1217</v>
      </c>
      <c r="AL6" s="8">
        <f>'Base de données pop.'!C37</f>
        <v>117</v>
      </c>
      <c r="AM6" s="8">
        <f>'Base de données pop.'!C38</f>
        <v>1205</v>
      </c>
      <c r="AN6" s="8">
        <f>'Base de données pop.'!C39</f>
        <v>625</v>
      </c>
      <c r="AO6" s="8">
        <f>'Base de données pop.'!C40</f>
        <v>631</v>
      </c>
      <c r="AP6" s="8">
        <f>'Base de données pop.'!C41</f>
        <v>1275</v>
      </c>
      <c r="AQ6" s="8">
        <f>'Base de données pop.'!C42</f>
        <v>718</v>
      </c>
      <c r="AR6" s="8">
        <f>'Base de données pop.'!C43</f>
        <v>1018</v>
      </c>
      <c r="AS6" s="8">
        <f>'Base de données pop.'!C44</f>
        <v>293</v>
      </c>
      <c r="AT6" s="8">
        <f>'Base de données pop.'!C45</f>
        <v>2435</v>
      </c>
      <c r="AU6" s="8">
        <f>'Base de données pop.'!C46</f>
        <v>786</v>
      </c>
      <c r="AV6" s="8">
        <f>'Base de données pop.'!C47</f>
        <v>184</v>
      </c>
      <c r="AW6" s="8">
        <f>'Base de données pop.'!C48</f>
        <v>333</v>
      </c>
      <c r="AX6" s="8">
        <f>'Base de données pop.'!C49</f>
        <v>1674</v>
      </c>
      <c r="AY6" s="8">
        <f>'Base de données pop.'!C50</f>
        <v>391</v>
      </c>
      <c r="AZ6" s="8">
        <f>'Base de données pop.'!C51</f>
        <v>1052</v>
      </c>
      <c r="BA6" s="8">
        <f>'Base de données pop.'!C52</f>
        <v>186</v>
      </c>
      <c r="BB6" s="8">
        <f>'Base de données pop.'!C53</f>
        <v>6441</v>
      </c>
      <c r="BC6" s="8">
        <f>'Base de données pop.'!C54</f>
        <v>546</v>
      </c>
      <c r="BD6" s="8">
        <f>SUM(C6:BC6)</f>
        <v>73865</v>
      </c>
      <c r="BE6" s="8">
        <f>SUM(C6:U6)</f>
        <v>39309</v>
      </c>
      <c r="BF6" s="8">
        <f>SUM(V6:AH6)</f>
        <v>10433</v>
      </c>
      <c r="BG6" s="8">
        <f>SUM(AI6:BC6)</f>
        <v>24123</v>
      </c>
    </row>
    <row r="7" spans="1:59" x14ac:dyDescent="0.25">
      <c r="C7" s="81" t="s">
        <v>56</v>
      </c>
      <c r="D7" s="81" t="s">
        <v>18</v>
      </c>
      <c r="E7" s="81" t="s">
        <v>57</v>
      </c>
      <c r="F7" s="81" t="s">
        <v>53</v>
      </c>
      <c r="G7" s="81" t="s">
        <v>33</v>
      </c>
      <c r="H7" s="81" t="s">
        <v>10</v>
      </c>
      <c r="I7" s="81" t="s">
        <v>15</v>
      </c>
      <c r="J7" s="81" t="s">
        <v>28</v>
      </c>
      <c r="K7" s="81" t="s">
        <v>42</v>
      </c>
      <c r="L7" s="81" t="s">
        <v>23</v>
      </c>
      <c r="M7" s="81" t="s">
        <v>22</v>
      </c>
      <c r="N7" s="81" t="s">
        <v>13</v>
      </c>
      <c r="O7" s="81" t="s">
        <v>17</v>
      </c>
      <c r="P7" s="81" t="s">
        <v>43</v>
      </c>
      <c r="Q7" s="81" t="s">
        <v>40</v>
      </c>
      <c r="R7" s="81" t="s">
        <v>31</v>
      </c>
      <c r="S7" s="81" t="s">
        <v>12</v>
      </c>
      <c r="T7" s="81" t="s">
        <v>59</v>
      </c>
      <c r="U7" s="81" t="s">
        <v>27</v>
      </c>
      <c r="V7" s="81" t="s">
        <v>30</v>
      </c>
      <c r="W7" s="81" t="s">
        <v>20</v>
      </c>
      <c r="X7" s="81" t="s">
        <v>45</v>
      </c>
      <c r="Y7" s="81" t="s">
        <v>71</v>
      </c>
      <c r="Z7" s="81" t="s">
        <v>39</v>
      </c>
      <c r="AA7" s="81" t="s">
        <v>19</v>
      </c>
      <c r="AB7" s="81" t="s">
        <v>41</v>
      </c>
      <c r="AC7" s="81" t="s">
        <v>36</v>
      </c>
      <c r="AD7" s="81" t="s">
        <v>7</v>
      </c>
      <c r="AE7" s="81" t="s">
        <v>55</v>
      </c>
      <c r="AF7" s="81" t="s">
        <v>21</v>
      </c>
      <c r="AG7" s="81" t="s">
        <v>6</v>
      </c>
      <c r="AH7" s="81" t="s">
        <v>34</v>
      </c>
      <c r="AI7" s="81" t="s">
        <v>52</v>
      </c>
      <c r="AJ7" s="81" t="s">
        <v>14</v>
      </c>
      <c r="AK7" s="81" t="s">
        <v>32</v>
      </c>
      <c r="AL7" s="81" t="s">
        <v>29</v>
      </c>
      <c r="AM7" s="81" t="s">
        <v>26</v>
      </c>
      <c r="AN7" s="81" t="s">
        <v>48</v>
      </c>
      <c r="AO7" s="81" t="s">
        <v>44</v>
      </c>
      <c r="AP7" s="81" t="s">
        <v>37</v>
      </c>
      <c r="AQ7" s="81" t="s">
        <v>51</v>
      </c>
      <c r="AR7" s="81" t="s">
        <v>8</v>
      </c>
      <c r="AS7" s="81" t="s">
        <v>24</v>
      </c>
      <c r="AT7" s="81" t="s">
        <v>9</v>
      </c>
      <c r="AU7" s="81" t="s">
        <v>62</v>
      </c>
      <c r="AV7" s="81" t="s">
        <v>46</v>
      </c>
      <c r="AW7" s="81" t="s">
        <v>35</v>
      </c>
      <c r="AX7" s="81" t="s">
        <v>49</v>
      </c>
      <c r="AY7" s="81" t="s">
        <v>47</v>
      </c>
      <c r="AZ7" s="81" t="s">
        <v>58</v>
      </c>
      <c r="BA7" s="81" t="s">
        <v>50</v>
      </c>
      <c r="BB7" s="81" t="s">
        <v>16</v>
      </c>
      <c r="BC7" s="81" t="s">
        <v>25</v>
      </c>
      <c r="BD7" s="81" t="s">
        <v>65</v>
      </c>
      <c r="BE7" s="81" t="s">
        <v>28</v>
      </c>
      <c r="BF7" s="81" t="s">
        <v>64</v>
      </c>
      <c r="BG7" s="81" t="s">
        <v>16</v>
      </c>
    </row>
    <row r="8" spans="1:59" x14ac:dyDescent="0.25">
      <c r="A8" s="7">
        <v>10</v>
      </c>
      <c r="B8" s="7" t="s">
        <v>239</v>
      </c>
      <c r="C8" s="15">
        <f>'5. Bilan'!F6</f>
        <v>6037644.3900000006</v>
      </c>
      <c r="D8" s="15">
        <f>'5. Bilan'!G6</f>
        <v>1108066.8799999999</v>
      </c>
      <c r="E8" s="15">
        <f>'5. Bilan'!H6</f>
        <v>3353239.51</v>
      </c>
      <c r="F8" s="15">
        <f>'5. Bilan'!I6</f>
        <v>4584095.1500000004</v>
      </c>
      <c r="G8" s="15">
        <f>'5. Bilan'!J6</f>
        <v>16024215.689999999</v>
      </c>
      <c r="H8" s="15">
        <f>'5. Bilan'!K6</f>
        <v>8324678.54</v>
      </c>
      <c r="I8" s="15">
        <f>'5. Bilan'!L6</f>
        <v>11749552.24</v>
      </c>
      <c r="J8" s="15">
        <f>'5. Bilan'!M6</f>
        <v>68553767.209999993</v>
      </c>
      <c r="K8" s="15">
        <f>'5. Bilan'!N6</f>
        <v>3589866.2700000005</v>
      </c>
      <c r="L8" s="15">
        <f>'5. Bilan'!O6</f>
        <v>301716.32000000007</v>
      </c>
      <c r="M8" s="15">
        <f>'5. Bilan'!P6</f>
        <v>18227970.310000002</v>
      </c>
      <c r="N8" s="15">
        <f>'5. Bilan'!Q6</f>
        <v>1955442.92</v>
      </c>
      <c r="O8" s="15">
        <f>'5. Bilan'!R6</f>
        <v>534068.06000000006</v>
      </c>
      <c r="P8" s="15">
        <f>'5. Bilan'!S6</f>
        <v>1563563.54</v>
      </c>
      <c r="Q8" s="15">
        <f>'5. Bilan'!T6</f>
        <v>2684765.9800000004</v>
      </c>
      <c r="R8" s="15">
        <f>'5. Bilan'!U6</f>
        <v>6195670.4299999997</v>
      </c>
      <c r="S8" s="15">
        <f>'5. Bilan'!V6</f>
        <v>928269.8</v>
      </c>
      <c r="T8" s="15">
        <f>'5. Bilan'!W6</f>
        <v>1935465.45</v>
      </c>
      <c r="U8" s="15">
        <f>'5. Bilan'!X6</f>
        <v>5127537.58</v>
      </c>
      <c r="V8" s="15">
        <f>'5. Bilan'!Y6</f>
        <v>1652417.67</v>
      </c>
      <c r="W8" s="15">
        <f>'5. Bilan'!Z6</f>
        <v>4319708.2200000007</v>
      </c>
      <c r="X8" s="15">
        <f>'5. Bilan'!AA6</f>
        <v>25335688.600000001</v>
      </c>
      <c r="Y8" s="15">
        <f>'5. Bilan'!AB6</f>
        <v>1044849.8999999999</v>
      </c>
      <c r="Z8" s="15">
        <f>'5. Bilan'!AC6</f>
        <v>1666797.39</v>
      </c>
      <c r="AA8" s="15">
        <f>'5. Bilan'!AD6</f>
        <v>3382294.05</v>
      </c>
      <c r="AB8" s="15">
        <f>'5. Bilan'!AE6</f>
        <v>2392641.9500000002</v>
      </c>
      <c r="AC8" s="15">
        <f>'5. Bilan'!AF6</f>
        <v>2271201.0699999998</v>
      </c>
      <c r="AD8" s="15">
        <f>'5. Bilan'!AG6</f>
        <v>4599526.68</v>
      </c>
      <c r="AE8" s="15">
        <f>'5. Bilan'!AH6</f>
        <v>8510596.3800000008</v>
      </c>
      <c r="AF8" s="15">
        <f>'5. Bilan'!AI6</f>
        <v>10380606.49</v>
      </c>
      <c r="AG8" s="15">
        <f>'5. Bilan'!AJ6</f>
        <v>1931580.05</v>
      </c>
      <c r="AH8" s="15">
        <f>'5. Bilan'!AK6</f>
        <v>2134375.87</v>
      </c>
      <c r="AI8" s="15">
        <f>'5. Bilan'!AL6</f>
        <v>6838537.3400000008</v>
      </c>
      <c r="AJ8" s="15">
        <f>'5. Bilan'!AM6</f>
        <v>5396816.46</v>
      </c>
      <c r="AK8" s="15">
        <f>'5. Bilan'!AN6</f>
        <v>5695048.0200000005</v>
      </c>
      <c r="AL8" s="15">
        <f>'5. Bilan'!AO6</f>
        <v>1514296.37</v>
      </c>
      <c r="AM8" s="15">
        <f>'5. Bilan'!AP6</f>
        <v>15122459.289999999</v>
      </c>
      <c r="AN8" s="15">
        <f>'5. Bilan'!AQ6</f>
        <v>3338842.84</v>
      </c>
      <c r="AO8" s="15">
        <f>'5. Bilan'!AR6</f>
        <v>2476209.19</v>
      </c>
      <c r="AP8" s="15">
        <f>'5. Bilan'!AS6</f>
        <v>10275159.08</v>
      </c>
      <c r="AQ8" s="15">
        <f>'5. Bilan'!AT6</f>
        <v>2584544.98</v>
      </c>
      <c r="AR8" s="15">
        <f>'5. Bilan'!AU6</f>
        <v>3846880.26</v>
      </c>
      <c r="AS8" s="15">
        <f>'5. Bilan'!AV6</f>
        <v>2658547.9700000002</v>
      </c>
      <c r="AT8" s="15">
        <f>'5. Bilan'!AW6</f>
        <v>5474469.3700000001</v>
      </c>
      <c r="AU8" s="15">
        <f>'5. Bilan'!AX6</f>
        <v>3491542.2800000003</v>
      </c>
      <c r="AV8" s="15">
        <f>'5. Bilan'!AY6</f>
        <v>653797.15999999992</v>
      </c>
      <c r="AW8" s="15">
        <f>'5. Bilan'!AZ6</f>
        <v>2270337.29</v>
      </c>
      <c r="AX8" s="15">
        <f>'5. Bilan'!BA6</f>
        <v>4657846.2799999993</v>
      </c>
      <c r="AY8" s="15">
        <f>'5. Bilan'!BB6</f>
        <v>3072489.28</v>
      </c>
      <c r="AZ8" s="15">
        <f>'5. Bilan'!BC6</f>
        <v>5428306.3300000001</v>
      </c>
      <c r="BA8" s="15">
        <f>'5. Bilan'!BD6</f>
        <v>818483.84000000008</v>
      </c>
      <c r="BB8" s="15">
        <f>'5. Bilan'!BE6</f>
        <v>26795687.490000002</v>
      </c>
      <c r="BC8" s="15">
        <f>'5. Bilan'!BF6</f>
        <v>2413654.2999999998</v>
      </c>
      <c r="BD8" s="15">
        <f>SUM(C8:BC8)</f>
        <v>347225836.00999993</v>
      </c>
      <c r="BE8" s="15">
        <f>SUM(C8:U8)</f>
        <v>162779596.26999998</v>
      </c>
      <c r="BF8" s="15">
        <f>SUM(V8:AH8)</f>
        <v>69622284.320000008</v>
      </c>
      <c r="BG8" s="15">
        <f>SUM(AI8:BC8)</f>
        <v>114823955.42</v>
      </c>
    </row>
    <row r="9" spans="1:59" x14ac:dyDescent="0.2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row>
    <row r="10" spans="1:59" x14ac:dyDescent="0.25">
      <c r="A10" s="7">
        <v>20</v>
      </c>
      <c r="B10" s="7" t="s">
        <v>251</v>
      </c>
      <c r="C10" s="15">
        <f>'5. Bilan'!F122</f>
        <v>10387762</v>
      </c>
      <c r="D10" s="15">
        <f>'5. Bilan'!G122</f>
        <v>2458341.4500000002</v>
      </c>
      <c r="E10" s="15">
        <f>'5. Bilan'!H122</f>
        <v>5663438.9000000004</v>
      </c>
      <c r="F10" s="15">
        <f>'5. Bilan'!I122</f>
        <v>4613675.95</v>
      </c>
      <c r="G10" s="15">
        <f>'5. Bilan'!J122</f>
        <v>26620617.579999998</v>
      </c>
      <c r="H10" s="15">
        <f>'5. Bilan'!K122</f>
        <v>24892414.510000002</v>
      </c>
      <c r="I10" s="15">
        <f>'5. Bilan'!L122</f>
        <v>11320234.83</v>
      </c>
      <c r="J10" s="15">
        <f>'5. Bilan'!M122</f>
        <v>172023431.55000001</v>
      </c>
      <c r="K10" s="15">
        <f>'5. Bilan'!N122</f>
        <v>7707490.3399999999</v>
      </c>
      <c r="L10" s="15">
        <f>'5. Bilan'!O122</f>
        <v>1081046.8900000001</v>
      </c>
      <c r="M10" s="15">
        <f>'5. Bilan'!P122</f>
        <v>47318439.43</v>
      </c>
      <c r="N10" s="15">
        <f>'5. Bilan'!Q122</f>
        <v>3246426.65</v>
      </c>
      <c r="O10" s="15">
        <f>'5. Bilan'!R122</f>
        <v>516713.91000000003</v>
      </c>
      <c r="P10" s="15">
        <f>'5. Bilan'!S122</f>
        <v>3206301.96</v>
      </c>
      <c r="Q10" s="15">
        <f>'5. Bilan'!T122</f>
        <v>4198890.09</v>
      </c>
      <c r="R10" s="15">
        <f>'5. Bilan'!U122</f>
        <v>5743955.0699999994</v>
      </c>
      <c r="S10" s="15">
        <f>'5. Bilan'!V122</f>
        <v>1376416.56</v>
      </c>
      <c r="T10" s="15">
        <f>'5. Bilan'!W122</f>
        <v>3850042.2199999997</v>
      </c>
      <c r="U10" s="15">
        <f>'5. Bilan'!X122</f>
        <v>16558833.02</v>
      </c>
      <c r="V10" s="15">
        <f>'5. Bilan'!Y122</f>
        <v>557289.15</v>
      </c>
      <c r="W10" s="15">
        <f>'5. Bilan'!Z122</f>
        <v>10023871.58</v>
      </c>
      <c r="X10" s="15">
        <f>'5. Bilan'!AA122</f>
        <v>11609126.439999999</v>
      </c>
      <c r="Y10" s="15">
        <f>'5. Bilan'!AB122</f>
        <v>1134572.45</v>
      </c>
      <c r="Z10" s="15">
        <f>'5. Bilan'!AC122</f>
        <v>1455772.58</v>
      </c>
      <c r="AA10" s="15">
        <f>'5. Bilan'!AD122</f>
        <v>4809335.9300000006</v>
      </c>
      <c r="AB10" s="15">
        <f>'5. Bilan'!AE122</f>
        <v>8125283.04</v>
      </c>
      <c r="AC10" s="15">
        <f>'5. Bilan'!AF122</f>
        <v>4282275.18</v>
      </c>
      <c r="AD10" s="15">
        <f>'5. Bilan'!AG122</f>
        <v>2332429.3199999998</v>
      </c>
      <c r="AE10" s="15">
        <f>'5. Bilan'!AH122</f>
        <v>6112885.5499999998</v>
      </c>
      <c r="AF10" s="15">
        <f>'5. Bilan'!AI122</f>
        <v>17455328.25</v>
      </c>
      <c r="AG10" s="15">
        <f>'5. Bilan'!AJ122</f>
        <v>1696806.31</v>
      </c>
      <c r="AH10" s="15">
        <f>'5. Bilan'!AK122</f>
        <v>955647.76</v>
      </c>
      <c r="AI10" s="15">
        <f>'5. Bilan'!AL122</f>
        <v>18480685.75</v>
      </c>
      <c r="AJ10" s="15">
        <f>'5. Bilan'!AM122</f>
        <v>9082156.0500000007</v>
      </c>
      <c r="AK10" s="15">
        <f>'5. Bilan'!AN122</f>
        <v>12207406.350000001</v>
      </c>
      <c r="AL10" s="15">
        <f>'5. Bilan'!AO122</f>
        <v>1433220.07</v>
      </c>
      <c r="AM10" s="15">
        <f>'5. Bilan'!AP122</f>
        <v>9780990.1600000001</v>
      </c>
      <c r="AN10" s="15">
        <f>'5. Bilan'!AQ122</f>
        <v>5325818.5199999996</v>
      </c>
      <c r="AO10" s="15">
        <f>'5. Bilan'!AR122</f>
        <v>4789846.6900000004</v>
      </c>
      <c r="AP10" s="15">
        <f>'5. Bilan'!AS122</f>
        <v>10750093.829999998</v>
      </c>
      <c r="AQ10" s="15">
        <f>'5. Bilan'!AT122</f>
        <v>5683203.0499999998</v>
      </c>
      <c r="AR10" s="15">
        <f>'5. Bilan'!AU122</f>
        <v>9689539.4199999999</v>
      </c>
      <c r="AS10" s="15">
        <f>'5. Bilan'!AV122</f>
        <v>1923504.9000000001</v>
      </c>
      <c r="AT10" s="15">
        <f>'5. Bilan'!AW122</f>
        <v>14166790.52</v>
      </c>
      <c r="AU10" s="15">
        <f>'5. Bilan'!AX122</f>
        <v>6251229.9899999993</v>
      </c>
      <c r="AV10" s="15">
        <f>'5. Bilan'!AY122</f>
        <v>861801.6</v>
      </c>
      <c r="AW10" s="15">
        <f>'5. Bilan'!AZ122</f>
        <v>2114057.42</v>
      </c>
      <c r="AX10" s="15">
        <f>'5. Bilan'!BA122</f>
        <v>19788217.459999997</v>
      </c>
      <c r="AY10" s="15">
        <f>'5. Bilan'!BB122</f>
        <v>3124082.63</v>
      </c>
      <c r="AZ10" s="15">
        <f>'5. Bilan'!BC122</f>
        <v>11179720.809999999</v>
      </c>
      <c r="BA10" s="15">
        <f>'5. Bilan'!BD122</f>
        <v>476804.52999999997</v>
      </c>
      <c r="BB10" s="15">
        <f>'5. Bilan'!BE122</f>
        <v>71918102.74000001</v>
      </c>
      <c r="BC10" s="15">
        <f>'5. Bilan'!BF122</f>
        <v>4255168.32</v>
      </c>
      <c r="BD10" s="15">
        <f>SUM(C10:BC10)</f>
        <v>646617537.25999999</v>
      </c>
      <c r="BE10" s="15">
        <f t="shared" ref="BE10:BE24" si="0">SUM(C10:U10)</f>
        <v>352784472.90999997</v>
      </c>
      <c r="BF10" s="15">
        <f t="shared" ref="BF10:BF24" si="1">SUM(V10:AH10)</f>
        <v>70550623.540000007</v>
      </c>
      <c r="BG10" s="15">
        <f t="shared" ref="BG10:BG24" si="2">SUM(AI10:BC10)</f>
        <v>223282440.81</v>
      </c>
    </row>
    <row r="11" spans="1:59" x14ac:dyDescent="0.2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row>
    <row r="12" spans="1:59" x14ac:dyDescent="0.25">
      <c r="A12" s="7">
        <v>200</v>
      </c>
      <c r="B12" s="7" t="s">
        <v>448</v>
      </c>
      <c r="C12" s="15">
        <f>'5. Bilan'!F123</f>
        <v>87051.650000000009</v>
      </c>
      <c r="D12" s="15">
        <f>'5. Bilan'!G123</f>
        <v>127449.95</v>
      </c>
      <c r="E12" s="15">
        <f>'5. Bilan'!H123</f>
        <v>35980.85</v>
      </c>
      <c r="F12" s="15">
        <f>'5. Bilan'!I123</f>
        <v>303392.63</v>
      </c>
      <c r="G12" s="15">
        <f>'5. Bilan'!J123</f>
        <v>1690155.04</v>
      </c>
      <c r="H12" s="15">
        <f>'5. Bilan'!K123</f>
        <v>1780885.62</v>
      </c>
      <c r="I12" s="15">
        <f>'5. Bilan'!L123</f>
        <v>289947.59000000003</v>
      </c>
      <c r="J12" s="15">
        <f>'5. Bilan'!M123</f>
        <v>10184153.890000001</v>
      </c>
      <c r="K12" s="15">
        <f>'5. Bilan'!N123</f>
        <v>582457.34</v>
      </c>
      <c r="L12" s="15">
        <f>'5. Bilan'!O123</f>
        <v>0</v>
      </c>
      <c r="M12" s="15">
        <f>'5. Bilan'!P123</f>
        <v>2440635.39</v>
      </c>
      <c r="N12" s="15">
        <f>'5. Bilan'!Q123</f>
        <v>123486.63</v>
      </c>
      <c r="O12" s="15">
        <f>'5. Bilan'!R123</f>
        <v>9398.2999999999993</v>
      </c>
      <c r="P12" s="15">
        <f>'5. Bilan'!S123</f>
        <v>297493.89</v>
      </c>
      <c r="Q12" s="15">
        <f>'5. Bilan'!T123</f>
        <v>104966.15</v>
      </c>
      <c r="R12" s="15">
        <f>'5. Bilan'!U123</f>
        <v>509439.42</v>
      </c>
      <c r="S12" s="15">
        <f>'5. Bilan'!V123</f>
        <v>294338.49</v>
      </c>
      <c r="T12" s="15">
        <f>'5. Bilan'!W123</f>
        <v>136932.75</v>
      </c>
      <c r="U12" s="15">
        <f>'5. Bilan'!X123</f>
        <v>1599706.82</v>
      </c>
      <c r="V12" s="15">
        <f>'5. Bilan'!Y123</f>
        <v>0</v>
      </c>
      <c r="W12" s="15">
        <f>'5. Bilan'!Z123</f>
        <v>348103.17</v>
      </c>
      <c r="X12" s="15">
        <f>'5. Bilan'!AA123</f>
        <v>4277683.17</v>
      </c>
      <c r="Y12" s="15">
        <f>'5. Bilan'!AB123</f>
        <v>200525.4</v>
      </c>
      <c r="Z12" s="15">
        <f>'5. Bilan'!AC123</f>
        <v>129927.81</v>
      </c>
      <c r="AA12" s="15">
        <f>'5. Bilan'!AD123</f>
        <v>347859.56000000006</v>
      </c>
      <c r="AB12" s="15">
        <f>'5. Bilan'!AE123</f>
        <v>511995.85000000003</v>
      </c>
      <c r="AC12" s="15">
        <f>'5. Bilan'!AF123</f>
        <v>197555.05000000002</v>
      </c>
      <c r="AD12" s="15">
        <f>'5. Bilan'!AG123</f>
        <v>129222.31999999999</v>
      </c>
      <c r="AE12" s="15">
        <f>'5. Bilan'!AH123</f>
        <v>1155037.94</v>
      </c>
      <c r="AF12" s="15">
        <f>'5. Bilan'!AI123</f>
        <v>555580.65</v>
      </c>
      <c r="AG12" s="15">
        <f>'5. Bilan'!AJ123</f>
        <v>616045.5</v>
      </c>
      <c r="AH12" s="15">
        <f>'5. Bilan'!AK123</f>
        <v>39753.160000000003</v>
      </c>
      <c r="AI12" s="15">
        <f>'5. Bilan'!AL123</f>
        <v>553527.1</v>
      </c>
      <c r="AJ12" s="15">
        <f>'5. Bilan'!AM123</f>
        <v>130197.35</v>
      </c>
      <c r="AK12" s="15">
        <f>'5. Bilan'!AN123</f>
        <v>463530.21</v>
      </c>
      <c r="AL12" s="15">
        <f>'5. Bilan'!AO123</f>
        <v>30031.52</v>
      </c>
      <c r="AM12" s="15">
        <f>'5. Bilan'!AP123</f>
        <v>905669.76</v>
      </c>
      <c r="AN12" s="15">
        <f>'5. Bilan'!AQ123</f>
        <v>504602.57</v>
      </c>
      <c r="AO12" s="15">
        <f>'5. Bilan'!AR123</f>
        <v>178668.7</v>
      </c>
      <c r="AP12" s="15">
        <f>'5. Bilan'!AS123</f>
        <v>472209.85</v>
      </c>
      <c r="AQ12" s="15">
        <f>'5. Bilan'!AT123</f>
        <v>678578.01</v>
      </c>
      <c r="AR12" s="15">
        <f>'5. Bilan'!AU123</f>
        <v>218104.88999999998</v>
      </c>
      <c r="AS12" s="15">
        <f>'5. Bilan'!AV123</f>
        <v>85812.35</v>
      </c>
      <c r="AT12" s="15">
        <f>'5. Bilan'!AW123</f>
        <v>337466.31</v>
      </c>
      <c r="AU12" s="15">
        <f>'5. Bilan'!AX123</f>
        <v>226976.44</v>
      </c>
      <c r="AV12" s="15">
        <f>'5. Bilan'!AY123</f>
        <v>50732.4</v>
      </c>
      <c r="AW12" s="15">
        <f>'5. Bilan'!AZ123</f>
        <v>189382.59</v>
      </c>
      <c r="AX12" s="15">
        <f>'5. Bilan'!BA123</f>
        <v>1145974.3</v>
      </c>
      <c r="AY12" s="15">
        <f>'5. Bilan'!BB123</f>
        <v>87775.61</v>
      </c>
      <c r="AZ12" s="15">
        <f>'5. Bilan'!BC123</f>
        <v>423582.76999999996</v>
      </c>
      <c r="BA12" s="15">
        <f>'5. Bilan'!BD123</f>
        <v>27000</v>
      </c>
      <c r="BB12" s="15">
        <f>'5. Bilan'!BE123</f>
        <v>3439064.8299999996</v>
      </c>
      <c r="BC12" s="15">
        <f>'5. Bilan'!BF123</f>
        <v>240647.07</v>
      </c>
      <c r="BD12" s="15">
        <f>SUM(C12:BC12)</f>
        <v>39496696.610000007</v>
      </c>
      <c r="BE12" s="15">
        <f t="shared" si="0"/>
        <v>20597872.399999999</v>
      </c>
      <c r="BF12" s="15">
        <f t="shared" si="1"/>
        <v>8509289.5800000001</v>
      </c>
      <c r="BG12" s="15">
        <f t="shared" si="2"/>
        <v>10389534.630000001</v>
      </c>
    </row>
    <row r="13" spans="1:59" x14ac:dyDescent="0.2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row>
    <row r="14" spans="1:59" x14ac:dyDescent="0.25">
      <c r="A14" s="7">
        <v>201</v>
      </c>
      <c r="B14" s="7" t="s">
        <v>253</v>
      </c>
      <c r="C14" s="15">
        <f>'5. Bilan'!F133</f>
        <v>6600941.8499999996</v>
      </c>
      <c r="D14" s="15">
        <f>'5. Bilan'!G133</f>
        <v>308700</v>
      </c>
      <c r="E14" s="15">
        <f>'5. Bilan'!H133</f>
        <v>128800</v>
      </c>
      <c r="F14" s="15">
        <f>'5. Bilan'!I133</f>
        <v>240557.09</v>
      </c>
      <c r="G14" s="15">
        <f>'5. Bilan'!J133</f>
        <v>6371926.8099999996</v>
      </c>
      <c r="H14" s="15">
        <f>'5. Bilan'!K133</f>
        <v>9141550</v>
      </c>
      <c r="I14" s="15">
        <f>'5. Bilan'!L133</f>
        <v>987000</v>
      </c>
      <c r="J14" s="15">
        <f>'5. Bilan'!M133</f>
        <v>27070490</v>
      </c>
      <c r="K14" s="15">
        <f>'5. Bilan'!N133</f>
        <v>2959119.9</v>
      </c>
      <c r="L14" s="15">
        <f>'5. Bilan'!O133</f>
        <v>0</v>
      </c>
      <c r="M14" s="15">
        <f>'5. Bilan'!P133</f>
        <v>9445973.3000000007</v>
      </c>
      <c r="N14" s="15">
        <f>'5. Bilan'!Q133</f>
        <v>536952.03</v>
      </c>
      <c r="O14" s="15">
        <f>'5. Bilan'!R133</f>
        <v>109200.66</v>
      </c>
      <c r="P14" s="15">
        <f>'5. Bilan'!S133</f>
        <v>0</v>
      </c>
      <c r="Q14" s="15">
        <f>'5. Bilan'!T133</f>
        <v>3044807.75</v>
      </c>
      <c r="R14" s="15">
        <f>'5. Bilan'!U133</f>
        <v>211600</v>
      </c>
      <c r="S14" s="15">
        <f>'5. Bilan'!V133</f>
        <v>311481.01</v>
      </c>
      <c r="T14" s="15">
        <f>'5. Bilan'!W133</f>
        <v>235996.36</v>
      </c>
      <c r="U14" s="15">
        <f>'5. Bilan'!X133</f>
        <v>2120542.9299999997</v>
      </c>
      <c r="V14" s="15">
        <f>'5. Bilan'!Y133</f>
        <v>140459</v>
      </c>
      <c r="W14" s="15">
        <f>'5. Bilan'!Z133</f>
        <v>826856.21</v>
      </c>
      <c r="X14" s="15">
        <f>'5. Bilan'!AA133</f>
        <v>0</v>
      </c>
      <c r="Y14" s="15">
        <f>'5. Bilan'!AB133</f>
        <v>0</v>
      </c>
      <c r="Z14" s="15">
        <f>'5. Bilan'!AC133</f>
        <v>412500</v>
      </c>
      <c r="AA14" s="15">
        <f>'5. Bilan'!AD133</f>
        <v>719898.79</v>
      </c>
      <c r="AB14" s="15">
        <f>'5. Bilan'!AE133</f>
        <v>0</v>
      </c>
      <c r="AC14" s="15">
        <f>'5. Bilan'!AF133</f>
        <v>210436.58000000002</v>
      </c>
      <c r="AD14" s="15">
        <f>'5. Bilan'!AG133</f>
        <v>600522.35</v>
      </c>
      <c r="AE14" s="15">
        <f>'5. Bilan'!AH133</f>
        <v>396943.43</v>
      </c>
      <c r="AF14" s="15">
        <f>'5. Bilan'!AI133</f>
        <v>3410820</v>
      </c>
      <c r="AG14" s="15">
        <f>'5. Bilan'!AJ133</f>
        <v>488901.83</v>
      </c>
      <c r="AH14" s="15">
        <f>'5. Bilan'!AK133</f>
        <v>148300</v>
      </c>
      <c r="AI14" s="15">
        <f>'5. Bilan'!AL133</f>
        <v>514000</v>
      </c>
      <c r="AJ14" s="15">
        <f>'5. Bilan'!AM133</f>
        <v>515065.2</v>
      </c>
      <c r="AK14" s="15">
        <f>'5. Bilan'!AN133</f>
        <v>562615.99</v>
      </c>
      <c r="AL14" s="15">
        <f>'5. Bilan'!AO133</f>
        <v>0</v>
      </c>
      <c r="AM14" s="15">
        <f>'5. Bilan'!AP133</f>
        <v>0</v>
      </c>
      <c r="AN14" s="15">
        <f>'5. Bilan'!AQ133</f>
        <v>103650</v>
      </c>
      <c r="AO14" s="15">
        <f>'5. Bilan'!AR133</f>
        <v>3015856.6</v>
      </c>
      <c r="AP14" s="15">
        <f>'5. Bilan'!AS133</f>
        <v>1827000</v>
      </c>
      <c r="AQ14" s="15">
        <f>'5. Bilan'!AT133</f>
        <v>270792.87</v>
      </c>
      <c r="AR14" s="15">
        <f>'5. Bilan'!AU133</f>
        <v>273245</v>
      </c>
      <c r="AS14" s="15">
        <f>'5. Bilan'!AV133</f>
        <v>509300</v>
      </c>
      <c r="AT14" s="15">
        <f>'5. Bilan'!AW133</f>
        <v>660202.06000000006</v>
      </c>
      <c r="AU14" s="15">
        <f>'5. Bilan'!AX133</f>
        <v>233507.56</v>
      </c>
      <c r="AV14" s="15">
        <f>'5. Bilan'!AY133</f>
        <v>0</v>
      </c>
      <c r="AW14" s="15">
        <f>'5. Bilan'!AZ133</f>
        <v>22519.74</v>
      </c>
      <c r="AX14" s="15">
        <f>'5. Bilan'!BA133</f>
        <v>1338920.1099999999</v>
      </c>
      <c r="AY14" s="15">
        <f>'5. Bilan'!BB133</f>
        <v>1121545.45</v>
      </c>
      <c r="AZ14" s="15">
        <f>'5. Bilan'!BC133</f>
        <v>5673272.79</v>
      </c>
      <c r="BA14" s="15">
        <f>'5. Bilan'!BD133</f>
        <v>0</v>
      </c>
      <c r="BB14" s="15">
        <f>'5. Bilan'!BE133</f>
        <v>8400961.4499999993</v>
      </c>
      <c r="BC14" s="15">
        <f>'5. Bilan'!BF133</f>
        <v>320119.95</v>
      </c>
      <c r="BD14" s="15">
        <f>SUM(C14:BC14)</f>
        <v>102543852.65000001</v>
      </c>
      <c r="BE14" s="15">
        <f t="shared" si="0"/>
        <v>69825639.689999998</v>
      </c>
      <c r="BF14" s="15">
        <f t="shared" si="1"/>
        <v>7355638.1900000004</v>
      </c>
      <c r="BG14" s="15">
        <f t="shared" si="2"/>
        <v>25362574.77</v>
      </c>
    </row>
    <row r="15" spans="1:59" x14ac:dyDescent="0.2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row>
    <row r="16" spans="1:59" x14ac:dyDescent="0.25">
      <c r="A16" s="7">
        <v>206</v>
      </c>
      <c r="B16" s="7" t="s">
        <v>256</v>
      </c>
      <c r="C16" s="15">
        <f>'5. Bilan'!F165</f>
        <v>3543700</v>
      </c>
      <c r="D16" s="15">
        <f>'5. Bilan'!G165</f>
        <v>1960499.6</v>
      </c>
      <c r="E16" s="15">
        <f>'5. Bilan'!H165</f>
        <v>5049000</v>
      </c>
      <c r="F16" s="15">
        <f>'5. Bilan'!I165</f>
        <v>3627996.85</v>
      </c>
      <c r="G16" s="15">
        <f>'5. Bilan'!J165</f>
        <v>17964793.75</v>
      </c>
      <c r="H16" s="15">
        <f>'5. Bilan'!K165</f>
        <v>12267000</v>
      </c>
      <c r="I16" s="15">
        <f>'5. Bilan'!L165</f>
        <v>9063964.5999999996</v>
      </c>
      <c r="J16" s="15">
        <f>'5. Bilan'!M165</f>
        <v>129202493.75</v>
      </c>
      <c r="K16" s="15">
        <f>'5. Bilan'!N165</f>
        <v>4142829.75</v>
      </c>
      <c r="L16" s="15">
        <f>'5. Bilan'!O165</f>
        <v>752392.9</v>
      </c>
      <c r="M16" s="15">
        <f>'5. Bilan'!P165</f>
        <v>33729190</v>
      </c>
      <c r="N16" s="15">
        <f>'5. Bilan'!Q165</f>
        <v>2150910.35</v>
      </c>
      <c r="O16" s="15">
        <f>'5. Bilan'!R165</f>
        <v>354400</v>
      </c>
      <c r="P16" s="15">
        <f>'5. Bilan'!S165</f>
        <v>2880449.41</v>
      </c>
      <c r="Q16" s="15">
        <f>'5. Bilan'!T165</f>
        <v>993311</v>
      </c>
      <c r="R16" s="15">
        <f>'5. Bilan'!U165</f>
        <v>4442600</v>
      </c>
      <c r="S16" s="15">
        <f>'5. Bilan'!V165</f>
        <v>632750</v>
      </c>
      <c r="T16" s="15">
        <f>'5. Bilan'!W165</f>
        <v>3131903.56</v>
      </c>
      <c r="U16" s="15">
        <f>'5. Bilan'!X165</f>
        <v>12080140</v>
      </c>
      <c r="V16" s="15">
        <f>'5. Bilan'!Y165</f>
        <v>343587.2</v>
      </c>
      <c r="W16" s="15">
        <f>'5. Bilan'!Z165</f>
        <v>8417000</v>
      </c>
      <c r="X16" s="15">
        <f>'5. Bilan'!AA165</f>
        <v>633000</v>
      </c>
      <c r="Y16" s="15">
        <f>'5. Bilan'!AB165</f>
        <v>934047.05</v>
      </c>
      <c r="Z16" s="15">
        <f>'5. Bilan'!AC165</f>
        <v>762500</v>
      </c>
      <c r="AA16" s="15">
        <f>'5. Bilan'!AD165</f>
        <v>3541055</v>
      </c>
      <c r="AB16" s="15">
        <f>'5. Bilan'!AE165</f>
        <v>7098275</v>
      </c>
      <c r="AC16" s="15">
        <f>'5. Bilan'!AF165</f>
        <v>3495450</v>
      </c>
      <c r="AD16" s="15">
        <f>'5. Bilan'!AG165</f>
        <v>242334</v>
      </c>
      <c r="AE16" s="15">
        <f>'5. Bilan'!AH165</f>
        <v>3901400</v>
      </c>
      <c r="AF16" s="15">
        <f>'5. Bilan'!AI165</f>
        <v>12188315.15</v>
      </c>
      <c r="AG16" s="15">
        <f>'5. Bilan'!AJ165</f>
        <v>504697.97000000003</v>
      </c>
      <c r="AH16" s="15">
        <f>'5. Bilan'!AK165</f>
        <v>675310</v>
      </c>
      <c r="AI16" s="15">
        <f>'5. Bilan'!AL165</f>
        <v>16542160</v>
      </c>
      <c r="AJ16" s="15">
        <f>'5. Bilan'!AM165</f>
        <v>8201950</v>
      </c>
      <c r="AK16" s="15">
        <f>'5. Bilan'!AN165</f>
        <v>10564347.300000001</v>
      </c>
      <c r="AL16" s="15">
        <f>'5. Bilan'!AO165</f>
        <v>1373420</v>
      </c>
      <c r="AM16" s="15">
        <f>'5. Bilan'!AP165</f>
        <v>8088800</v>
      </c>
      <c r="AN16" s="15">
        <f>'5. Bilan'!AQ165</f>
        <v>4674100</v>
      </c>
      <c r="AO16" s="15">
        <f>'5. Bilan'!AR165</f>
        <v>1519715</v>
      </c>
      <c r="AP16" s="15">
        <f>'5. Bilan'!AS165</f>
        <v>8129323.7599999998</v>
      </c>
      <c r="AQ16" s="15">
        <f>'5. Bilan'!AT165</f>
        <v>4689018.5999999996</v>
      </c>
      <c r="AR16" s="15">
        <f>'5. Bilan'!AU165</f>
        <v>9079072.5</v>
      </c>
      <c r="AS16" s="15">
        <f>'5. Bilan'!AV165</f>
        <v>1297365</v>
      </c>
      <c r="AT16" s="15">
        <f>'5. Bilan'!AW165</f>
        <v>12474300</v>
      </c>
      <c r="AU16" s="15">
        <f>'5. Bilan'!AX165</f>
        <v>5566242</v>
      </c>
      <c r="AV16" s="15">
        <f>'5. Bilan'!AY165</f>
        <v>599060</v>
      </c>
      <c r="AW16" s="15">
        <f>'5. Bilan'!AZ165</f>
        <v>1811940</v>
      </c>
      <c r="AX16" s="15">
        <f>'5. Bilan'!BA165</f>
        <v>17035687</v>
      </c>
      <c r="AY16" s="15">
        <f>'5. Bilan'!BB165</f>
        <v>1814150</v>
      </c>
      <c r="AZ16" s="15">
        <f>'5. Bilan'!BC165</f>
        <v>4838210</v>
      </c>
      <c r="BA16" s="15">
        <f>'5. Bilan'!BD165</f>
        <v>115500</v>
      </c>
      <c r="BB16" s="15">
        <f>'5. Bilan'!BE165</f>
        <v>57706532</v>
      </c>
      <c r="BC16" s="15">
        <f>'5. Bilan'!BF165</f>
        <v>3427058.15</v>
      </c>
      <c r="BD16" s="15">
        <f>SUM(C16:BC16)</f>
        <v>470255248.19999999</v>
      </c>
      <c r="BE16" s="15">
        <f t="shared" si="0"/>
        <v>247970325.52000001</v>
      </c>
      <c r="BF16" s="15">
        <f t="shared" si="1"/>
        <v>42736971.369999997</v>
      </c>
      <c r="BG16" s="15">
        <f t="shared" si="2"/>
        <v>179547951.31</v>
      </c>
    </row>
    <row r="17" spans="1:59" x14ac:dyDescent="0.2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row>
    <row r="18" spans="1:59" x14ac:dyDescent="0.25">
      <c r="A18" s="7">
        <v>2016</v>
      </c>
      <c r="B18" s="7" t="s">
        <v>268</v>
      </c>
      <c r="C18" s="15">
        <f>'5. Bilan'!F140</f>
        <v>0</v>
      </c>
      <c r="D18" s="15">
        <f>'5. Bilan'!G140</f>
        <v>0</v>
      </c>
      <c r="E18" s="15">
        <f>'5. Bilan'!H140</f>
        <v>0</v>
      </c>
      <c r="F18" s="15">
        <f>'5. Bilan'!I140</f>
        <v>0</v>
      </c>
      <c r="G18" s="15">
        <f>'5. Bilan'!J140</f>
        <v>0</v>
      </c>
      <c r="H18" s="15">
        <f>'5. Bilan'!K140</f>
        <v>0</v>
      </c>
      <c r="I18" s="15">
        <f>'5. Bilan'!L140</f>
        <v>0</v>
      </c>
      <c r="J18" s="15">
        <f>'5. Bilan'!M140</f>
        <v>0</v>
      </c>
      <c r="K18" s="15">
        <f>'5. Bilan'!N140</f>
        <v>0</v>
      </c>
      <c r="L18" s="15">
        <f>'5. Bilan'!O140</f>
        <v>0</v>
      </c>
      <c r="M18" s="15">
        <f>'5. Bilan'!P140</f>
        <v>0</v>
      </c>
      <c r="N18" s="15">
        <f>'5. Bilan'!Q140</f>
        <v>0</v>
      </c>
      <c r="O18" s="15">
        <f>'5. Bilan'!R140</f>
        <v>0</v>
      </c>
      <c r="P18" s="15">
        <f>'5. Bilan'!S140</f>
        <v>0</v>
      </c>
      <c r="Q18" s="15">
        <f>'5. Bilan'!T140</f>
        <v>0</v>
      </c>
      <c r="R18" s="15">
        <f>'5. Bilan'!U140</f>
        <v>0</v>
      </c>
      <c r="S18" s="15">
        <f>'5. Bilan'!V140</f>
        <v>0</v>
      </c>
      <c r="T18" s="15">
        <f>'5. Bilan'!W140</f>
        <v>0</v>
      </c>
      <c r="U18" s="15">
        <f>'5. Bilan'!X140</f>
        <v>0</v>
      </c>
      <c r="V18" s="15">
        <f>'5. Bilan'!Y140</f>
        <v>0</v>
      </c>
      <c r="W18" s="15">
        <f>'5. Bilan'!Z140</f>
        <v>0</v>
      </c>
      <c r="X18" s="15">
        <f>'5. Bilan'!AA140</f>
        <v>0</v>
      </c>
      <c r="Y18" s="15">
        <f>'5. Bilan'!AB140</f>
        <v>0</v>
      </c>
      <c r="Z18" s="15">
        <f>'5. Bilan'!AC140</f>
        <v>0</v>
      </c>
      <c r="AA18" s="15">
        <f>'5. Bilan'!AD140</f>
        <v>0</v>
      </c>
      <c r="AB18" s="15">
        <f>'5. Bilan'!AE140</f>
        <v>0</v>
      </c>
      <c r="AC18" s="15">
        <f>'5. Bilan'!AF140</f>
        <v>0</v>
      </c>
      <c r="AD18" s="15">
        <f>'5. Bilan'!AG140</f>
        <v>0</v>
      </c>
      <c r="AE18" s="15">
        <f>'5. Bilan'!AH140</f>
        <v>0</v>
      </c>
      <c r="AF18" s="15">
        <f>'5. Bilan'!AI140</f>
        <v>0</v>
      </c>
      <c r="AG18" s="15">
        <f>'5. Bilan'!AJ140</f>
        <v>0</v>
      </c>
      <c r="AH18" s="15">
        <f>'5. Bilan'!AK140</f>
        <v>0</v>
      </c>
      <c r="AI18" s="15">
        <f>'5. Bilan'!AL140</f>
        <v>0</v>
      </c>
      <c r="AJ18" s="15">
        <f>'5. Bilan'!AM140</f>
        <v>0</v>
      </c>
      <c r="AK18" s="15">
        <f>'5. Bilan'!AN140</f>
        <v>0</v>
      </c>
      <c r="AL18" s="15">
        <f>'5. Bilan'!AO140</f>
        <v>0</v>
      </c>
      <c r="AM18" s="15">
        <f>'5. Bilan'!AP140</f>
        <v>0</v>
      </c>
      <c r="AN18" s="15">
        <f>'5. Bilan'!AQ140</f>
        <v>0</v>
      </c>
      <c r="AO18" s="15">
        <f>'5. Bilan'!AR140</f>
        <v>0</v>
      </c>
      <c r="AP18" s="15">
        <f>'5. Bilan'!AS140</f>
        <v>0</v>
      </c>
      <c r="AQ18" s="15">
        <f>'5. Bilan'!AT140</f>
        <v>0</v>
      </c>
      <c r="AR18" s="15">
        <f>'5. Bilan'!AU140</f>
        <v>0</v>
      </c>
      <c r="AS18" s="15">
        <f>'5. Bilan'!AV140</f>
        <v>0</v>
      </c>
      <c r="AT18" s="15">
        <f>'5. Bilan'!AW140</f>
        <v>0</v>
      </c>
      <c r="AU18" s="15">
        <f>'5. Bilan'!AX140</f>
        <v>0</v>
      </c>
      <c r="AV18" s="15">
        <f>'5. Bilan'!AY140</f>
        <v>0</v>
      </c>
      <c r="AW18" s="15">
        <f>'5. Bilan'!AZ140</f>
        <v>0</v>
      </c>
      <c r="AX18" s="15">
        <f>'5. Bilan'!BA140</f>
        <v>0</v>
      </c>
      <c r="AY18" s="15">
        <f>'5. Bilan'!BB140</f>
        <v>0</v>
      </c>
      <c r="AZ18" s="15">
        <f>'5. Bilan'!BC140</f>
        <v>0</v>
      </c>
      <c r="BA18" s="15">
        <f>'5. Bilan'!BD140</f>
        <v>0</v>
      </c>
      <c r="BB18" s="15">
        <f>'5. Bilan'!BE140</f>
        <v>0</v>
      </c>
      <c r="BC18" s="15">
        <f>'5. Bilan'!BF140</f>
        <v>0</v>
      </c>
      <c r="BD18" s="15">
        <f>SUM(C18:BC18)</f>
        <v>0</v>
      </c>
      <c r="BE18" s="15">
        <f t="shared" si="0"/>
        <v>0</v>
      </c>
      <c r="BF18" s="15">
        <f t="shared" si="1"/>
        <v>0</v>
      </c>
      <c r="BG18" s="15">
        <f t="shared" si="2"/>
        <v>0</v>
      </c>
    </row>
    <row r="19" spans="1:59" x14ac:dyDescent="0.2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row>
    <row r="20" spans="1:59" x14ac:dyDescent="0.2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row>
    <row r="21" spans="1:59" x14ac:dyDescent="0.25">
      <c r="B21" s="121" t="s">
        <v>629</v>
      </c>
      <c r="C21" s="122">
        <f>C12+C14+C16-C18</f>
        <v>10231693.5</v>
      </c>
      <c r="D21" s="122">
        <f t="shared" ref="D21:BC21" si="3">D12+D14+D16-D18</f>
        <v>2396649.5500000003</v>
      </c>
      <c r="E21" s="122">
        <f t="shared" si="3"/>
        <v>5213780.8499999996</v>
      </c>
      <c r="F21" s="122">
        <f t="shared" si="3"/>
        <v>4171946.5700000003</v>
      </c>
      <c r="G21" s="122">
        <f t="shared" si="3"/>
        <v>26026875.600000001</v>
      </c>
      <c r="H21" s="122">
        <f t="shared" si="3"/>
        <v>23189435.620000001</v>
      </c>
      <c r="I21" s="122">
        <f t="shared" si="3"/>
        <v>10340912.189999999</v>
      </c>
      <c r="J21" s="122">
        <f t="shared" si="3"/>
        <v>166457137.63999999</v>
      </c>
      <c r="K21" s="122">
        <f t="shared" si="3"/>
        <v>7684406.9900000002</v>
      </c>
      <c r="L21" s="122">
        <f t="shared" si="3"/>
        <v>752392.9</v>
      </c>
      <c r="M21" s="122">
        <f t="shared" si="3"/>
        <v>45615798.689999998</v>
      </c>
      <c r="N21" s="122">
        <f t="shared" si="3"/>
        <v>2811349.0100000002</v>
      </c>
      <c r="O21" s="122">
        <f t="shared" si="3"/>
        <v>472998.96</v>
      </c>
      <c r="P21" s="122">
        <f t="shared" si="3"/>
        <v>3177943.3000000003</v>
      </c>
      <c r="Q21" s="122">
        <f t="shared" si="3"/>
        <v>4143084.9</v>
      </c>
      <c r="R21" s="122">
        <f t="shared" si="3"/>
        <v>5163639.42</v>
      </c>
      <c r="S21" s="122">
        <f t="shared" si="3"/>
        <v>1238569.5</v>
      </c>
      <c r="T21" s="122">
        <f t="shared" si="3"/>
        <v>3504832.67</v>
      </c>
      <c r="U21" s="122">
        <f t="shared" si="3"/>
        <v>15800389.75</v>
      </c>
      <c r="V21" s="122">
        <f t="shared" si="3"/>
        <v>484046.2</v>
      </c>
      <c r="W21" s="122">
        <f t="shared" si="3"/>
        <v>9591959.379999999</v>
      </c>
      <c r="X21" s="122">
        <f t="shared" si="3"/>
        <v>4910683.17</v>
      </c>
      <c r="Y21" s="122">
        <f t="shared" si="3"/>
        <v>1134572.45</v>
      </c>
      <c r="Z21" s="122">
        <f t="shared" si="3"/>
        <v>1304927.81</v>
      </c>
      <c r="AA21" s="122">
        <f t="shared" si="3"/>
        <v>4608813.3499999996</v>
      </c>
      <c r="AB21" s="122">
        <f t="shared" si="3"/>
        <v>7610270.8499999996</v>
      </c>
      <c r="AC21" s="122">
        <f t="shared" si="3"/>
        <v>3903441.63</v>
      </c>
      <c r="AD21" s="122">
        <f t="shared" si="3"/>
        <v>972078.66999999993</v>
      </c>
      <c r="AE21" s="122">
        <f t="shared" si="3"/>
        <v>5453381.3700000001</v>
      </c>
      <c r="AF21" s="122">
        <f t="shared" si="3"/>
        <v>16154715.800000001</v>
      </c>
      <c r="AG21" s="122">
        <f t="shared" si="3"/>
        <v>1609645.3</v>
      </c>
      <c r="AH21" s="122">
        <f t="shared" si="3"/>
        <v>863363.16</v>
      </c>
      <c r="AI21" s="122">
        <f t="shared" si="3"/>
        <v>17609687.100000001</v>
      </c>
      <c r="AJ21" s="122">
        <f t="shared" si="3"/>
        <v>8847212.5500000007</v>
      </c>
      <c r="AK21" s="122">
        <f t="shared" si="3"/>
        <v>11590493.5</v>
      </c>
      <c r="AL21" s="122">
        <f t="shared" si="3"/>
        <v>1403451.52</v>
      </c>
      <c r="AM21" s="122">
        <f t="shared" si="3"/>
        <v>8994469.7599999998</v>
      </c>
      <c r="AN21" s="122">
        <f t="shared" si="3"/>
        <v>5282352.57</v>
      </c>
      <c r="AO21" s="122">
        <f t="shared" si="3"/>
        <v>4714240.3000000007</v>
      </c>
      <c r="AP21" s="122">
        <f t="shared" si="3"/>
        <v>10428533.609999999</v>
      </c>
      <c r="AQ21" s="122">
        <f t="shared" si="3"/>
        <v>5638389.4799999995</v>
      </c>
      <c r="AR21" s="122">
        <f t="shared" si="3"/>
        <v>9570422.3900000006</v>
      </c>
      <c r="AS21" s="122">
        <f t="shared" si="3"/>
        <v>1892477.35</v>
      </c>
      <c r="AT21" s="122">
        <f t="shared" si="3"/>
        <v>13471968.370000001</v>
      </c>
      <c r="AU21" s="122">
        <f t="shared" si="3"/>
        <v>6026726</v>
      </c>
      <c r="AV21" s="122">
        <f t="shared" si="3"/>
        <v>649792.4</v>
      </c>
      <c r="AW21" s="122">
        <f t="shared" si="3"/>
        <v>2023842.33</v>
      </c>
      <c r="AX21" s="122">
        <f t="shared" si="3"/>
        <v>19520581.41</v>
      </c>
      <c r="AY21" s="122">
        <f t="shared" si="3"/>
        <v>3023471.06</v>
      </c>
      <c r="AZ21" s="122">
        <f t="shared" si="3"/>
        <v>10935065.559999999</v>
      </c>
      <c r="BA21" s="122">
        <f t="shared" si="3"/>
        <v>142500</v>
      </c>
      <c r="BB21" s="122">
        <f t="shared" si="3"/>
        <v>69546558.280000001</v>
      </c>
      <c r="BC21" s="122">
        <f t="shared" si="3"/>
        <v>3987825.17</v>
      </c>
      <c r="BD21" s="122">
        <f>SUM(C21:BC21)</f>
        <v>612295797.46000004</v>
      </c>
      <c r="BE21" s="122">
        <f t="shared" si="0"/>
        <v>338393837.61000001</v>
      </c>
      <c r="BF21" s="122">
        <f t="shared" si="1"/>
        <v>58601899.139999986</v>
      </c>
      <c r="BG21" s="122">
        <f t="shared" si="2"/>
        <v>215300060.71000001</v>
      </c>
    </row>
    <row r="22" spans="1:59" x14ac:dyDescent="0.25">
      <c r="B22" s="76" t="s">
        <v>446</v>
      </c>
      <c r="C22" s="101">
        <f>C21/C6</f>
        <v>10758.878548895898</v>
      </c>
      <c r="D22" s="101">
        <f t="shared" ref="D22:BC22" si="4">D21/D6</f>
        <v>9289.3393410852732</v>
      </c>
      <c r="E22" s="101">
        <f t="shared" si="4"/>
        <v>11069.598407643311</v>
      </c>
      <c r="F22" s="101">
        <f t="shared" si="4"/>
        <v>9460.1963038548765</v>
      </c>
      <c r="G22" s="101">
        <f t="shared" si="4"/>
        <v>7061.0080303852419</v>
      </c>
      <c r="H22" s="101">
        <f t="shared" si="4"/>
        <v>6999.527805614247</v>
      </c>
      <c r="I22" s="101">
        <f t="shared" si="4"/>
        <v>3896.3497324792766</v>
      </c>
      <c r="J22" s="101">
        <f t="shared" si="4"/>
        <v>13173.246093700536</v>
      </c>
      <c r="K22" s="101">
        <f t="shared" si="4"/>
        <v>5650.2992573529409</v>
      </c>
      <c r="L22" s="101">
        <f t="shared" si="4"/>
        <v>6717.7937499999998</v>
      </c>
      <c r="M22" s="101">
        <f t="shared" si="4"/>
        <v>6232.5179245798599</v>
      </c>
      <c r="N22" s="101">
        <f t="shared" si="4"/>
        <v>5385.7260727969351</v>
      </c>
      <c r="O22" s="101">
        <f t="shared" si="4"/>
        <v>4462.254339622642</v>
      </c>
      <c r="P22" s="101">
        <f t="shared" si="4"/>
        <v>7477.5136470588241</v>
      </c>
      <c r="Q22" s="101">
        <f t="shared" si="4"/>
        <v>11837.385428571428</v>
      </c>
      <c r="R22" s="101">
        <f t="shared" si="4"/>
        <v>7044.5285402455656</v>
      </c>
      <c r="S22" s="101">
        <f t="shared" si="4"/>
        <v>4587.2944444444447</v>
      </c>
      <c r="T22" s="101">
        <f t="shared" si="4"/>
        <v>8404.8745083932845</v>
      </c>
      <c r="U22" s="101">
        <f t="shared" si="4"/>
        <v>4809.8598934550992</v>
      </c>
      <c r="V22" s="101">
        <f t="shared" si="4"/>
        <v>1571.5785714285714</v>
      </c>
      <c r="W22" s="101">
        <f t="shared" si="4"/>
        <v>7624.7689825119232</v>
      </c>
      <c r="X22" s="101">
        <f t="shared" si="4"/>
        <v>3222.2330511811024</v>
      </c>
      <c r="Y22" s="101">
        <f t="shared" si="4"/>
        <v>13041.06264367816</v>
      </c>
      <c r="Z22" s="101">
        <f t="shared" si="4"/>
        <v>8364.9218589743596</v>
      </c>
      <c r="AA22" s="101">
        <f t="shared" si="4"/>
        <v>9036.8889215686268</v>
      </c>
      <c r="AB22" s="101">
        <f t="shared" si="4"/>
        <v>10794.710425531914</v>
      </c>
      <c r="AC22" s="101">
        <f t="shared" si="4"/>
        <v>7084.286079854809</v>
      </c>
      <c r="AD22" s="101">
        <f t="shared" si="4"/>
        <v>1902.3065949119373</v>
      </c>
      <c r="AE22" s="101">
        <f t="shared" si="4"/>
        <v>2867.1826340694006</v>
      </c>
      <c r="AF22" s="101">
        <f t="shared" si="4"/>
        <v>6273.6760388349521</v>
      </c>
      <c r="AG22" s="101">
        <f t="shared" si="4"/>
        <v>7059.8478070175443</v>
      </c>
      <c r="AH22" s="101">
        <f t="shared" si="4"/>
        <v>7316.6369491525429</v>
      </c>
      <c r="AI22" s="101">
        <f t="shared" si="4"/>
        <v>9356.9006907545172</v>
      </c>
      <c r="AJ22" s="101">
        <f t="shared" si="4"/>
        <v>7941.8425044883306</v>
      </c>
      <c r="AK22" s="101">
        <f t="shared" si="4"/>
        <v>9523.8237469186515</v>
      </c>
      <c r="AL22" s="101">
        <f t="shared" si="4"/>
        <v>11995.312136752136</v>
      </c>
      <c r="AM22" s="101">
        <f t="shared" si="4"/>
        <v>7464.2902572614103</v>
      </c>
      <c r="AN22" s="101">
        <f t="shared" si="4"/>
        <v>8451.7641120000008</v>
      </c>
      <c r="AO22" s="101">
        <f t="shared" si="4"/>
        <v>7471.0622820919189</v>
      </c>
      <c r="AP22" s="101">
        <f t="shared" si="4"/>
        <v>8179.2420470588231</v>
      </c>
      <c r="AQ22" s="101">
        <f t="shared" si="4"/>
        <v>7852.9101392757657</v>
      </c>
      <c r="AR22" s="101">
        <f t="shared" si="4"/>
        <v>9401.2007760314355</v>
      </c>
      <c r="AS22" s="101">
        <f t="shared" si="4"/>
        <v>6458.9670648464171</v>
      </c>
      <c r="AT22" s="101">
        <f t="shared" si="4"/>
        <v>5532.6358809034909</v>
      </c>
      <c r="AU22" s="101">
        <f t="shared" si="4"/>
        <v>7667.5903307888038</v>
      </c>
      <c r="AV22" s="101">
        <f t="shared" si="4"/>
        <v>3531.4804347826089</v>
      </c>
      <c r="AW22" s="101">
        <f t="shared" si="4"/>
        <v>6077.6045945945953</v>
      </c>
      <c r="AX22" s="101">
        <f t="shared" si="4"/>
        <v>11661.040268817205</v>
      </c>
      <c r="AY22" s="101">
        <f t="shared" si="4"/>
        <v>7732.662557544757</v>
      </c>
      <c r="AZ22" s="101">
        <f t="shared" si="4"/>
        <v>10394.549011406843</v>
      </c>
      <c r="BA22" s="101">
        <f t="shared" si="4"/>
        <v>766.12903225806451</v>
      </c>
      <c r="BB22" s="101">
        <f t="shared" si="4"/>
        <v>10797.478385343891</v>
      </c>
      <c r="BC22" s="101">
        <f t="shared" si="4"/>
        <v>7303.7091025641021</v>
      </c>
      <c r="BD22" s="101">
        <f>BD21/BD6</f>
        <v>8289.390069180261</v>
      </c>
      <c r="BE22" s="101">
        <f t="shared" ref="BE22:BG22" si="5">BE21/BE6</f>
        <v>8608.5587934060914</v>
      </c>
      <c r="BF22" s="101">
        <f t="shared" si="5"/>
        <v>5616.9749007955515</v>
      </c>
      <c r="BG22" s="101">
        <f t="shared" si="5"/>
        <v>8925.0947523110735</v>
      </c>
    </row>
    <row r="23" spans="1:59" x14ac:dyDescent="0.25">
      <c r="B23" s="6"/>
      <c r="C23" s="73"/>
      <c r="D23" s="73"/>
      <c r="E23" s="73"/>
      <c r="F23" s="73"/>
      <c r="G23" s="73"/>
      <c r="H23" s="73"/>
      <c r="I23" s="73"/>
      <c r="J23" s="73"/>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row>
    <row r="24" spans="1:59" x14ac:dyDescent="0.25">
      <c r="B24" s="121" t="s">
        <v>630</v>
      </c>
      <c r="C24" s="122">
        <f>C10-C8</f>
        <v>4350117.6099999994</v>
      </c>
      <c r="D24" s="122">
        <f t="shared" ref="D24:BC24" si="6">D10-D8</f>
        <v>1350274.5700000003</v>
      </c>
      <c r="E24" s="122">
        <f t="shared" si="6"/>
        <v>2310199.3900000006</v>
      </c>
      <c r="F24" s="122">
        <f t="shared" si="6"/>
        <v>29580.799999999814</v>
      </c>
      <c r="G24" s="122">
        <f t="shared" si="6"/>
        <v>10596401.889999999</v>
      </c>
      <c r="H24" s="122">
        <f t="shared" si="6"/>
        <v>16567735.970000003</v>
      </c>
      <c r="I24" s="122">
        <f t="shared" si="6"/>
        <v>-429317.41000000015</v>
      </c>
      <c r="J24" s="122">
        <f t="shared" si="6"/>
        <v>103469664.34000002</v>
      </c>
      <c r="K24" s="122">
        <f t="shared" si="6"/>
        <v>4117624.0699999994</v>
      </c>
      <c r="L24" s="122">
        <f t="shared" si="6"/>
        <v>779330.57000000007</v>
      </c>
      <c r="M24" s="122">
        <f t="shared" si="6"/>
        <v>29090469.119999997</v>
      </c>
      <c r="N24" s="122">
        <f t="shared" si="6"/>
        <v>1290983.73</v>
      </c>
      <c r="O24" s="122">
        <f t="shared" si="6"/>
        <v>-17354.150000000023</v>
      </c>
      <c r="P24" s="122">
        <f t="shared" si="6"/>
        <v>1642738.42</v>
      </c>
      <c r="Q24" s="122">
        <f t="shared" si="6"/>
        <v>1514124.1099999994</v>
      </c>
      <c r="R24" s="122">
        <f t="shared" si="6"/>
        <v>-451715.36000000034</v>
      </c>
      <c r="S24" s="122">
        <f t="shared" si="6"/>
        <v>448146.76</v>
      </c>
      <c r="T24" s="122">
        <f t="shared" si="6"/>
        <v>1914576.7699999998</v>
      </c>
      <c r="U24" s="122">
        <f t="shared" si="6"/>
        <v>11431295.439999999</v>
      </c>
      <c r="V24" s="122">
        <f t="shared" si="6"/>
        <v>-1095128.52</v>
      </c>
      <c r="W24" s="122">
        <f t="shared" si="6"/>
        <v>5704163.3599999994</v>
      </c>
      <c r="X24" s="122">
        <f t="shared" si="6"/>
        <v>-13726562.160000002</v>
      </c>
      <c r="Y24" s="122">
        <f t="shared" si="6"/>
        <v>89722.550000000047</v>
      </c>
      <c r="Z24" s="122">
        <f t="shared" si="6"/>
        <v>-211024.80999999982</v>
      </c>
      <c r="AA24" s="122">
        <f t="shared" si="6"/>
        <v>1427041.8800000008</v>
      </c>
      <c r="AB24" s="122">
        <f t="shared" si="6"/>
        <v>5732641.0899999999</v>
      </c>
      <c r="AC24" s="122">
        <f t="shared" si="6"/>
        <v>2011074.1099999999</v>
      </c>
      <c r="AD24" s="122">
        <f t="shared" si="6"/>
        <v>-2267097.36</v>
      </c>
      <c r="AE24" s="122">
        <f t="shared" si="6"/>
        <v>-2397710.830000001</v>
      </c>
      <c r="AF24" s="122">
        <f t="shared" si="6"/>
        <v>7074721.7599999998</v>
      </c>
      <c r="AG24" s="122">
        <f t="shared" si="6"/>
        <v>-234773.74</v>
      </c>
      <c r="AH24" s="122">
        <f t="shared" si="6"/>
        <v>-1178728.1100000001</v>
      </c>
      <c r="AI24" s="122">
        <f t="shared" si="6"/>
        <v>11642148.41</v>
      </c>
      <c r="AJ24" s="122">
        <f t="shared" si="6"/>
        <v>3685339.5900000008</v>
      </c>
      <c r="AK24" s="122">
        <f t="shared" si="6"/>
        <v>6512358.330000001</v>
      </c>
      <c r="AL24" s="122">
        <f t="shared" si="6"/>
        <v>-81076.300000000047</v>
      </c>
      <c r="AM24" s="122">
        <f t="shared" si="6"/>
        <v>-5341469.129999999</v>
      </c>
      <c r="AN24" s="122">
        <f t="shared" si="6"/>
        <v>1986975.6799999997</v>
      </c>
      <c r="AO24" s="122">
        <f t="shared" si="6"/>
        <v>2313637.5000000005</v>
      </c>
      <c r="AP24" s="122">
        <f t="shared" si="6"/>
        <v>474934.74999999814</v>
      </c>
      <c r="AQ24" s="122">
        <f t="shared" si="6"/>
        <v>3098658.07</v>
      </c>
      <c r="AR24" s="122">
        <f t="shared" si="6"/>
        <v>5842659.1600000001</v>
      </c>
      <c r="AS24" s="122">
        <f t="shared" si="6"/>
        <v>-735043.07000000007</v>
      </c>
      <c r="AT24" s="122">
        <f t="shared" si="6"/>
        <v>8692321.1499999985</v>
      </c>
      <c r="AU24" s="122">
        <f t="shared" si="6"/>
        <v>2759687.709999999</v>
      </c>
      <c r="AV24" s="122">
        <f t="shared" si="6"/>
        <v>208004.44000000006</v>
      </c>
      <c r="AW24" s="122">
        <f t="shared" si="6"/>
        <v>-156279.87000000011</v>
      </c>
      <c r="AX24" s="122">
        <f t="shared" si="6"/>
        <v>15130371.179999998</v>
      </c>
      <c r="AY24" s="122">
        <f t="shared" si="6"/>
        <v>51593.350000000093</v>
      </c>
      <c r="AZ24" s="122">
        <f t="shared" si="6"/>
        <v>5751414.4799999986</v>
      </c>
      <c r="BA24" s="122">
        <f t="shared" si="6"/>
        <v>-341679.31000000011</v>
      </c>
      <c r="BB24" s="122">
        <f t="shared" si="6"/>
        <v>45122415.250000007</v>
      </c>
      <c r="BC24" s="122">
        <f t="shared" si="6"/>
        <v>1841514.0200000005</v>
      </c>
      <c r="BD24" s="122">
        <f>SUM(C24:BC24)</f>
        <v>299391701.24999994</v>
      </c>
      <c r="BE24" s="122">
        <f t="shared" si="0"/>
        <v>190004876.63999996</v>
      </c>
      <c r="BF24" s="122">
        <f t="shared" si="1"/>
        <v>928339.21999999718</v>
      </c>
      <c r="BG24" s="122">
        <f t="shared" si="2"/>
        <v>108458485.39</v>
      </c>
    </row>
    <row r="25" spans="1:59" x14ac:dyDescent="0.25">
      <c r="B25" s="76" t="s">
        <v>446</v>
      </c>
      <c r="C25" s="101">
        <f>C24/C6</f>
        <v>4574.2561619348053</v>
      </c>
      <c r="D25" s="101">
        <f t="shared" ref="D25:BG25" si="7">D24/D6</f>
        <v>5233.6223643410867</v>
      </c>
      <c r="E25" s="101">
        <f t="shared" si="7"/>
        <v>4904.8819320594494</v>
      </c>
      <c r="F25" s="101">
        <f t="shared" si="7"/>
        <v>67.076643990929284</v>
      </c>
      <c r="G25" s="101">
        <f t="shared" si="7"/>
        <v>2874.7699104720559</v>
      </c>
      <c r="H25" s="101">
        <f t="shared" si="7"/>
        <v>5000.8258285541815</v>
      </c>
      <c r="I25" s="101">
        <f t="shared" si="7"/>
        <v>-161.76240015071596</v>
      </c>
      <c r="J25" s="101">
        <f t="shared" si="7"/>
        <v>8188.4824580563482</v>
      </c>
      <c r="K25" s="101">
        <f t="shared" si="7"/>
        <v>3027.6647573529408</v>
      </c>
      <c r="L25" s="101">
        <f t="shared" si="7"/>
        <v>6958.3086607142859</v>
      </c>
      <c r="M25" s="101">
        <f t="shared" si="7"/>
        <v>3974.6507883590652</v>
      </c>
      <c r="N25" s="101">
        <f t="shared" si="7"/>
        <v>2473.1489080459769</v>
      </c>
      <c r="O25" s="101">
        <f t="shared" si="7"/>
        <v>-163.71839622641531</v>
      </c>
      <c r="P25" s="101">
        <f t="shared" si="7"/>
        <v>3865.2668705882352</v>
      </c>
      <c r="Q25" s="101">
        <f t="shared" si="7"/>
        <v>4326.0688857142841</v>
      </c>
      <c r="R25" s="101">
        <f t="shared" si="7"/>
        <v>-616.25560709413412</v>
      </c>
      <c r="S25" s="101">
        <f t="shared" si="7"/>
        <v>1659.8028148148148</v>
      </c>
      <c r="T25" s="101">
        <f t="shared" si="7"/>
        <v>4591.311199040767</v>
      </c>
      <c r="U25" s="101">
        <f t="shared" si="7"/>
        <v>3479.8464048706237</v>
      </c>
      <c r="V25" s="101">
        <f t="shared" si="7"/>
        <v>-3555.6120779220778</v>
      </c>
      <c r="W25" s="101">
        <f t="shared" si="7"/>
        <v>4534.3110969793315</v>
      </c>
      <c r="X25" s="101">
        <f t="shared" si="7"/>
        <v>-9006.9305511811035</v>
      </c>
      <c r="Y25" s="101">
        <f t="shared" si="7"/>
        <v>1031.2936781609201</v>
      </c>
      <c r="Z25" s="101">
        <f t="shared" si="7"/>
        <v>-1352.72314102564</v>
      </c>
      <c r="AA25" s="101">
        <f t="shared" si="7"/>
        <v>2798.1213333333349</v>
      </c>
      <c r="AB25" s="101">
        <f t="shared" si="7"/>
        <v>8131.4058014184393</v>
      </c>
      <c r="AC25" s="101">
        <f t="shared" si="7"/>
        <v>3649.8622686025406</v>
      </c>
      <c r="AD25" s="101">
        <f t="shared" si="7"/>
        <v>-4436.5897455968689</v>
      </c>
      <c r="AE25" s="101">
        <f t="shared" si="7"/>
        <v>-1260.6260935856999</v>
      </c>
      <c r="AF25" s="101">
        <f t="shared" si="7"/>
        <v>2747.4647611650485</v>
      </c>
      <c r="AG25" s="101">
        <f t="shared" si="7"/>
        <v>-1029.7093859649121</v>
      </c>
      <c r="AH25" s="101">
        <f t="shared" si="7"/>
        <v>-9989.2212711864413</v>
      </c>
      <c r="AI25" s="101">
        <f t="shared" si="7"/>
        <v>6186.0512274176408</v>
      </c>
      <c r="AJ25" s="101">
        <f t="shared" si="7"/>
        <v>3308.2042998204674</v>
      </c>
      <c r="AK25" s="101">
        <f t="shared" si="7"/>
        <v>5351.1572144617921</v>
      </c>
      <c r="AL25" s="101">
        <f t="shared" si="7"/>
        <v>-692.95982905982942</v>
      </c>
      <c r="AM25" s="101">
        <f t="shared" si="7"/>
        <v>-4432.7544647302893</v>
      </c>
      <c r="AN25" s="101">
        <f t="shared" si="7"/>
        <v>3179.1610879999994</v>
      </c>
      <c r="AO25" s="101">
        <f t="shared" si="7"/>
        <v>3666.6204437400957</v>
      </c>
      <c r="AP25" s="101">
        <f t="shared" si="7"/>
        <v>372.49784313725343</v>
      </c>
      <c r="AQ25" s="101">
        <f t="shared" si="7"/>
        <v>4315.6797632311973</v>
      </c>
      <c r="AR25" s="101">
        <f t="shared" si="7"/>
        <v>5739.3508447937129</v>
      </c>
      <c r="AS25" s="101">
        <f t="shared" si="7"/>
        <v>-2508.6794197952222</v>
      </c>
      <c r="AT25" s="101">
        <f t="shared" si="7"/>
        <v>3569.7417453798762</v>
      </c>
      <c r="AU25" s="101">
        <f t="shared" si="7"/>
        <v>3511.0530661577595</v>
      </c>
      <c r="AV25" s="101">
        <f t="shared" si="7"/>
        <v>1130.4589130434786</v>
      </c>
      <c r="AW25" s="101">
        <f t="shared" si="7"/>
        <v>-469.30891891891923</v>
      </c>
      <c r="AX25" s="101">
        <f t="shared" si="7"/>
        <v>9038.4535125448019</v>
      </c>
      <c r="AY25" s="101">
        <f t="shared" si="7"/>
        <v>131.95230179028158</v>
      </c>
      <c r="AZ25" s="101">
        <f t="shared" si="7"/>
        <v>5467.1240304182493</v>
      </c>
      <c r="BA25" s="101">
        <f t="shared" si="7"/>
        <v>-1836.9855376344092</v>
      </c>
      <c r="BB25" s="101">
        <f t="shared" si="7"/>
        <v>7005.4984086322011</v>
      </c>
      <c r="BC25" s="101">
        <f t="shared" si="7"/>
        <v>3372.7363003663013</v>
      </c>
      <c r="BD25" s="101">
        <f t="shared" si="7"/>
        <v>4053.2282034793197</v>
      </c>
      <c r="BE25" s="101">
        <f t="shared" si="7"/>
        <v>4833.6227489887797</v>
      </c>
      <c r="BF25" s="101">
        <f t="shared" si="7"/>
        <v>88.981042844819058</v>
      </c>
      <c r="BG25" s="101">
        <f t="shared" si="7"/>
        <v>4496.0612440409568</v>
      </c>
    </row>
    <row r="26" spans="1:59" x14ac:dyDescent="0.2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row>
    <row r="27" spans="1:59" x14ac:dyDescent="0.2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row>
    <row r="28" spans="1:59" x14ac:dyDescent="0.2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row>
    <row r="29" spans="1:59" x14ac:dyDescent="0.2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row>
    <row r="30" spans="1:59" x14ac:dyDescent="0.2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row>
    <row r="31" spans="1:59" x14ac:dyDescent="0.2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row>
    <row r="32" spans="1:59" x14ac:dyDescent="0.2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row>
    <row r="33" spans="3:59" x14ac:dyDescent="0.2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row>
    <row r="34" spans="3:59" x14ac:dyDescent="0.2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row>
    <row r="35" spans="3:59" x14ac:dyDescent="0.2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row>
    <row r="36" spans="3:59" x14ac:dyDescent="0.2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row>
    <row r="37" spans="3:59" x14ac:dyDescent="0.2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row>
    <row r="38" spans="3:59" x14ac:dyDescent="0.2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row>
    <row r="39" spans="3:59" x14ac:dyDescent="0.2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row>
    <row r="40" spans="3:59" x14ac:dyDescent="0.2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tint="0.59999389629810485"/>
  </sheetPr>
  <dimension ref="A2:E55"/>
  <sheetViews>
    <sheetView workbookViewId="0"/>
  </sheetViews>
  <sheetFormatPr baseColWidth="10" defaultColWidth="11.44140625" defaultRowHeight="13.8" x14ac:dyDescent="0.25"/>
  <cols>
    <col min="1" max="1" width="22.88671875" style="7" customWidth="1"/>
    <col min="2" max="5" width="16.33203125" style="7" customWidth="1"/>
    <col min="6" max="16384" width="11.44140625" style="7"/>
  </cols>
  <sheetData>
    <row r="2" spans="1:5" x14ac:dyDescent="0.25">
      <c r="A2" s="29" t="s">
        <v>67</v>
      </c>
      <c r="B2" s="29" t="s">
        <v>777</v>
      </c>
      <c r="C2" s="29" t="s">
        <v>779</v>
      </c>
      <c r="D2" s="29" t="s">
        <v>778</v>
      </c>
      <c r="E2" s="29" t="s">
        <v>780</v>
      </c>
    </row>
    <row r="3" spans="1:5" x14ac:dyDescent="0.25">
      <c r="A3" s="81" t="s">
        <v>56</v>
      </c>
      <c r="B3" s="12">
        <f>'5.4 Tableau de l''endettement'!C21</f>
        <v>10231693.5</v>
      </c>
      <c r="C3" s="12">
        <f>'5.4 Tableau de l''endettement'!C22</f>
        <v>10758.878548895898</v>
      </c>
      <c r="D3" s="12">
        <f>'5.4 Tableau de l''endettement'!C24</f>
        <v>4350117.6099999994</v>
      </c>
      <c r="E3" s="12">
        <f>'5.4 Tableau de l''endettement'!C25</f>
        <v>4574.2561619348053</v>
      </c>
    </row>
    <row r="4" spans="1:5" x14ac:dyDescent="0.25">
      <c r="A4" s="81" t="s">
        <v>18</v>
      </c>
      <c r="B4" s="12">
        <f>'5.4 Tableau de l''endettement'!D21</f>
        <v>2396649.5500000003</v>
      </c>
      <c r="C4" s="12">
        <f>'5.4 Tableau de l''endettement'!D22</f>
        <v>9289.3393410852732</v>
      </c>
      <c r="D4" s="12">
        <f>'5.4 Tableau de l''endettement'!D24</f>
        <v>1350274.5700000003</v>
      </c>
      <c r="E4" s="12">
        <f>'5.4 Tableau de l''endettement'!D25</f>
        <v>5233.6223643410867</v>
      </c>
    </row>
    <row r="5" spans="1:5" x14ac:dyDescent="0.25">
      <c r="A5" s="81" t="s">
        <v>57</v>
      </c>
      <c r="B5" s="12">
        <f>'5.4 Tableau de l''endettement'!E21</f>
        <v>5213780.8499999996</v>
      </c>
      <c r="C5" s="12">
        <f>'5.4 Tableau de l''endettement'!E22</f>
        <v>11069.598407643311</v>
      </c>
      <c r="D5" s="12">
        <f>'5.4 Tableau de l''endettement'!E24</f>
        <v>2310199.3900000006</v>
      </c>
      <c r="E5" s="12">
        <f>'5.4 Tableau de l''endettement'!E25</f>
        <v>4904.8819320594494</v>
      </c>
    </row>
    <row r="6" spans="1:5" x14ac:dyDescent="0.25">
      <c r="A6" s="81" t="s">
        <v>53</v>
      </c>
      <c r="B6" s="12">
        <f>'5.4 Tableau de l''endettement'!F21</f>
        <v>4171946.5700000003</v>
      </c>
      <c r="C6" s="12">
        <f>'5.4 Tableau de l''endettement'!F22</f>
        <v>9460.1963038548765</v>
      </c>
      <c r="D6" s="12">
        <f>'5.4 Tableau de l''endettement'!F24</f>
        <v>29580.799999999814</v>
      </c>
      <c r="E6" s="12">
        <f>'5.4 Tableau de l''endettement'!F25</f>
        <v>67.076643990929284</v>
      </c>
    </row>
    <row r="7" spans="1:5" x14ac:dyDescent="0.25">
      <c r="A7" s="81" t="s">
        <v>33</v>
      </c>
      <c r="B7" s="12">
        <f>'5.4 Tableau de l''endettement'!G21</f>
        <v>26026875.600000001</v>
      </c>
      <c r="C7" s="12">
        <f>'5.4 Tableau de l''endettement'!G22</f>
        <v>7061.0080303852419</v>
      </c>
      <c r="D7" s="12">
        <f>'5.4 Tableau de l''endettement'!G24</f>
        <v>10596401.889999999</v>
      </c>
      <c r="E7" s="12">
        <f>'5.4 Tableau de l''endettement'!G25</f>
        <v>2874.7699104720559</v>
      </c>
    </row>
    <row r="8" spans="1:5" x14ac:dyDescent="0.25">
      <c r="A8" s="81" t="s">
        <v>10</v>
      </c>
      <c r="B8" s="12">
        <f>'5.4 Tableau de l''endettement'!H21</f>
        <v>23189435.620000001</v>
      </c>
      <c r="C8" s="12">
        <f>'5.4 Tableau de l''endettement'!H22</f>
        <v>6999.527805614247</v>
      </c>
      <c r="D8" s="12">
        <f>'5.4 Tableau de l''endettement'!H24</f>
        <v>16567735.970000003</v>
      </c>
      <c r="E8" s="12">
        <f>'5.4 Tableau de l''endettement'!H25</f>
        <v>5000.8258285541815</v>
      </c>
    </row>
    <row r="9" spans="1:5" x14ac:dyDescent="0.25">
      <c r="A9" s="81" t="s">
        <v>15</v>
      </c>
      <c r="B9" s="12">
        <f>'5.4 Tableau de l''endettement'!I21</f>
        <v>10340912.189999999</v>
      </c>
      <c r="C9" s="12">
        <f>'5.4 Tableau de l''endettement'!I22</f>
        <v>3896.3497324792766</v>
      </c>
      <c r="D9" s="12">
        <f>'5.4 Tableau de l''endettement'!I24</f>
        <v>-429317.41000000015</v>
      </c>
      <c r="E9" s="12">
        <f>'5.4 Tableau de l''endettement'!I25</f>
        <v>-161.76240015071596</v>
      </c>
    </row>
    <row r="10" spans="1:5" x14ac:dyDescent="0.25">
      <c r="A10" s="81" t="s">
        <v>28</v>
      </c>
      <c r="B10" s="12">
        <f>'5.4 Tableau de l''endettement'!J21</f>
        <v>166457137.63999999</v>
      </c>
      <c r="C10" s="12">
        <f>'5.4 Tableau de l''endettement'!J22</f>
        <v>13173.246093700536</v>
      </c>
      <c r="D10" s="12">
        <f>'5.4 Tableau de l''endettement'!J24</f>
        <v>103469664.34000002</v>
      </c>
      <c r="E10" s="12">
        <f>'5.4 Tableau de l''endettement'!J25</f>
        <v>8188.4824580563482</v>
      </c>
    </row>
    <row r="11" spans="1:5" x14ac:dyDescent="0.25">
      <c r="A11" s="81" t="s">
        <v>42</v>
      </c>
      <c r="B11" s="12">
        <f>'5.4 Tableau de l''endettement'!K21</f>
        <v>7684406.9900000002</v>
      </c>
      <c r="C11" s="12">
        <f>'5.4 Tableau de l''endettement'!K22</f>
        <v>5650.2992573529409</v>
      </c>
      <c r="D11" s="12">
        <f>'5.4 Tableau de l''endettement'!K24</f>
        <v>4117624.0699999994</v>
      </c>
      <c r="E11" s="12">
        <f>'5.4 Tableau de l''endettement'!K25</f>
        <v>3027.6647573529408</v>
      </c>
    </row>
    <row r="12" spans="1:5" x14ac:dyDescent="0.25">
      <c r="A12" s="81" t="s">
        <v>23</v>
      </c>
      <c r="B12" s="12">
        <f>'5.4 Tableau de l''endettement'!L21</f>
        <v>752392.9</v>
      </c>
      <c r="C12" s="12">
        <f>'5.4 Tableau de l''endettement'!L22</f>
        <v>6717.7937499999998</v>
      </c>
      <c r="D12" s="12">
        <f>'5.4 Tableau de l''endettement'!L24</f>
        <v>779330.57000000007</v>
      </c>
      <c r="E12" s="12">
        <f>'5.4 Tableau de l''endettement'!L25</f>
        <v>6958.3086607142859</v>
      </c>
    </row>
    <row r="13" spans="1:5" x14ac:dyDescent="0.25">
      <c r="A13" s="81" t="s">
        <v>22</v>
      </c>
      <c r="B13" s="12">
        <f>'5.4 Tableau de l''endettement'!M21</f>
        <v>45615798.689999998</v>
      </c>
      <c r="C13" s="12">
        <f>'5.4 Tableau de l''endettement'!M22</f>
        <v>6232.5179245798599</v>
      </c>
      <c r="D13" s="12">
        <f>'5.4 Tableau de l''endettement'!M24</f>
        <v>29090469.119999997</v>
      </c>
      <c r="E13" s="12">
        <f>'5.4 Tableau de l''endettement'!M25</f>
        <v>3974.6507883590652</v>
      </c>
    </row>
    <row r="14" spans="1:5" x14ac:dyDescent="0.25">
      <c r="A14" s="81" t="s">
        <v>13</v>
      </c>
      <c r="B14" s="12">
        <f>'5.4 Tableau de l''endettement'!N21</f>
        <v>2811349.0100000002</v>
      </c>
      <c r="C14" s="12">
        <f>'5.4 Tableau de l''endettement'!N22</f>
        <v>5385.7260727969351</v>
      </c>
      <c r="D14" s="12">
        <f>'5.4 Tableau de l''endettement'!N24</f>
        <v>1290983.73</v>
      </c>
      <c r="E14" s="12">
        <f>'5.4 Tableau de l''endettement'!N25</f>
        <v>2473.1489080459769</v>
      </c>
    </row>
    <row r="15" spans="1:5" x14ac:dyDescent="0.25">
      <c r="A15" s="81" t="s">
        <v>17</v>
      </c>
      <c r="B15" s="12">
        <f>'5.4 Tableau de l''endettement'!O21</f>
        <v>472998.96</v>
      </c>
      <c r="C15" s="12">
        <f>'5.4 Tableau de l''endettement'!O22</f>
        <v>4462.254339622642</v>
      </c>
      <c r="D15" s="12">
        <f>'5.4 Tableau de l''endettement'!O24</f>
        <v>-17354.150000000023</v>
      </c>
      <c r="E15" s="12">
        <f>'5.4 Tableau de l''endettement'!O25</f>
        <v>-163.71839622641531</v>
      </c>
    </row>
    <row r="16" spans="1:5" x14ac:dyDescent="0.25">
      <c r="A16" s="81" t="s">
        <v>43</v>
      </c>
      <c r="B16" s="12">
        <f>'5.4 Tableau de l''endettement'!P21</f>
        <v>3177943.3000000003</v>
      </c>
      <c r="C16" s="12">
        <f>'5.4 Tableau de l''endettement'!P22</f>
        <v>7477.5136470588241</v>
      </c>
      <c r="D16" s="12">
        <f>'5.4 Tableau de l''endettement'!P24</f>
        <v>1642738.42</v>
      </c>
      <c r="E16" s="12">
        <f>'5.4 Tableau de l''endettement'!P25</f>
        <v>3865.2668705882352</v>
      </c>
    </row>
    <row r="17" spans="1:5" x14ac:dyDescent="0.25">
      <c r="A17" s="81" t="s">
        <v>40</v>
      </c>
      <c r="B17" s="12">
        <f>'5.4 Tableau de l''endettement'!Q21</f>
        <v>4143084.9</v>
      </c>
      <c r="C17" s="12">
        <f>'5.4 Tableau de l''endettement'!Q22</f>
        <v>11837.385428571428</v>
      </c>
      <c r="D17" s="12">
        <f>'5.4 Tableau de l''endettement'!Q24</f>
        <v>1514124.1099999994</v>
      </c>
      <c r="E17" s="12">
        <f>'5.4 Tableau de l''endettement'!Q25</f>
        <v>4326.0688857142841</v>
      </c>
    </row>
    <row r="18" spans="1:5" x14ac:dyDescent="0.25">
      <c r="A18" s="81" t="s">
        <v>31</v>
      </c>
      <c r="B18" s="12">
        <f>'5.4 Tableau de l''endettement'!R21</f>
        <v>5163639.42</v>
      </c>
      <c r="C18" s="12">
        <f>'5.4 Tableau de l''endettement'!R22</f>
        <v>7044.5285402455656</v>
      </c>
      <c r="D18" s="12">
        <f>'5.4 Tableau de l''endettement'!R24</f>
        <v>-451715.36000000034</v>
      </c>
      <c r="E18" s="12">
        <f>'5.4 Tableau de l''endettement'!R25</f>
        <v>-616.25560709413412</v>
      </c>
    </row>
    <row r="19" spans="1:5" x14ac:dyDescent="0.25">
      <c r="A19" s="81" t="s">
        <v>12</v>
      </c>
      <c r="B19" s="12">
        <f>'5.4 Tableau de l''endettement'!S21</f>
        <v>1238569.5</v>
      </c>
      <c r="C19" s="12">
        <f>'5.4 Tableau de l''endettement'!S22</f>
        <v>4587.2944444444447</v>
      </c>
      <c r="D19" s="12">
        <f>'5.4 Tableau de l''endettement'!S24</f>
        <v>448146.76</v>
      </c>
      <c r="E19" s="12">
        <f>'5.4 Tableau de l''endettement'!S25</f>
        <v>1659.8028148148148</v>
      </c>
    </row>
    <row r="20" spans="1:5" x14ac:dyDescent="0.25">
      <c r="A20" s="81" t="s">
        <v>59</v>
      </c>
      <c r="B20" s="12">
        <f>'5.4 Tableau de l''endettement'!T21</f>
        <v>3504832.67</v>
      </c>
      <c r="C20" s="12">
        <f>'5.4 Tableau de l''endettement'!T22</f>
        <v>8404.8745083932845</v>
      </c>
      <c r="D20" s="12">
        <f>'5.4 Tableau de l''endettement'!T24</f>
        <v>1914576.7699999998</v>
      </c>
      <c r="E20" s="12">
        <f>'5.4 Tableau de l''endettement'!T25</f>
        <v>4591.311199040767</v>
      </c>
    </row>
    <row r="21" spans="1:5" x14ac:dyDescent="0.25">
      <c r="A21" s="81" t="s">
        <v>27</v>
      </c>
      <c r="B21" s="12">
        <f>'5.4 Tableau de l''endettement'!U21</f>
        <v>15800389.75</v>
      </c>
      <c r="C21" s="12">
        <f>'5.4 Tableau de l''endettement'!U22</f>
        <v>4809.8598934550992</v>
      </c>
      <c r="D21" s="12">
        <f>'5.4 Tableau de l''endettement'!U24</f>
        <v>11431295.439999999</v>
      </c>
      <c r="E21" s="12">
        <f>'5.4 Tableau de l''endettement'!U25</f>
        <v>3479.8464048706237</v>
      </c>
    </row>
    <row r="22" spans="1:5" x14ac:dyDescent="0.25">
      <c r="A22" s="81" t="s">
        <v>30</v>
      </c>
      <c r="B22" s="12">
        <f>'5.4 Tableau de l''endettement'!V21</f>
        <v>484046.2</v>
      </c>
      <c r="C22" s="12">
        <f>'5.4 Tableau de l''endettement'!V22</f>
        <v>1571.5785714285714</v>
      </c>
      <c r="D22" s="12">
        <f>'5.4 Tableau de l''endettement'!V24</f>
        <v>-1095128.52</v>
      </c>
      <c r="E22" s="12">
        <f>'5.4 Tableau de l''endettement'!V25</f>
        <v>-3555.6120779220778</v>
      </c>
    </row>
    <row r="23" spans="1:5" x14ac:dyDescent="0.25">
      <c r="A23" s="81" t="s">
        <v>20</v>
      </c>
      <c r="B23" s="12">
        <f>'5.4 Tableau de l''endettement'!W21</f>
        <v>9591959.379999999</v>
      </c>
      <c r="C23" s="12">
        <f>'5.4 Tableau de l''endettement'!W22</f>
        <v>7624.7689825119232</v>
      </c>
      <c r="D23" s="12">
        <f>'5.4 Tableau de l''endettement'!W24</f>
        <v>5704163.3599999994</v>
      </c>
      <c r="E23" s="12">
        <f>'5.4 Tableau de l''endettement'!W25</f>
        <v>4534.3110969793315</v>
      </c>
    </row>
    <row r="24" spans="1:5" x14ac:dyDescent="0.25">
      <c r="A24" s="81" t="s">
        <v>45</v>
      </c>
      <c r="B24" s="12">
        <f>'5.4 Tableau de l''endettement'!X21</f>
        <v>4910683.17</v>
      </c>
      <c r="C24" s="12">
        <f>'5.4 Tableau de l''endettement'!X22</f>
        <v>3222.2330511811024</v>
      </c>
      <c r="D24" s="12">
        <f>'5.4 Tableau de l''endettement'!X24</f>
        <v>-13726562.160000002</v>
      </c>
      <c r="E24" s="12">
        <f>'5.4 Tableau de l''endettement'!X25</f>
        <v>-9006.9305511811035</v>
      </c>
    </row>
    <row r="25" spans="1:5" x14ac:dyDescent="0.25">
      <c r="A25" s="81" t="s">
        <v>71</v>
      </c>
      <c r="B25" s="12">
        <f>'5.4 Tableau de l''endettement'!Y21</f>
        <v>1134572.45</v>
      </c>
      <c r="C25" s="12">
        <f>'5.4 Tableau de l''endettement'!Y22</f>
        <v>13041.06264367816</v>
      </c>
      <c r="D25" s="12">
        <f>'5.4 Tableau de l''endettement'!Y24</f>
        <v>89722.550000000047</v>
      </c>
      <c r="E25" s="12">
        <f>'5.4 Tableau de l''endettement'!Y25</f>
        <v>1031.2936781609201</v>
      </c>
    </row>
    <row r="26" spans="1:5" x14ac:dyDescent="0.25">
      <c r="A26" s="81" t="s">
        <v>39</v>
      </c>
      <c r="B26" s="12">
        <f>'5.4 Tableau de l''endettement'!Z21</f>
        <v>1304927.81</v>
      </c>
      <c r="C26" s="12">
        <f>'5.4 Tableau de l''endettement'!Z22</f>
        <v>8364.9218589743596</v>
      </c>
      <c r="D26" s="12">
        <f>'5.4 Tableau de l''endettement'!Z24</f>
        <v>-211024.80999999982</v>
      </c>
      <c r="E26" s="12">
        <f>'5.4 Tableau de l''endettement'!Z25</f>
        <v>-1352.72314102564</v>
      </c>
    </row>
    <row r="27" spans="1:5" x14ac:dyDescent="0.25">
      <c r="A27" s="81" t="s">
        <v>19</v>
      </c>
      <c r="B27" s="12">
        <f>'5.4 Tableau de l''endettement'!AA21</f>
        <v>4608813.3499999996</v>
      </c>
      <c r="C27" s="12">
        <f>'5.4 Tableau de l''endettement'!AA22</f>
        <v>9036.8889215686268</v>
      </c>
      <c r="D27" s="12">
        <f>'5.4 Tableau de l''endettement'!AA24</f>
        <v>1427041.8800000008</v>
      </c>
      <c r="E27" s="12">
        <f>'5.4 Tableau de l''endettement'!AA25</f>
        <v>2798.1213333333349</v>
      </c>
    </row>
    <row r="28" spans="1:5" x14ac:dyDescent="0.25">
      <c r="A28" s="81" t="s">
        <v>41</v>
      </c>
      <c r="B28" s="12">
        <f>'5.4 Tableau de l''endettement'!AB21</f>
        <v>7610270.8499999996</v>
      </c>
      <c r="C28" s="12">
        <f>'5.4 Tableau de l''endettement'!AB22</f>
        <v>10794.710425531914</v>
      </c>
      <c r="D28" s="12">
        <f>'5.4 Tableau de l''endettement'!AB24</f>
        <v>5732641.0899999999</v>
      </c>
      <c r="E28" s="12">
        <f>'5.4 Tableau de l''endettement'!AB25</f>
        <v>8131.4058014184393</v>
      </c>
    </row>
    <row r="29" spans="1:5" x14ac:dyDescent="0.25">
      <c r="A29" s="81" t="s">
        <v>36</v>
      </c>
      <c r="B29" s="12">
        <f>'5.4 Tableau de l''endettement'!AC21</f>
        <v>3903441.63</v>
      </c>
      <c r="C29" s="12">
        <f>'5.4 Tableau de l''endettement'!AC22</f>
        <v>7084.286079854809</v>
      </c>
      <c r="D29" s="12">
        <f>'5.4 Tableau de l''endettement'!AC24</f>
        <v>2011074.1099999999</v>
      </c>
      <c r="E29" s="12">
        <f>'5.4 Tableau de l''endettement'!AC25</f>
        <v>3649.8622686025406</v>
      </c>
    </row>
    <row r="30" spans="1:5" x14ac:dyDescent="0.25">
      <c r="A30" s="81" t="s">
        <v>7</v>
      </c>
      <c r="B30" s="12">
        <f>'5.4 Tableau de l''endettement'!AD21</f>
        <v>972078.66999999993</v>
      </c>
      <c r="C30" s="12">
        <f>'5.4 Tableau de l''endettement'!AD22</f>
        <v>1902.3065949119373</v>
      </c>
      <c r="D30" s="12">
        <f>'5.4 Tableau de l''endettement'!AD24</f>
        <v>-2267097.36</v>
      </c>
      <c r="E30" s="12">
        <f>'5.4 Tableau de l''endettement'!AD25</f>
        <v>-4436.5897455968689</v>
      </c>
    </row>
    <row r="31" spans="1:5" x14ac:dyDescent="0.25">
      <c r="A31" s="81" t="s">
        <v>55</v>
      </c>
      <c r="B31" s="12">
        <f>'5.4 Tableau de l''endettement'!AE21</f>
        <v>5453381.3700000001</v>
      </c>
      <c r="C31" s="12">
        <f>'5.4 Tableau de l''endettement'!AE22</f>
        <v>2867.1826340694006</v>
      </c>
      <c r="D31" s="12">
        <f>'5.4 Tableau de l''endettement'!AE24</f>
        <v>-2397710.830000001</v>
      </c>
      <c r="E31" s="12">
        <f>'5.4 Tableau de l''endettement'!AE25</f>
        <v>-1260.6260935856999</v>
      </c>
    </row>
    <row r="32" spans="1:5" x14ac:dyDescent="0.25">
      <c r="A32" s="81" t="s">
        <v>21</v>
      </c>
      <c r="B32" s="12">
        <f>'5.4 Tableau de l''endettement'!AF21</f>
        <v>16154715.800000001</v>
      </c>
      <c r="C32" s="12">
        <f>'5.4 Tableau de l''endettement'!AF22</f>
        <v>6273.6760388349521</v>
      </c>
      <c r="D32" s="12">
        <f>'5.4 Tableau de l''endettement'!AF24</f>
        <v>7074721.7599999998</v>
      </c>
      <c r="E32" s="12">
        <f>'5.4 Tableau de l''endettement'!AF25</f>
        <v>2747.4647611650485</v>
      </c>
    </row>
    <row r="33" spans="1:5" x14ac:dyDescent="0.25">
      <c r="A33" s="81" t="s">
        <v>6</v>
      </c>
      <c r="B33" s="12">
        <f>'5.4 Tableau de l''endettement'!AG21</f>
        <v>1609645.3</v>
      </c>
      <c r="C33" s="12">
        <f>'5.4 Tableau de l''endettement'!AG22</f>
        <v>7059.8478070175443</v>
      </c>
      <c r="D33" s="12">
        <f>'5.4 Tableau de l''endettement'!AG24</f>
        <v>-234773.74</v>
      </c>
      <c r="E33" s="12">
        <f>'5.4 Tableau de l''endettement'!AG25</f>
        <v>-1029.7093859649121</v>
      </c>
    </row>
    <row r="34" spans="1:5" x14ac:dyDescent="0.25">
      <c r="A34" s="81" t="s">
        <v>34</v>
      </c>
      <c r="B34" s="12">
        <f>'5.4 Tableau de l''endettement'!AH21</f>
        <v>863363.16</v>
      </c>
      <c r="C34" s="12">
        <f>'5.4 Tableau de l''endettement'!AH22</f>
        <v>7316.6369491525429</v>
      </c>
      <c r="D34" s="12">
        <f>'5.4 Tableau de l''endettement'!AH24</f>
        <v>-1178728.1100000001</v>
      </c>
      <c r="E34" s="12">
        <f>'5.4 Tableau de l''endettement'!AH25</f>
        <v>-9989.2212711864413</v>
      </c>
    </row>
    <row r="35" spans="1:5" x14ac:dyDescent="0.25">
      <c r="A35" s="81" t="s">
        <v>52</v>
      </c>
      <c r="B35" s="12">
        <f>'5.4 Tableau de l''endettement'!AI21</f>
        <v>17609687.100000001</v>
      </c>
      <c r="C35" s="12">
        <f>'5.4 Tableau de l''endettement'!AI22</f>
        <v>9356.9006907545172</v>
      </c>
      <c r="D35" s="12">
        <f>'5.4 Tableau de l''endettement'!AI24</f>
        <v>11642148.41</v>
      </c>
      <c r="E35" s="12">
        <f>'5.4 Tableau de l''endettement'!AI25</f>
        <v>6186.0512274176408</v>
      </c>
    </row>
    <row r="36" spans="1:5" x14ac:dyDescent="0.25">
      <c r="A36" s="81" t="s">
        <v>14</v>
      </c>
      <c r="B36" s="12">
        <f>'5.4 Tableau de l''endettement'!AJ21</f>
        <v>8847212.5500000007</v>
      </c>
      <c r="C36" s="12">
        <f>'5.4 Tableau de l''endettement'!AJ22</f>
        <v>7941.8425044883306</v>
      </c>
      <c r="D36" s="12">
        <f>'5.4 Tableau de l''endettement'!AJ24</f>
        <v>3685339.5900000008</v>
      </c>
      <c r="E36" s="12">
        <f>'5.4 Tableau de l''endettement'!AJ25</f>
        <v>3308.2042998204674</v>
      </c>
    </row>
    <row r="37" spans="1:5" x14ac:dyDescent="0.25">
      <c r="A37" s="81" t="s">
        <v>32</v>
      </c>
      <c r="B37" s="12">
        <f>'5.4 Tableau de l''endettement'!AK21</f>
        <v>11590493.5</v>
      </c>
      <c r="C37" s="12">
        <f>'5.4 Tableau de l''endettement'!AK22</f>
        <v>9523.8237469186515</v>
      </c>
      <c r="D37" s="12">
        <f>'5.4 Tableau de l''endettement'!AK24</f>
        <v>6512358.330000001</v>
      </c>
      <c r="E37" s="12">
        <f>'5.4 Tableau de l''endettement'!AK25</f>
        <v>5351.1572144617921</v>
      </c>
    </row>
    <row r="38" spans="1:5" x14ac:dyDescent="0.25">
      <c r="A38" s="81" t="s">
        <v>29</v>
      </c>
      <c r="B38" s="12">
        <f>'5.4 Tableau de l''endettement'!AL21</f>
        <v>1403451.52</v>
      </c>
      <c r="C38" s="12">
        <f>'5.4 Tableau de l''endettement'!AL22</f>
        <v>11995.312136752136</v>
      </c>
      <c r="D38" s="12">
        <f>'5.4 Tableau de l''endettement'!AL24</f>
        <v>-81076.300000000047</v>
      </c>
      <c r="E38" s="12">
        <f>'5.4 Tableau de l''endettement'!AL25</f>
        <v>-692.95982905982942</v>
      </c>
    </row>
    <row r="39" spans="1:5" x14ac:dyDescent="0.25">
      <c r="A39" s="81" t="s">
        <v>26</v>
      </c>
      <c r="B39" s="12">
        <f>'5.4 Tableau de l''endettement'!AM21</f>
        <v>8994469.7599999998</v>
      </c>
      <c r="C39" s="12">
        <f>'5.4 Tableau de l''endettement'!AM22</f>
        <v>7464.2902572614103</v>
      </c>
      <c r="D39" s="12">
        <f>'5.4 Tableau de l''endettement'!AM24</f>
        <v>-5341469.129999999</v>
      </c>
      <c r="E39" s="12">
        <f>'5.4 Tableau de l''endettement'!AM25</f>
        <v>-4432.7544647302893</v>
      </c>
    </row>
    <row r="40" spans="1:5" x14ac:dyDescent="0.25">
      <c r="A40" s="81" t="s">
        <v>48</v>
      </c>
      <c r="B40" s="12">
        <f>'5.4 Tableau de l''endettement'!AN21</f>
        <v>5282352.57</v>
      </c>
      <c r="C40" s="12">
        <f>'5.4 Tableau de l''endettement'!AN22</f>
        <v>8451.7641120000008</v>
      </c>
      <c r="D40" s="12">
        <f>'5.4 Tableau de l''endettement'!AN24</f>
        <v>1986975.6799999997</v>
      </c>
      <c r="E40" s="12">
        <f>'5.4 Tableau de l''endettement'!AN25</f>
        <v>3179.1610879999994</v>
      </c>
    </row>
    <row r="41" spans="1:5" x14ac:dyDescent="0.25">
      <c r="A41" s="81" t="s">
        <v>44</v>
      </c>
      <c r="B41" s="12">
        <f>'5.4 Tableau de l''endettement'!AO21</f>
        <v>4714240.3000000007</v>
      </c>
      <c r="C41" s="12">
        <f>'5.4 Tableau de l''endettement'!AO22</f>
        <v>7471.0622820919189</v>
      </c>
      <c r="D41" s="12">
        <f>'5.4 Tableau de l''endettement'!AO24</f>
        <v>2313637.5000000005</v>
      </c>
      <c r="E41" s="12">
        <f>'5.4 Tableau de l''endettement'!AO25</f>
        <v>3666.6204437400957</v>
      </c>
    </row>
    <row r="42" spans="1:5" x14ac:dyDescent="0.25">
      <c r="A42" s="81" t="s">
        <v>37</v>
      </c>
      <c r="B42" s="12">
        <f>'5.4 Tableau de l''endettement'!AP21</f>
        <v>10428533.609999999</v>
      </c>
      <c r="C42" s="12">
        <f>'5.4 Tableau de l''endettement'!AP22</f>
        <v>8179.2420470588231</v>
      </c>
      <c r="D42" s="12">
        <f>'5.4 Tableau de l''endettement'!AP24</f>
        <v>474934.74999999814</v>
      </c>
      <c r="E42" s="12">
        <f>'5.4 Tableau de l''endettement'!AP25</f>
        <v>372.49784313725343</v>
      </c>
    </row>
    <row r="43" spans="1:5" x14ac:dyDescent="0.25">
      <c r="A43" s="81" t="s">
        <v>51</v>
      </c>
      <c r="B43" s="12">
        <f>'5.4 Tableau de l''endettement'!AQ21</f>
        <v>5638389.4799999995</v>
      </c>
      <c r="C43" s="12">
        <f>'5.4 Tableau de l''endettement'!AQ22</f>
        <v>7852.9101392757657</v>
      </c>
      <c r="D43" s="12">
        <f>'5.4 Tableau de l''endettement'!AQ24</f>
        <v>3098658.07</v>
      </c>
      <c r="E43" s="12">
        <f>'5.4 Tableau de l''endettement'!AQ25</f>
        <v>4315.6797632311973</v>
      </c>
    </row>
    <row r="44" spans="1:5" x14ac:dyDescent="0.25">
      <c r="A44" s="81" t="s">
        <v>8</v>
      </c>
      <c r="B44" s="12">
        <f>'5.4 Tableau de l''endettement'!AR21</f>
        <v>9570422.3900000006</v>
      </c>
      <c r="C44" s="12">
        <f>'5.4 Tableau de l''endettement'!AR22</f>
        <v>9401.2007760314355</v>
      </c>
      <c r="D44" s="12">
        <f>'5.4 Tableau de l''endettement'!AR24</f>
        <v>5842659.1600000001</v>
      </c>
      <c r="E44" s="12">
        <f>'5.4 Tableau de l''endettement'!AR25</f>
        <v>5739.3508447937129</v>
      </c>
    </row>
    <row r="45" spans="1:5" x14ac:dyDescent="0.25">
      <c r="A45" s="81" t="s">
        <v>24</v>
      </c>
      <c r="B45" s="12">
        <f>'5.4 Tableau de l''endettement'!AS21</f>
        <v>1892477.35</v>
      </c>
      <c r="C45" s="12">
        <f>'5.4 Tableau de l''endettement'!AS22</f>
        <v>6458.9670648464171</v>
      </c>
      <c r="D45" s="12">
        <f>'5.4 Tableau de l''endettement'!AS24</f>
        <v>-735043.07000000007</v>
      </c>
      <c r="E45" s="12">
        <f>'5.4 Tableau de l''endettement'!AS25</f>
        <v>-2508.6794197952222</v>
      </c>
    </row>
    <row r="46" spans="1:5" x14ac:dyDescent="0.25">
      <c r="A46" s="81" t="s">
        <v>9</v>
      </c>
      <c r="B46" s="12">
        <f>'5.4 Tableau de l''endettement'!AT21</f>
        <v>13471968.370000001</v>
      </c>
      <c r="C46" s="12">
        <f>'5.4 Tableau de l''endettement'!AT22</f>
        <v>5532.6358809034909</v>
      </c>
      <c r="D46" s="12">
        <f>'5.4 Tableau de l''endettement'!AT24</f>
        <v>8692321.1499999985</v>
      </c>
      <c r="E46" s="12">
        <f>'5.4 Tableau de l''endettement'!AT25</f>
        <v>3569.7417453798762</v>
      </c>
    </row>
    <row r="47" spans="1:5" x14ac:dyDescent="0.25">
      <c r="A47" s="81" t="s">
        <v>62</v>
      </c>
      <c r="B47" s="12">
        <f>'5.4 Tableau de l''endettement'!AU21</f>
        <v>6026726</v>
      </c>
      <c r="C47" s="12">
        <f>'5.4 Tableau de l''endettement'!AU22</f>
        <v>7667.5903307888038</v>
      </c>
      <c r="D47" s="12">
        <f>'5.4 Tableau de l''endettement'!AU24</f>
        <v>2759687.709999999</v>
      </c>
      <c r="E47" s="12">
        <f>'5.4 Tableau de l''endettement'!AU25</f>
        <v>3511.0530661577595</v>
      </c>
    </row>
    <row r="48" spans="1:5" x14ac:dyDescent="0.25">
      <c r="A48" s="81" t="s">
        <v>46</v>
      </c>
      <c r="B48" s="12">
        <f>'5.4 Tableau de l''endettement'!AV21</f>
        <v>649792.4</v>
      </c>
      <c r="C48" s="12">
        <f>'5.4 Tableau de l''endettement'!AV22</f>
        <v>3531.4804347826089</v>
      </c>
      <c r="D48" s="12">
        <f>'5.4 Tableau de l''endettement'!AV24</f>
        <v>208004.44000000006</v>
      </c>
      <c r="E48" s="12">
        <f>'5.4 Tableau de l''endettement'!AV25</f>
        <v>1130.4589130434786</v>
      </c>
    </row>
    <row r="49" spans="1:5" x14ac:dyDescent="0.25">
      <c r="A49" s="81" t="s">
        <v>35</v>
      </c>
      <c r="B49" s="12">
        <f>'5.4 Tableau de l''endettement'!AW21</f>
        <v>2023842.33</v>
      </c>
      <c r="C49" s="12">
        <f>'5.4 Tableau de l''endettement'!AW22</f>
        <v>6077.6045945945953</v>
      </c>
      <c r="D49" s="12">
        <f>'5.4 Tableau de l''endettement'!AW24</f>
        <v>-156279.87000000011</v>
      </c>
      <c r="E49" s="12">
        <f>'5.4 Tableau de l''endettement'!AW25</f>
        <v>-469.30891891891923</v>
      </c>
    </row>
    <row r="50" spans="1:5" x14ac:dyDescent="0.25">
      <c r="A50" s="81" t="s">
        <v>49</v>
      </c>
      <c r="B50" s="12">
        <f>'5.4 Tableau de l''endettement'!AX21</f>
        <v>19520581.41</v>
      </c>
      <c r="C50" s="12">
        <f>'5.4 Tableau de l''endettement'!AX22</f>
        <v>11661.040268817205</v>
      </c>
      <c r="D50" s="12">
        <f>'5.4 Tableau de l''endettement'!AX24</f>
        <v>15130371.179999998</v>
      </c>
      <c r="E50" s="12">
        <f>'5.4 Tableau de l''endettement'!AX25</f>
        <v>9038.4535125448019</v>
      </c>
    </row>
    <row r="51" spans="1:5" x14ac:dyDescent="0.25">
      <c r="A51" s="81" t="s">
        <v>47</v>
      </c>
      <c r="B51" s="12">
        <f>'5.4 Tableau de l''endettement'!AY21</f>
        <v>3023471.06</v>
      </c>
      <c r="C51" s="12">
        <f>'5.4 Tableau de l''endettement'!AY22</f>
        <v>7732.662557544757</v>
      </c>
      <c r="D51" s="12">
        <f>'5.4 Tableau de l''endettement'!AY24</f>
        <v>51593.350000000093</v>
      </c>
      <c r="E51" s="12">
        <f>'5.4 Tableau de l''endettement'!AY25</f>
        <v>131.95230179028158</v>
      </c>
    </row>
    <row r="52" spans="1:5" x14ac:dyDescent="0.25">
      <c r="A52" s="81" t="s">
        <v>58</v>
      </c>
      <c r="B52" s="12">
        <f>'5.4 Tableau de l''endettement'!AZ21</f>
        <v>10935065.559999999</v>
      </c>
      <c r="C52" s="12">
        <f>'5.4 Tableau de l''endettement'!AZ22</f>
        <v>10394.549011406843</v>
      </c>
      <c r="D52" s="12">
        <f>'5.4 Tableau de l''endettement'!AZ24</f>
        <v>5751414.4799999986</v>
      </c>
      <c r="E52" s="12">
        <f>'5.4 Tableau de l''endettement'!AZ25</f>
        <v>5467.1240304182493</v>
      </c>
    </row>
    <row r="53" spans="1:5" x14ac:dyDescent="0.25">
      <c r="A53" s="81" t="s">
        <v>50</v>
      </c>
      <c r="B53" s="12">
        <f>'5.4 Tableau de l''endettement'!BA21</f>
        <v>142500</v>
      </c>
      <c r="C53" s="12">
        <f>'5.4 Tableau de l''endettement'!BA22</f>
        <v>766.12903225806451</v>
      </c>
      <c r="D53" s="12">
        <f>'5.4 Tableau de l''endettement'!BA24</f>
        <v>-341679.31000000011</v>
      </c>
      <c r="E53" s="12">
        <f>'5.4 Tableau de l''endettement'!BA25</f>
        <v>-1836.9855376344092</v>
      </c>
    </row>
    <row r="54" spans="1:5" x14ac:dyDescent="0.25">
      <c r="A54" s="81" t="s">
        <v>16</v>
      </c>
      <c r="B54" s="12">
        <f>'5.4 Tableau de l''endettement'!BB21</f>
        <v>69546558.280000001</v>
      </c>
      <c r="C54" s="12">
        <f>'5.4 Tableau de l''endettement'!BB22</f>
        <v>10797.478385343891</v>
      </c>
      <c r="D54" s="12">
        <f>'5.4 Tableau de l''endettement'!BB24</f>
        <v>45122415.250000007</v>
      </c>
      <c r="E54" s="12">
        <f>'5.4 Tableau de l''endettement'!BB25</f>
        <v>7005.4984086322011</v>
      </c>
    </row>
    <row r="55" spans="1:5" x14ac:dyDescent="0.25">
      <c r="A55" s="81" t="s">
        <v>25</v>
      </c>
      <c r="B55" s="12">
        <f>'5.4 Tableau de l''endettement'!BC21</f>
        <v>3987825.17</v>
      </c>
      <c r="C55" s="12">
        <f>'5.4 Tableau de l''endettement'!BC22</f>
        <v>7303.7091025641021</v>
      </c>
      <c r="D55" s="12">
        <f>'5.4 Tableau de l''endettement'!BC24</f>
        <v>1841514.0200000005</v>
      </c>
      <c r="E55" s="12">
        <f>'5.4 Tableau de l''endettement'!BC25</f>
        <v>3372.7363003663013</v>
      </c>
    </row>
  </sheetData>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tint="0.59999389629810485"/>
  </sheetPr>
  <dimension ref="A2:C25"/>
  <sheetViews>
    <sheetView workbookViewId="0"/>
  </sheetViews>
  <sheetFormatPr baseColWidth="10" defaultColWidth="11.44140625" defaultRowHeight="13.8" x14ac:dyDescent="0.25"/>
  <cols>
    <col min="1" max="1" width="5.6640625" style="7" customWidth="1"/>
    <col min="2" max="2" width="50.33203125" style="7" customWidth="1"/>
    <col min="3" max="3" width="22.88671875" style="7" customWidth="1"/>
    <col min="4" max="16384" width="11.44140625" style="7"/>
  </cols>
  <sheetData>
    <row r="2" spans="1:3" ht="21" x14ac:dyDescent="0.4">
      <c r="A2" s="79" t="s">
        <v>834</v>
      </c>
      <c r="B2" s="6"/>
    </row>
    <row r="3" spans="1:3" ht="15" customHeight="1" x14ac:dyDescent="0.4">
      <c r="A3" s="5"/>
      <c r="B3" s="6"/>
    </row>
    <row r="4" spans="1:3" ht="15" customHeight="1" thickBot="1" x14ac:dyDescent="0.3">
      <c r="A4" s="6"/>
      <c r="B4" s="6"/>
    </row>
    <row r="5" spans="1:3" ht="15" customHeight="1" thickBot="1" x14ac:dyDescent="0.45">
      <c r="A5" s="5"/>
      <c r="B5" s="124" t="s">
        <v>49</v>
      </c>
    </row>
    <row r="6" spans="1:3" ht="15" customHeight="1" x14ac:dyDescent="0.25">
      <c r="C6" s="29"/>
    </row>
    <row r="7" spans="1:3" ht="15" customHeight="1" x14ac:dyDescent="0.25">
      <c r="C7" s="125" t="s">
        <v>201</v>
      </c>
    </row>
    <row r="8" spans="1:3" x14ac:dyDescent="0.25">
      <c r="A8" s="7">
        <v>10</v>
      </c>
      <c r="B8" s="7" t="s">
        <v>239</v>
      </c>
      <c r="C8" s="12">
        <f>HLOOKUP($B$5,'5.4 Tableau de l''endettement'!$C$7:$BC$25,2,0)</f>
        <v>4657846.2799999993</v>
      </c>
    </row>
    <row r="9" spans="1:3" x14ac:dyDescent="0.25">
      <c r="C9" s="12"/>
    </row>
    <row r="10" spans="1:3" x14ac:dyDescent="0.25">
      <c r="A10" s="7">
        <v>20</v>
      </c>
      <c r="B10" s="7" t="s">
        <v>251</v>
      </c>
      <c r="C10" s="12">
        <f>HLOOKUP($B$5,'5.4 Tableau de l''endettement'!$C$7:$BC$25,4,0)</f>
        <v>19788217.459999997</v>
      </c>
    </row>
    <row r="11" spans="1:3" x14ac:dyDescent="0.25">
      <c r="C11" s="12"/>
    </row>
    <row r="12" spans="1:3" x14ac:dyDescent="0.25">
      <c r="A12" s="7">
        <v>200</v>
      </c>
      <c r="B12" s="7" t="s">
        <v>448</v>
      </c>
      <c r="C12" s="12">
        <f>HLOOKUP($B$5,'5.4 Tableau de l''endettement'!$C$7:$BC$25,6,0)</f>
        <v>1145974.3</v>
      </c>
    </row>
    <row r="13" spans="1:3" x14ac:dyDescent="0.25">
      <c r="C13" s="12"/>
    </row>
    <row r="14" spans="1:3" x14ac:dyDescent="0.25">
      <c r="A14" s="7">
        <v>201</v>
      </c>
      <c r="B14" s="7" t="s">
        <v>253</v>
      </c>
      <c r="C14" s="12">
        <f>HLOOKUP($B$5,'5.4 Tableau de l''endettement'!$C$7:$BC$25,8,0)</f>
        <v>1338920.1099999999</v>
      </c>
    </row>
    <row r="15" spans="1:3" x14ac:dyDescent="0.25">
      <c r="C15" s="12"/>
    </row>
    <row r="16" spans="1:3" x14ac:dyDescent="0.25">
      <c r="A16" s="7">
        <v>206</v>
      </c>
      <c r="B16" s="7" t="s">
        <v>256</v>
      </c>
      <c r="C16" s="12">
        <f>HLOOKUP($B$5,'5.4 Tableau de l''endettement'!$C$7:$BC$25,10,0)</f>
        <v>17035687</v>
      </c>
    </row>
    <row r="17" spans="1:3" x14ac:dyDescent="0.25">
      <c r="C17" s="12"/>
    </row>
    <row r="18" spans="1:3" x14ac:dyDescent="0.25">
      <c r="A18" s="7">
        <v>2016</v>
      </c>
      <c r="B18" s="7" t="s">
        <v>268</v>
      </c>
      <c r="C18" s="12">
        <f>HLOOKUP($B$5,'5.4 Tableau de l''endettement'!$C$7:$BC$25,12,0)</f>
        <v>0</v>
      </c>
    </row>
    <row r="19" spans="1:3" x14ac:dyDescent="0.25">
      <c r="C19" s="12"/>
    </row>
    <row r="20" spans="1:3" x14ac:dyDescent="0.25">
      <c r="C20" s="12"/>
    </row>
    <row r="21" spans="1:3" x14ac:dyDescent="0.25">
      <c r="B21" s="121" t="s">
        <v>629</v>
      </c>
      <c r="C21" s="123">
        <f>HLOOKUP($B$5,'5.4 Tableau de l''endettement'!$C$7:$BC$25,15,0)</f>
        <v>19520581.41</v>
      </c>
    </row>
    <row r="22" spans="1:3" x14ac:dyDescent="0.25">
      <c r="B22" s="76" t="s">
        <v>446</v>
      </c>
      <c r="C22" s="96">
        <f>HLOOKUP($B$5,'5.4 Tableau de l''endettement'!$C$7:$BC$25,16,0)</f>
        <v>11661.040268817205</v>
      </c>
    </row>
    <row r="23" spans="1:3" x14ac:dyDescent="0.25">
      <c r="B23" s="6"/>
      <c r="C23" s="12"/>
    </row>
    <row r="24" spans="1:3" x14ac:dyDescent="0.25">
      <c r="B24" s="121" t="s">
        <v>630</v>
      </c>
      <c r="C24" s="123">
        <f>HLOOKUP($B$5,'5.4 Tableau de l''endettement'!$C$7:$BC$25,18,0)</f>
        <v>15130371.179999998</v>
      </c>
    </row>
    <row r="25" spans="1:3" x14ac:dyDescent="0.25">
      <c r="B25" s="76" t="s">
        <v>446</v>
      </c>
      <c r="C25" s="96">
        <f>HLOOKUP($B$5,'5.4 Tableau de l''endettement'!$C$7:$BC$25,19,0)</f>
        <v>9038.4535125448019</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900-000000000000}">
          <x14:formula1>
            <xm:f>'5.4 Tableau de l''endettement'!$C$7:$BC$7</xm:f>
          </x14:formula1>
          <xm:sqref>B5</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0" tint="-0.249977111117893"/>
    <pageSetUpPr fitToPage="1"/>
  </sheetPr>
  <dimension ref="A2:E186"/>
  <sheetViews>
    <sheetView workbookViewId="0"/>
  </sheetViews>
  <sheetFormatPr baseColWidth="10" defaultColWidth="11.44140625" defaultRowHeight="13.8" x14ac:dyDescent="0.25"/>
  <cols>
    <col min="1" max="2" width="5.6640625" style="7" customWidth="1"/>
    <col min="3" max="3" width="9" style="7" customWidth="1"/>
    <col min="4" max="4" width="63.5546875" style="7" customWidth="1"/>
    <col min="5" max="5" width="22.6640625" style="7" customWidth="1"/>
    <col min="6" max="16384" width="11.44140625" style="7"/>
  </cols>
  <sheetData>
    <row r="2" spans="1:5" ht="21" x14ac:dyDescent="0.4">
      <c r="A2" s="79" t="s">
        <v>833</v>
      </c>
      <c r="B2" s="6"/>
      <c r="C2" s="6"/>
      <c r="D2" s="6"/>
    </row>
    <row r="4" spans="1:5" ht="14.4" thickBot="1" x14ac:dyDescent="0.3"/>
    <row r="5" spans="1:5" ht="14.4" thickBot="1" x14ac:dyDescent="0.3">
      <c r="A5" s="7" t="s">
        <v>627</v>
      </c>
      <c r="D5" s="83" t="s">
        <v>71</v>
      </c>
    </row>
    <row r="8" spans="1:5" ht="21" x14ac:dyDescent="0.4">
      <c r="A8" s="126">
        <v>5</v>
      </c>
      <c r="B8" s="126"/>
      <c r="C8" s="126"/>
      <c r="D8" s="126" t="s">
        <v>192</v>
      </c>
      <c r="E8" s="131">
        <f>HLOOKUP($D$5,'6.1 Investissements'!$E$4:$BE$186,2,0)</f>
        <v>339692.69999999995</v>
      </c>
    </row>
    <row r="9" spans="1:5" x14ac:dyDescent="0.25">
      <c r="A9" s="6"/>
      <c r="B9" s="76">
        <v>50</v>
      </c>
      <c r="C9" s="76"/>
      <c r="D9" s="76" t="s">
        <v>451</v>
      </c>
      <c r="E9" s="96">
        <f>SUM(E10:E17)</f>
        <v>339692.69999999995</v>
      </c>
    </row>
    <row r="10" spans="1:5" x14ac:dyDescent="0.25">
      <c r="C10" s="7">
        <v>500</v>
      </c>
      <c r="D10" s="7" t="s">
        <v>453</v>
      </c>
      <c r="E10" s="12">
        <f>HLOOKUP($D$5,'6.1 Investissements'!$E$4:$BE$186,4,0)</f>
        <v>0</v>
      </c>
    </row>
    <row r="11" spans="1:5" x14ac:dyDescent="0.25">
      <c r="C11" s="7">
        <v>501</v>
      </c>
      <c r="D11" s="7" t="s">
        <v>454</v>
      </c>
      <c r="E11" s="12">
        <f>HLOOKUP($D$5,'6.1 Investissements'!$E$4:$BE$186,5,0)</f>
        <v>142091</v>
      </c>
    </row>
    <row r="12" spans="1:5" x14ac:dyDescent="0.25">
      <c r="C12" s="7">
        <v>502</v>
      </c>
      <c r="D12" s="7" t="s">
        <v>455</v>
      </c>
      <c r="E12" s="12">
        <f>HLOOKUP($D$5,'6.1 Investissements'!$E$4:$BE$186,6,0)</f>
        <v>0</v>
      </c>
    </row>
    <row r="13" spans="1:5" x14ac:dyDescent="0.25">
      <c r="C13" s="7">
        <v>503</v>
      </c>
      <c r="D13" s="7" t="s">
        <v>456</v>
      </c>
      <c r="E13" s="12">
        <f>HLOOKUP($D$5,'6.1 Investissements'!$E$4:$BE$186,7,0)</f>
        <v>131156.85</v>
      </c>
    </row>
    <row r="14" spans="1:5" x14ac:dyDescent="0.25">
      <c r="C14" s="7">
        <v>504</v>
      </c>
      <c r="D14" s="7" t="s">
        <v>457</v>
      </c>
      <c r="E14" s="12">
        <f>HLOOKUP($D$5,'6.1 Investissements'!$E$4:$BE$186,8,0)</f>
        <v>66444.850000000006</v>
      </c>
    </row>
    <row r="15" spans="1:5" x14ac:dyDescent="0.25">
      <c r="C15" s="7">
        <v>505</v>
      </c>
      <c r="D15" s="7" t="s">
        <v>458</v>
      </c>
      <c r="E15" s="12">
        <f>HLOOKUP($D$5,'6.1 Investissements'!$E$4:$BE$186,9,0)</f>
        <v>0</v>
      </c>
    </row>
    <row r="16" spans="1:5" x14ac:dyDescent="0.25">
      <c r="C16" s="7">
        <v>506</v>
      </c>
      <c r="D16" s="7" t="s">
        <v>459</v>
      </c>
      <c r="E16" s="12">
        <f>HLOOKUP($D$5,'6.1 Investissements'!$E$4:$BE$186,10,0)</f>
        <v>0</v>
      </c>
    </row>
    <row r="17" spans="2:5" x14ac:dyDescent="0.25">
      <c r="C17" s="7">
        <v>509</v>
      </c>
      <c r="D17" s="7" t="s">
        <v>460</v>
      </c>
      <c r="E17" s="12">
        <f>HLOOKUP($D$5,'6.1 Investissements'!$E$4:$BE$186,11,0)</f>
        <v>0</v>
      </c>
    </row>
    <row r="19" spans="2:5" x14ac:dyDescent="0.25">
      <c r="B19" s="76">
        <v>51</v>
      </c>
      <c r="C19" s="76"/>
      <c r="D19" s="76" t="s">
        <v>452</v>
      </c>
      <c r="E19" s="96">
        <f>SUM(E20:E27)</f>
        <v>0</v>
      </c>
    </row>
    <row r="20" spans="2:5" x14ac:dyDescent="0.25">
      <c r="C20" s="7">
        <v>510</v>
      </c>
      <c r="D20" s="7" t="s">
        <v>453</v>
      </c>
      <c r="E20" s="12">
        <f>HLOOKUP($D$5,'6.1 Investissements'!$E$4:$BE$186,14,0)</f>
        <v>0</v>
      </c>
    </row>
    <row r="21" spans="2:5" x14ac:dyDescent="0.25">
      <c r="C21" s="7">
        <v>511</v>
      </c>
      <c r="D21" s="7" t="s">
        <v>454</v>
      </c>
      <c r="E21" s="12">
        <f>HLOOKUP($D$5,'6.1 Investissements'!$E$4:$BE$186,15,0)</f>
        <v>0</v>
      </c>
    </row>
    <row r="22" spans="2:5" x14ac:dyDescent="0.25">
      <c r="C22" s="7">
        <v>512</v>
      </c>
      <c r="D22" s="7" t="s">
        <v>455</v>
      </c>
      <c r="E22" s="12">
        <f>HLOOKUP($D$5,'6.1 Investissements'!$E$4:$BE$186,16,0)</f>
        <v>0</v>
      </c>
    </row>
    <row r="23" spans="2:5" x14ac:dyDescent="0.25">
      <c r="C23" s="7">
        <v>513</v>
      </c>
      <c r="D23" s="7" t="s">
        <v>456</v>
      </c>
      <c r="E23" s="12">
        <f>HLOOKUP($D$5,'6.1 Investissements'!$E$4:$BE$186,17,0)</f>
        <v>0</v>
      </c>
    </row>
    <row r="24" spans="2:5" x14ac:dyDescent="0.25">
      <c r="C24" s="7">
        <v>514</v>
      </c>
      <c r="D24" s="7" t="s">
        <v>457</v>
      </c>
      <c r="E24" s="12">
        <f>HLOOKUP($D$5,'6.1 Investissements'!$E$4:$BE$186,18,0)</f>
        <v>0</v>
      </c>
    </row>
    <row r="25" spans="2:5" x14ac:dyDescent="0.25">
      <c r="C25" s="7">
        <v>515</v>
      </c>
      <c r="D25" s="7" t="s">
        <v>458</v>
      </c>
      <c r="E25" s="12">
        <f>HLOOKUP($D$5,'6.1 Investissements'!$E$4:$BE$186,19,0)</f>
        <v>0</v>
      </c>
    </row>
    <row r="26" spans="2:5" x14ac:dyDescent="0.25">
      <c r="C26" s="7">
        <v>516</v>
      </c>
      <c r="D26" s="7" t="s">
        <v>459</v>
      </c>
      <c r="E26" s="12">
        <f>HLOOKUP($D$5,'6.1 Investissements'!$E$4:$BE$186,20,0)</f>
        <v>0</v>
      </c>
    </row>
    <row r="27" spans="2:5" x14ac:dyDescent="0.25">
      <c r="C27" s="7">
        <v>519</v>
      </c>
      <c r="D27" s="7" t="s">
        <v>460</v>
      </c>
      <c r="E27" s="12">
        <f>HLOOKUP($D$5,'6.1 Investissements'!$E$4:$BE$186,21,0)</f>
        <v>0</v>
      </c>
    </row>
    <row r="29" spans="2:5" x14ac:dyDescent="0.25">
      <c r="B29" s="76">
        <v>52</v>
      </c>
      <c r="C29" s="76"/>
      <c r="D29" s="76" t="s">
        <v>461</v>
      </c>
      <c r="E29" s="96">
        <f>SUM(E30:E32)</f>
        <v>0</v>
      </c>
    </row>
    <row r="30" spans="2:5" x14ac:dyDescent="0.25">
      <c r="C30" s="7">
        <v>520</v>
      </c>
      <c r="D30" s="7" t="s">
        <v>363</v>
      </c>
      <c r="E30" s="12">
        <f>HLOOKUP($D$5,'6.1 Investissements'!$E$4:$BE$186,24,0)</f>
        <v>0</v>
      </c>
    </row>
    <row r="31" spans="2:5" x14ac:dyDescent="0.25">
      <c r="C31" s="7">
        <v>521</v>
      </c>
      <c r="D31" s="7" t="s">
        <v>364</v>
      </c>
      <c r="E31" s="12">
        <f>HLOOKUP($D$5,'6.1 Investissements'!$E$4:$BE$186,25,0)</f>
        <v>0</v>
      </c>
    </row>
    <row r="32" spans="2:5" x14ac:dyDescent="0.25">
      <c r="C32" s="7">
        <v>529</v>
      </c>
      <c r="D32" s="7" t="s">
        <v>462</v>
      </c>
      <c r="E32" s="12">
        <f>HLOOKUP($D$5,'6.1 Investissements'!$E$4:$BE$186,26,0)</f>
        <v>0</v>
      </c>
    </row>
    <row r="34" spans="2:5" x14ac:dyDescent="0.25">
      <c r="B34" s="76">
        <v>54</v>
      </c>
      <c r="C34" s="76"/>
      <c r="D34" s="76" t="s">
        <v>249</v>
      </c>
      <c r="E34" s="96">
        <f>SUM(E35:E43)</f>
        <v>0</v>
      </c>
    </row>
    <row r="35" spans="2:5" x14ac:dyDescent="0.25">
      <c r="C35" s="7">
        <v>540</v>
      </c>
      <c r="D35" s="7" t="s">
        <v>463</v>
      </c>
      <c r="E35" s="12">
        <f>HLOOKUP($D$5,'6.1 Investissements'!$E$4:$BE$186,29,0)</f>
        <v>0</v>
      </c>
    </row>
    <row r="36" spans="2:5" x14ac:dyDescent="0.25">
      <c r="C36" s="7">
        <v>541</v>
      </c>
      <c r="D36" s="7" t="s">
        <v>464</v>
      </c>
      <c r="E36" s="12">
        <f>HLOOKUP($D$5,'6.1 Investissements'!$E$4:$BE$186,30,0)</f>
        <v>0</v>
      </c>
    </row>
    <row r="37" spans="2:5" x14ac:dyDescent="0.25">
      <c r="C37" s="7">
        <v>542</v>
      </c>
      <c r="D37" s="7" t="s">
        <v>465</v>
      </c>
      <c r="E37" s="12">
        <f>HLOOKUP($D$5,'6.1 Investissements'!$E$4:$BE$186,31,0)</f>
        <v>0</v>
      </c>
    </row>
    <row r="38" spans="2:5" x14ac:dyDescent="0.25">
      <c r="C38" s="7">
        <v>543</v>
      </c>
      <c r="D38" s="7" t="s">
        <v>466</v>
      </c>
      <c r="E38" s="12">
        <f>HLOOKUP($D$5,'6.1 Investissements'!$E$4:$BE$186,32,0)</f>
        <v>0</v>
      </c>
    </row>
    <row r="39" spans="2:5" x14ac:dyDescent="0.25">
      <c r="C39" s="7">
        <v>544</v>
      </c>
      <c r="D39" s="7" t="s">
        <v>467</v>
      </c>
      <c r="E39" s="12">
        <f>HLOOKUP($D$5,'6.1 Investissements'!$E$4:$BE$186,33,0)</f>
        <v>0</v>
      </c>
    </row>
    <row r="40" spans="2:5" x14ac:dyDescent="0.25">
      <c r="C40" s="7">
        <v>545</v>
      </c>
      <c r="D40" s="7" t="s">
        <v>468</v>
      </c>
      <c r="E40" s="12">
        <f>HLOOKUP($D$5,'6.1 Investissements'!$E$4:$BE$186,34,0)</f>
        <v>0</v>
      </c>
    </row>
    <row r="41" spans="2:5" x14ac:dyDescent="0.25">
      <c r="C41" s="7">
        <v>546</v>
      </c>
      <c r="D41" s="7" t="s">
        <v>469</v>
      </c>
      <c r="E41" s="12">
        <f>HLOOKUP($D$5,'6.1 Investissements'!$E$4:$BE$186,35,0)</f>
        <v>0</v>
      </c>
    </row>
    <row r="42" spans="2:5" x14ac:dyDescent="0.25">
      <c r="C42" s="7">
        <v>547</v>
      </c>
      <c r="D42" s="7" t="s">
        <v>470</v>
      </c>
      <c r="E42" s="12">
        <f>HLOOKUP($D$5,'6.1 Investissements'!$E$4:$BE$186,36,0)</f>
        <v>0</v>
      </c>
    </row>
    <row r="43" spans="2:5" x14ac:dyDescent="0.25">
      <c r="C43" s="7">
        <v>548</v>
      </c>
      <c r="D43" s="7" t="s">
        <v>471</v>
      </c>
      <c r="E43" s="12">
        <f>HLOOKUP($D$5,'6.1 Investissements'!$E$4:$BE$186,37,0)</f>
        <v>0</v>
      </c>
    </row>
    <row r="45" spans="2:5" x14ac:dyDescent="0.25">
      <c r="B45" s="76">
        <v>55</v>
      </c>
      <c r="C45" s="76"/>
      <c r="D45" s="76" t="s">
        <v>376</v>
      </c>
      <c r="E45" s="96">
        <f>SUM(E46:E54)</f>
        <v>0</v>
      </c>
    </row>
    <row r="46" spans="2:5" x14ac:dyDescent="0.25">
      <c r="C46" s="7">
        <v>550</v>
      </c>
      <c r="D46" s="7" t="s">
        <v>463</v>
      </c>
      <c r="E46" s="12">
        <f>HLOOKUP($D$5,'6.1 Investissements'!$E$4:$BE$186,40,0)</f>
        <v>0</v>
      </c>
    </row>
    <row r="47" spans="2:5" x14ac:dyDescent="0.25">
      <c r="C47" s="7">
        <v>551</v>
      </c>
      <c r="D47" s="7" t="s">
        <v>464</v>
      </c>
      <c r="E47" s="12">
        <f>HLOOKUP($D$5,'6.1 Investissements'!$E$4:$BE$186,41,0)</f>
        <v>0</v>
      </c>
    </row>
    <row r="48" spans="2:5" x14ac:dyDescent="0.25">
      <c r="C48" s="7">
        <v>552</v>
      </c>
      <c r="D48" s="7" t="s">
        <v>465</v>
      </c>
      <c r="E48" s="12">
        <f>HLOOKUP($D$5,'6.1 Investissements'!$E$4:$BE$186,42,0)</f>
        <v>0</v>
      </c>
    </row>
    <row r="49" spans="2:5" x14ac:dyDescent="0.25">
      <c r="C49" s="7">
        <v>553</v>
      </c>
      <c r="D49" s="7" t="s">
        <v>466</v>
      </c>
      <c r="E49" s="12">
        <f>HLOOKUP($D$5,'6.1 Investissements'!$E$4:$BE$186,43,0)</f>
        <v>0</v>
      </c>
    </row>
    <row r="50" spans="2:5" x14ac:dyDescent="0.25">
      <c r="C50" s="7">
        <v>554</v>
      </c>
      <c r="D50" s="7" t="s">
        <v>467</v>
      </c>
      <c r="E50" s="12">
        <f>HLOOKUP($D$5,'6.1 Investissements'!$E$4:$BE$186,44,0)</f>
        <v>0</v>
      </c>
    </row>
    <row r="51" spans="2:5" x14ac:dyDescent="0.25">
      <c r="C51" s="7">
        <v>555</v>
      </c>
      <c r="D51" s="7" t="s">
        <v>468</v>
      </c>
      <c r="E51" s="12">
        <f>HLOOKUP($D$5,'6.1 Investissements'!$E$4:$BE$186,45,0)</f>
        <v>0</v>
      </c>
    </row>
    <row r="52" spans="2:5" x14ac:dyDescent="0.25">
      <c r="C52" s="7">
        <v>556</v>
      </c>
      <c r="D52" s="7" t="s">
        <v>469</v>
      </c>
      <c r="E52" s="12">
        <f>HLOOKUP($D$5,'6.1 Investissements'!$E$4:$BE$186,46,0)</f>
        <v>0</v>
      </c>
    </row>
    <row r="53" spans="2:5" x14ac:dyDescent="0.25">
      <c r="C53" s="7">
        <v>557</v>
      </c>
      <c r="D53" s="7" t="s">
        <v>470</v>
      </c>
      <c r="E53" s="12">
        <f>HLOOKUP($D$5,'6.1 Investissements'!$E$4:$BE$186,47,0)</f>
        <v>0</v>
      </c>
    </row>
    <row r="54" spans="2:5" x14ac:dyDescent="0.25">
      <c r="C54" s="7">
        <v>558</v>
      </c>
      <c r="D54" s="7" t="s">
        <v>471</v>
      </c>
      <c r="E54" s="12">
        <f>HLOOKUP($D$5,'6.1 Investissements'!$E$4:$BE$186,48,0)</f>
        <v>0</v>
      </c>
    </row>
    <row r="56" spans="2:5" x14ac:dyDescent="0.25">
      <c r="B56" s="76">
        <v>56</v>
      </c>
      <c r="C56" s="76"/>
      <c r="D56" s="76" t="s">
        <v>472</v>
      </c>
      <c r="E56" s="96">
        <f>SUM(E57:E65)</f>
        <v>0</v>
      </c>
    </row>
    <row r="57" spans="2:5" x14ac:dyDescent="0.25">
      <c r="C57" s="7">
        <v>560</v>
      </c>
      <c r="D57" s="7" t="s">
        <v>463</v>
      </c>
      <c r="E57" s="12">
        <f>HLOOKUP($D$5,'6.1 Investissements'!$E$4:$BE$186,51,0)</f>
        <v>0</v>
      </c>
    </row>
    <row r="58" spans="2:5" x14ac:dyDescent="0.25">
      <c r="C58" s="7">
        <v>561</v>
      </c>
      <c r="D58" s="7" t="s">
        <v>464</v>
      </c>
      <c r="E58" s="12">
        <f>HLOOKUP($D$5,'6.1 Investissements'!$E$4:$BE$186,52,0)</f>
        <v>0</v>
      </c>
    </row>
    <row r="59" spans="2:5" x14ac:dyDescent="0.25">
      <c r="C59" s="7">
        <v>562</v>
      </c>
      <c r="D59" s="7" t="s">
        <v>465</v>
      </c>
      <c r="E59" s="12">
        <f>HLOOKUP($D$5,'6.1 Investissements'!$E$4:$BE$186,53,0)</f>
        <v>0</v>
      </c>
    </row>
    <row r="60" spans="2:5" x14ac:dyDescent="0.25">
      <c r="C60" s="7">
        <v>563</v>
      </c>
      <c r="D60" s="7" t="s">
        <v>466</v>
      </c>
      <c r="E60" s="12">
        <f>HLOOKUP($D$5,'6.1 Investissements'!$E$4:$BE$186,54,0)</f>
        <v>0</v>
      </c>
    </row>
    <row r="61" spans="2:5" x14ac:dyDescent="0.25">
      <c r="C61" s="7">
        <v>564</v>
      </c>
      <c r="D61" s="7" t="s">
        <v>467</v>
      </c>
      <c r="E61" s="12">
        <f>HLOOKUP($D$5,'6.1 Investissements'!$E$4:$BE$186,55,0)</f>
        <v>0</v>
      </c>
    </row>
    <row r="62" spans="2:5" x14ac:dyDescent="0.25">
      <c r="C62" s="7">
        <v>565</v>
      </c>
      <c r="D62" s="7" t="s">
        <v>468</v>
      </c>
      <c r="E62" s="12">
        <f>HLOOKUP($D$5,'6.1 Investissements'!$E$4:$BE$186,56,0)</f>
        <v>0</v>
      </c>
    </row>
    <row r="63" spans="2:5" x14ac:dyDescent="0.25">
      <c r="C63" s="7">
        <v>566</v>
      </c>
      <c r="D63" s="7" t="s">
        <v>469</v>
      </c>
      <c r="E63" s="12">
        <f>HLOOKUP($D$5,'6.1 Investissements'!$E$4:$BE$186,57,0)</f>
        <v>0</v>
      </c>
    </row>
    <row r="64" spans="2:5" x14ac:dyDescent="0.25">
      <c r="C64" s="7">
        <v>567</v>
      </c>
      <c r="D64" s="7" t="s">
        <v>470</v>
      </c>
      <c r="E64" s="12">
        <f>HLOOKUP($D$5,'6.1 Investissements'!$E$4:$BE$186,58,0)</f>
        <v>0</v>
      </c>
    </row>
    <row r="65" spans="2:5" x14ac:dyDescent="0.25">
      <c r="C65" s="7">
        <v>568</v>
      </c>
      <c r="D65" s="7" t="s">
        <v>471</v>
      </c>
      <c r="E65" s="12">
        <f>HLOOKUP($D$5,'6.1 Investissements'!$E$4:$BE$186,59,0)</f>
        <v>0</v>
      </c>
    </row>
    <row r="67" spans="2:5" x14ac:dyDescent="0.25">
      <c r="B67" s="76">
        <v>57</v>
      </c>
      <c r="C67" s="76"/>
      <c r="D67" s="76" t="s">
        <v>473</v>
      </c>
      <c r="E67" s="96">
        <f>SUM(E68:E76)</f>
        <v>0</v>
      </c>
    </row>
    <row r="68" spans="2:5" x14ac:dyDescent="0.25">
      <c r="C68" s="7">
        <v>570</v>
      </c>
      <c r="D68" s="7" t="s">
        <v>463</v>
      </c>
      <c r="E68" s="12">
        <f>HLOOKUP($D$5,'6.1 Investissements'!$E$4:$BE$186,62,0)</f>
        <v>0</v>
      </c>
    </row>
    <row r="69" spans="2:5" x14ac:dyDescent="0.25">
      <c r="C69" s="7">
        <v>571</v>
      </c>
      <c r="D69" s="7" t="s">
        <v>464</v>
      </c>
      <c r="E69" s="12">
        <f>HLOOKUP($D$5,'6.1 Investissements'!$E$4:$BE$186,63,0)</f>
        <v>0</v>
      </c>
    </row>
    <row r="70" spans="2:5" x14ac:dyDescent="0.25">
      <c r="C70" s="7">
        <v>572</v>
      </c>
      <c r="D70" s="7" t="s">
        <v>465</v>
      </c>
      <c r="E70" s="12">
        <f>HLOOKUP($D$5,'6.1 Investissements'!$E$4:$BE$186,64,0)</f>
        <v>0</v>
      </c>
    </row>
    <row r="71" spans="2:5" x14ac:dyDescent="0.25">
      <c r="C71" s="7">
        <v>573</v>
      </c>
      <c r="D71" s="7" t="s">
        <v>466</v>
      </c>
      <c r="E71" s="12">
        <f>HLOOKUP($D$5,'6.1 Investissements'!$E$4:$BE$186,65,0)</f>
        <v>0</v>
      </c>
    </row>
    <row r="72" spans="2:5" x14ac:dyDescent="0.25">
      <c r="C72" s="7">
        <v>574</v>
      </c>
      <c r="D72" s="7" t="s">
        <v>467</v>
      </c>
      <c r="E72" s="12">
        <f>HLOOKUP($D$5,'6.1 Investissements'!$E$4:$BE$186,66,0)</f>
        <v>0</v>
      </c>
    </row>
    <row r="73" spans="2:5" x14ac:dyDescent="0.25">
      <c r="C73" s="7">
        <v>575</v>
      </c>
      <c r="D73" s="7" t="s">
        <v>468</v>
      </c>
      <c r="E73" s="12">
        <f>HLOOKUP($D$5,'6.1 Investissements'!$E$4:$BE$186,67,0)</f>
        <v>0</v>
      </c>
    </row>
    <row r="74" spans="2:5" x14ac:dyDescent="0.25">
      <c r="C74" s="7">
        <v>576</v>
      </c>
      <c r="D74" s="7" t="s">
        <v>469</v>
      </c>
      <c r="E74" s="12">
        <f>HLOOKUP($D$5,'6.1 Investissements'!$E$4:$BE$186,68,0)</f>
        <v>0</v>
      </c>
    </row>
    <row r="75" spans="2:5" x14ac:dyDescent="0.25">
      <c r="C75" s="7">
        <v>577</v>
      </c>
      <c r="D75" s="7" t="s">
        <v>470</v>
      </c>
      <c r="E75" s="12">
        <f>HLOOKUP($D$5,'6.1 Investissements'!$E$4:$BE$186,69,0)</f>
        <v>0</v>
      </c>
    </row>
    <row r="76" spans="2:5" x14ac:dyDescent="0.25">
      <c r="C76" s="7">
        <v>578</v>
      </c>
      <c r="D76" s="7" t="s">
        <v>471</v>
      </c>
      <c r="E76" s="12">
        <f>HLOOKUP($D$5,'6.1 Investissements'!$E$4:$BE$186,70,0)</f>
        <v>0</v>
      </c>
    </row>
    <row r="78" spans="2:5" x14ac:dyDescent="0.25">
      <c r="B78" s="76">
        <v>58</v>
      </c>
      <c r="C78" s="76"/>
      <c r="D78" s="76" t="s">
        <v>474</v>
      </c>
      <c r="E78" s="96">
        <f>SUM(E79:E84)</f>
        <v>0</v>
      </c>
    </row>
    <row r="79" spans="2:5" x14ac:dyDescent="0.25">
      <c r="C79" s="7">
        <v>580</v>
      </c>
      <c r="D79" s="7" t="s">
        <v>451</v>
      </c>
      <c r="E79" s="12">
        <f>HLOOKUP($D$5,'6.1 Investissements'!$E$4:$BE$186,73,0)</f>
        <v>0</v>
      </c>
    </row>
    <row r="80" spans="2:5" x14ac:dyDescent="0.25">
      <c r="C80" s="7">
        <v>582</v>
      </c>
      <c r="D80" s="7" t="s">
        <v>461</v>
      </c>
      <c r="E80" s="12">
        <f>HLOOKUP($D$5,'6.1 Investissements'!$E$4:$BE$186,74,0)</f>
        <v>0</v>
      </c>
    </row>
    <row r="81" spans="1:5" x14ac:dyDescent="0.25">
      <c r="C81" s="7">
        <v>584</v>
      </c>
      <c r="D81" s="7" t="s">
        <v>249</v>
      </c>
      <c r="E81" s="12">
        <f>HLOOKUP($D$5,'6.1 Investissements'!$E$4:$BE$186,75,0)</f>
        <v>0</v>
      </c>
    </row>
    <row r="82" spans="1:5" x14ac:dyDescent="0.25">
      <c r="C82" s="7">
        <v>585</v>
      </c>
      <c r="D82" s="7" t="s">
        <v>376</v>
      </c>
      <c r="E82" s="12">
        <f>HLOOKUP($D$5,'6.1 Investissements'!$E$4:$BE$186,76,0)</f>
        <v>0</v>
      </c>
    </row>
    <row r="83" spans="1:5" x14ac:dyDescent="0.25">
      <c r="C83" s="7">
        <v>586</v>
      </c>
      <c r="D83" s="7" t="s">
        <v>475</v>
      </c>
      <c r="E83" s="12">
        <f>HLOOKUP($D$5,'6.1 Investissements'!$E$4:$BE$186,77,0)</f>
        <v>0</v>
      </c>
    </row>
    <row r="84" spans="1:5" x14ac:dyDescent="0.25">
      <c r="C84" s="7">
        <v>589</v>
      </c>
      <c r="D84" s="7" t="s">
        <v>476</v>
      </c>
      <c r="E84" s="12">
        <f>HLOOKUP($D$5,'6.1 Investissements'!$E$4:$BE$186,78,0)</f>
        <v>0</v>
      </c>
    </row>
    <row r="86" spans="1:5" x14ac:dyDescent="0.25">
      <c r="B86" s="76">
        <v>59</v>
      </c>
      <c r="C86" s="76"/>
      <c r="D86" s="76" t="s">
        <v>477</v>
      </c>
      <c r="E86" s="96">
        <f>SUM(E87)</f>
        <v>0</v>
      </c>
    </row>
    <row r="87" spans="1:5" x14ac:dyDescent="0.25">
      <c r="C87" s="7">
        <v>590</v>
      </c>
      <c r="D87" s="7" t="s">
        <v>477</v>
      </c>
      <c r="E87" s="12">
        <f>HLOOKUP($D$5,'6.1 Investissements'!$E$4:$BE$186,81,0)</f>
        <v>0</v>
      </c>
    </row>
    <row r="91" spans="1:5" ht="21" x14ac:dyDescent="0.4">
      <c r="A91" s="127">
        <v>6</v>
      </c>
      <c r="B91" s="127"/>
      <c r="C91" s="127"/>
      <c r="D91" s="127" t="s">
        <v>478</v>
      </c>
      <c r="E91" s="132">
        <f>HLOOKUP($D$5,'6.1 Investissements'!$E$4:$BE$186,85,0)</f>
        <v>0</v>
      </c>
    </row>
    <row r="92" spans="1:5" x14ac:dyDescent="0.25">
      <c r="A92" s="6"/>
      <c r="B92" s="128">
        <v>60</v>
      </c>
      <c r="C92" s="128"/>
      <c r="D92" s="128" t="s">
        <v>479</v>
      </c>
      <c r="E92" s="129">
        <f>SUM(E93:E100)</f>
        <v>0</v>
      </c>
    </row>
    <row r="93" spans="1:5" x14ac:dyDescent="0.25">
      <c r="C93" s="7">
        <v>600</v>
      </c>
      <c r="D93" s="7" t="s">
        <v>453</v>
      </c>
      <c r="E93" s="12">
        <f>HLOOKUP($D$5,'6.1 Investissements'!$E$4:$BE$186,87,0)</f>
        <v>0</v>
      </c>
    </row>
    <row r="94" spans="1:5" x14ac:dyDescent="0.25">
      <c r="C94" s="7">
        <v>601</v>
      </c>
      <c r="D94" s="7" t="s">
        <v>454</v>
      </c>
      <c r="E94" s="12">
        <f>HLOOKUP($D$5,'6.1 Investissements'!$E$4:$BE$186,88,0)</f>
        <v>0</v>
      </c>
    </row>
    <row r="95" spans="1:5" x14ac:dyDescent="0.25">
      <c r="C95" s="7">
        <v>602</v>
      </c>
      <c r="D95" s="7" t="s">
        <v>455</v>
      </c>
      <c r="E95" s="12">
        <f>HLOOKUP($D$5,'6.1 Investissements'!$E$4:$BE$186,89,0)</f>
        <v>0</v>
      </c>
    </row>
    <row r="96" spans="1:5" x14ac:dyDescent="0.25">
      <c r="C96" s="7">
        <v>603</v>
      </c>
      <c r="D96" s="7" t="s">
        <v>456</v>
      </c>
      <c r="E96" s="12">
        <f>HLOOKUP($D$5,'6.1 Investissements'!$E$4:$BE$186,90,0)</f>
        <v>0</v>
      </c>
    </row>
    <row r="97" spans="2:5" x14ac:dyDescent="0.25">
      <c r="C97" s="7">
        <v>604</v>
      </c>
      <c r="D97" s="7" t="s">
        <v>457</v>
      </c>
      <c r="E97" s="12">
        <f>HLOOKUP($D$5,'6.1 Investissements'!$E$4:$BE$186,91,0)</f>
        <v>0</v>
      </c>
    </row>
    <row r="98" spans="2:5" x14ac:dyDescent="0.25">
      <c r="C98" s="7">
        <v>605</v>
      </c>
      <c r="D98" s="7" t="s">
        <v>458</v>
      </c>
      <c r="E98" s="12">
        <f>HLOOKUP($D$5,'6.1 Investissements'!$E$4:$BE$186,92,0)</f>
        <v>0</v>
      </c>
    </row>
    <row r="99" spans="2:5" x14ac:dyDescent="0.25">
      <c r="C99" s="7">
        <v>606</v>
      </c>
      <c r="D99" s="7" t="s">
        <v>459</v>
      </c>
      <c r="E99" s="12">
        <f>HLOOKUP($D$5,'6.1 Investissements'!$E$4:$BE$186,93,0)</f>
        <v>0</v>
      </c>
    </row>
    <row r="100" spans="2:5" x14ac:dyDescent="0.25">
      <c r="C100" s="7">
        <v>609</v>
      </c>
      <c r="D100" s="7" t="s">
        <v>460</v>
      </c>
      <c r="E100" s="12">
        <f>HLOOKUP($D$5,'6.1 Investissements'!$E$4:$BE$186,94,0)</f>
        <v>0</v>
      </c>
    </row>
    <row r="102" spans="2:5" x14ac:dyDescent="0.25">
      <c r="B102" s="128">
        <v>61</v>
      </c>
      <c r="C102" s="128"/>
      <c r="D102" s="128" t="s">
        <v>480</v>
      </c>
      <c r="E102" s="129">
        <f>SUM(E103:E110)</f>
        <v>0</v>
      </c>
    </row>
    <row r="103" spans="2:5" x14ac:dyDescent="0.25">
      <c r="C103" s="7">
        <v>610</v>
      </c>
      <c r="D103" s="7" t="s">
        <v>453</v>
      </c>
      <c r="E103" s="12">
        <f>HLOOKUP($D$5,'6.1 Investissements'!$E$4:$BE$186,97,0)</f>
        <v>0</v>
      </c>
    </row>
    <row r="104" spans="2:5" x14ac:dyDescent="0.25">
      <c r="C104" s="7">
        <v>611</v>
      </c>
      <c r="D104" s="7" t="s">
        <v>454</v>
      </c>
      <c r="E104" s="12">
        <f>HLOOKUP($D$5,'6.1 Investissements'!$E$4:$BE$186,98,0)</f>
        <v>0</v>
      </c>
    </row>
    <row r="105" spans="2:5" x14ac:dyDescent="0.25">
      <c r="C105" s="7">
        <v>612</v>
      </c>
      <c r="D105" s="7" t="s">
        <v>455</v>
      </c>
      <c r="E105" s="12">
        <f>HLOOKUP($D$5,'6.1 Investissements'!$E$4:$BE$186,99,0)</f>
        <v>0</v>
      </c>
    </row>
    <row r="106" spans="2:5" x14ac:dyDescent="0.25">
      <c r="C106" s="7">
        <v>613</v>
      </c>
      <c r="D106" s="7" t="s">
        <v>456</v>
      </c>
      <c r="E106" s="12">
        <f>HLOOKUP($D$5,'6.1 Investissements'!$E$4:$BE$186,100,0)</f>
        <v>0</v>
      </c>
    </row>
    <row r="107" spans="2:5" x14ac:dyDescent="0.25">
      <c r="C107" s="7">
        <v>614</v>
      </c>
      <c r="D107" s="7" t="s">
        <v>457</v>
      </c>
      <c r="E107" s="12">
        <f>HLOOKUP($D$5,'6.1 Investissements'!$E$4:$BE$186,101,0)</f>
        <v>0</v>
      </c>
    </row>
    <row r="108" spans="2:5" x14ac:dyDescent="0.25">
      <c r="C108" s="7">
        <v>615</v>
      </c>
      <c r="D108" s="7" t="s">
        <v>458</v>
      </c>
      <c r="E108" s="12">
        <f>HLOOKUP($D$5,'6.1 Investissements'!$E$4:$BE$186,102,0)</f>
        <v>0</v>
      </c>
    </row>
    <row r="109" spans="2:5" x14ac:dyDescent="0.25">
      <c r="C109" s="7">
        <v>616</v>
      </c>
      <c r="D109" s="7" t="s">
        <v>459</v>
      </c>
      <c r="E109" s="12">
        <f>HLOOKUP($D$5,'6.1 Investissements'!$E$4:$BE$186,103,0)</f>
        <v>0</v>
      </c>
    </row>
    <row r="110" spans="2:5" x14ac:dyDescent="0.25">
      <c r="C110" s="7">
        <v>619</v>
      </c>
      <c r="D110" s="7" t="s">
        <v>460</v>
      </c>
      <c r="E110" s="12">
        <f>HLOOKUP($D$5,'6.1 Investissements'!$E$4:$BE$186,104,0)</f>
        <v>0</v>
      </c>
    </row>
    <row r="112" spans="2:5" x14ac:dyDescent="0.25">
      <c r="B112" s="128">
        <v>62</v>
      </c>
      <c r="C112" s="128"/>
      <c r="D112" s="128" t="s">
        <v>481</v>
      </c>
      <c r="E112" s="129">
        <f>SUM(E113:E115)</f>
        <v>0</v>
      </c>
    </row>
    <row r="113" spans="2:5" x14ac:dyDescent="0.25">
      <c r="C113" s="7">
        <v>620</v>
      </c>
      <c r="D113" s="7" t="s">
        <v>363</v>
      </c>
      <c r="E113" s="12">
        <f>HLOOKUP($D$5,'6.1 Investissements'!$E$4:$BE$186,107,0)</f>
        <v>0</v>
      </c>
    </row>
    <row r="114" spans="2:5" x14ac:dyDescent="0.25">
      <c r="C114" s="7">
        <v>621</v>
      </c>
      <c r="D114" s="7" t="s">
        <v>364</v>
      </c>
      <c r="E114" s="12">
        <f>HLOOKUP($D$5,'6.1 Investissements'!$E$4:$BE$186,108,0)</f>
        <v>0</v>
      </c>
    </row>
    <row r="115" spans="2:5" x14ac:dyDescent="0.25">
      <c r="C115" s="7">
        <v>629</v>
      </c>
      <c r="D115" s="7" t="s">
        <v>462</v>
      </c>
      <c r="E115" s="12">
        <f>HLOOKUP($D$5,'6.1 Investissements'!$E$4:$BE$186,109,0)</f>
        <v>0</v>
      </c>
    </row>
    <row r="117" spans="2:5" x14ac:dyDescent="0.25">
      <c r="B117" s="128">
        <v>63</v>
      </c>
      <c r="C117" s="128"/>
      <c r="D117" s="128" t="s">
        <v>482</v>
      </c>
      <c r="E117" s="129">
        <f>SUM(E118:E126)</f>
        <v>0</v>
      </c>
    </row>
    <row r="118" spans="2:5" x14ac:dyDescent="0.25">
      <c r="C118" s="7">
        <v>630</v>
      </c>
      <c r="D118" s="7" t="s">
        <v>463</v>
      </c>
      <c r="E118" s="12">
        <f>HLOOKUP($D$5,'6.1 Investissements'!$E$4:$BE$186,112,0)</f>
        <v>0</v>
      </c>
    </row>
    <row r="119" spans="2:5" x14ac:dyDescent="0.25">
      <c r="C119" s="7">
        <v>631</v>
      </c>
      <c r="D119" s="7" t="s">
        <v>464</v>
      </c>
      <c r="E119" s="12">
        <f>HLOOKUP($D$5,'6.1 Investissements'!$E$4:$BE$186,113,0)</f>
        <v>0</v>
      </c>
    </row>
    <row r="120" spans="2:5" x14ac:dyDescent="0.25">
      <c r="C120" s="7">
        <v>632</v>
      </c>
      <c r="D120" s="7" t="s">
        <v>465</v>
      </c>
      <c r="E120" s="12">
        <f>HLOOKUP($D$5,'6.1 Investissements'!$E$4:$BE$186,114,0)</f>
        <v>0</v>
      </c>
    </row>
    <row r="121" spans="2:5" x14ac:dyDescent="0.25">
      <c r="C121" s="7">
        <v>633</v>
      </c>
      <c r="D121" s="7" t="s">
        <v>466</v>
      </c>
      <c r="E121" s="12">
        <f>HLOOKUP($D$5,'6.1 Investissements'!$E$4:$BE$186,115,0)</f>
        <v>0</v>
      </c>
    </row>
    <row r="122" spans="2:5" x14ac:dyDescent="0.25">
      <c r="C122" s="7">
        <v>634</v>
      </c>
      <c r="D122" s="7" t="s">
        <v>467</v>
      </c>
      <c r="E122" s="12">
        <f>HLOOKUP($D$5,'6.1 Investissements'!$E$4:$BE$186,116,0)</f>
        <v>0</v>
      </c>
    </row>
    <row r="123" spans="2:5" x14ac:dyDescent="0.25">
      <c r="C123" s="7">
        <v>635</v>
      </c>
      <c r="D123" s="7" t="s">
        <v>468</v>
      </c>
      <c r="E123" s="12">
        <f>HLOOKUP($D$5,'6.1 Investissements'!$E$4:$BE$186,117,0)</f>
        <v>0</v>
      </c>
    </row>
    <row r="124" spans="2:5" x14ac:dyDescent="0.25">
      <c r="C124" s="7">
        <v>636</v>
      </c>
      <c r="D124" s="7" t="s">
        <v>469</v>
      </c>
      <c r="E124" s="12">
        <f>HLOOKUP($D$5,'6.1 Investissements'!$E$4:$BE$186,118,0)</f>
        <v>0</v>
      </c>
    </row>
    <row r="125" spans="2:5" x14ac:dyDescent="0.25">
      <c r="C125" s="7">
        <v>637</v>
      </c>
      <c r="D125" s="7" t="s">
        <v>470</v>
      </c>
      <c r="E125" s="12">
        <f>HLOOKUP($D$5,'6.1 Investissements'!$E$4:$BE$186,119,0)</f>
        <v>0</v>
      </c>
    </row>
    <row r="126" spans="2:5" x14ac:dyDescent="0.25">
      <c r="C126" s="7">
        <v>638</v>
      </c>
      <c r="D126" s="7" t="s">
        <v>471</v>
      </c>
      <c r="E126" s="12">
        <f>HLOOKUP($D$5,'6.1 Investissements'!$E$4:$BE$186,120,0)</f>
        <v>0</v>
      </c>
    </row>
    <row r="128" spans="2:5" x14ac:dyDescent="0.25">
      <c r="B128" s="128">
        <v>64</v>
      </c>
      <c r="C128" s="128"/>
      <c r="D128" s="128" t="s">
        <v>483</v>
      </c>
      <c r="E128" s="129">
        <f>SUM(E129:E137)</f>
        <v>0</v>
      </c>
    </row>
    <row r="129" spans="2:5" x14ac:dyDescent="0.25">
      <c r="C129" s="7">
        <v>640</v>
      </c>
      <c r="D129" s="7" t="s">
        <v>463</v>
      </c>
      <c r="E129" s="12">
        <f>HLOOKUP($D$5,'6.1 Investissements'!$E$4:$BE$186,123,0)</f>
        <v>0</v>
      </c>
    </row>
    <row r="130" spans="2:5" x14ac:dyDescent="0.25">
      <c r="C130" s="7">
        <v>641</v>
      </c>
      <c r="D130" s="7" t="s">
        <v>464</v>
      </c>
      <c r="E130" s="12">
        <f>HLOOKUP($D$5,'6.1 Investissements'!$E$4:$BE$186,124,0)</f>
        <v>0</v>
      </c>
    </row>
    <row r="131" spans="2:5" x14ac:dyDescent="0.25">
      <c r="C131" s="7">
        <v>642</v>
      </c>
      <c r="D131" s="7" t="s">
        <v>465</v>
      </c>
      <c r="E131" s="12">
        <f>HLOOKUP($D$5,'6.1 Investissements'!$E$4:$BE$186,125,0)</f>
        <v>0</v>
      </c>
    </row>
    <row r="132" spans="2:5" x14ac:dyDescent="0.25">
      <c r="C132" s="7">
        <v>643</v>
      </c>
      <c r="D132" s="7" t="s">
        <v>466</v>
      </c>
      <c r="E132" s="12">
        <f>HLOOKUP($D$5,'6.1 Investissements'!$E$4:$BE$186,126,0)</f>
        <v>0</v>
      </c>
    </row>
    <row r="133" spans="2:5" x14ac:dyDescent="0.25">
      <c r="C133" s="7">
        <v>644</v>
      </c>
      <c r="D133" s="7" t="s">
        <v>467</v>
      </c>
      <c r="E133" s="12">
        <f>HLOOKUP($D$5,'6.1 Investissements'!$E$4:$BE$186,127,0)</f>
        <v>0</v>
      </c>
    </row>
    <row r="134" spans="2:5" x14ac:dyDescent="0.25">
      <c r="C134" s="7">
        <v>645</v>
      </c>
      <c r="D134" s="7" t="s">
        <v>468</v>
      </c>
      <c r="E134" s="12">
        <f>HLOOKUP($D$5,'6.1 Investissements'!$E$4:$BE$186,128,0)</f>
        <v>0</v>
      </c>
    </row>
    <row r="135" spans="2:5" x14ac:dyDescent="0.25">
      <c r="C135" s="7">
        <v>646</v>
      </c>
      <c r="D135" s="7" t="s">
        <v>469</v>
      </c>
      <c r="E135" s="12">
        <f>HLOOKUP($D$5,'6.1 Investissements'!$E$4:$BE$186,129,0)</f>
        <v>0</v>
      </c>
    </row>
    <row r="136" spans="2:5" x14ac:dyDescent="0.25">
      <c r="C136" s="7">
        <v>647</v>
      </c>
      <c r="D136" s="7" t="s">
        <v>470</v>
      </c>
      <c r="E136" s="12">
        <f>HLOOKUP($D$5,'6.1 Investissements'!$E$4:$BE$186,130,0)</f>
        <v>0</v>
      </c>
    </row>
    <row r="137" spans="2:5" x14ac:dyDescent="0.25">
      <c r="C137" s="7">
        <v>648</v>
      </c>
      <c r="D137" s="7" t="s">
        <v>471</v>
      </c>
      <c r="E137" s="12">
        <f>HLOOKUP($D$5,'6.1 Investissements'!$E$4:$BE$186,131,0)</f>
        <v>0</v>
      </c>
    </row>
    <row r="139" spans="2:5" x14ac:dyDescent="0.25">
      <c r="B139" s="128">
        <v>65</v>
      </c>
      <c r="C139" s="128"/>
      <c r="D139" s="128" t="s">
        <v>484</v>
      </c>
      <c r="E139" s="129">
        <f>SUM(E140:E148)</f>
        <v>0</v>
      </c>
    </row>
    <row r="140" spans="2:5" x14ac:dyDescent="0.25">
      <c r="C140" s="7">
        <v>650</v>
      </c>
      <c r="D140" s="7" t="s">
        <v>463</v>
      </c>
      <c r="E140" s="12">
        <f>HLOOKUP($D$5,'6.1 Investissements'!$E$4:$BE$186,134,0)</f>
        <v>0</v>
      </c>
    </row>
    <row r="141" spans="2:5" x14ac:dyDescent="0.25">
      <c r="C141" s="7">
        <v>651</v>
      </c>
      <c r="D141" s="7" t="s">
        <v>464</v>
      </c>
      <c r="E141" s="12">
        <f>HLOOKUP($D$5,'6.1 Investissements'!$E$4:$BE$186,135,0)</f>
        <v>0</v>
      </c>
    </row>
    <row r="142" spans="2:5" x14ac:dyDescent="0.25">
      <c r="C142" s="7">
        <v>652</v>
      </c>
      <c r="D142" s="7" t="s">
        <v>465</v>
      </c>
      <c r="E142" s="12">
        <f>HLOOKUP($D$5,'6.1 Investissements'!$E$4:$BE$186,136,0)</f>
        <v>0</v>
      </c>
    </row>
    <row r="143" spans="2:5" x14ac:dyDescent="0.25">
      <c r="C143" s="7">
        <v>653</v>
      </c>
      <c r="D143" s="7" t="s">
        <v>466</v>
      </c>
      <c r="E143" s="12">
        <f>HLOOKUP($D$5,'6.1 Investissements'!$E$4:$BE$186,137,0)</f>
        <v>0</v>
      </c>
    </row>
    <row r="144" spans="2:5" x14ac:dyDescent="0.25">
      <c r="C144" s="7">
        <v>654</v>
      </c>
      <c r="D144" s="7" t="s">
        <v>467</v>
      </c>
      <c r="E144" s="12">
        <f>HLOOKUP($D$5,'6.1 Investissements'!$E$4:$BE$186,138,0)</f>
        <v>0</v>
      </c>
    </row>
    <row r="145" spans="2:5" x14ac:dyDescent="0.25">
      <c r="C145" s="7">
        <v>655</v>
      </c>
      <c r="D145" s="7" t="s">
        <v>468</v>
      </c>
      <c r="E145" s="12">
        <f>HLOOKUP($D$5,'6.1 Investissements'!$E$4:$BE$186,139,0)</f>
        <v>0</v>
      </c>
    </row>
    <row r="146" spans="2:5" x14ac:dyDescent="0.25">
      <c r="C146" s="7">
        <v>656</v>
      </c>
      <c r="D146" s="7" t="s">
        <v>469</v>
      </c>
      <c r="E146" s="12">
        <f>HLOOKUP($D$5,'6.1 Investissements'!$E$4:$BE$186,140,0)</f>
        <v>0</v>
      </c>
    </row>
    <row r="147" spans="2:5" x14ac:dyDescent="0.25">
      <c r="C147" s="7">
        <v>657</v>
      </c>
      <c r="D147" s="7" t="s">
        <v>470</v>
      </c>
      <c r="E147" s="12">
        <f>HLOOKUP($D$5,'6.1 Investissements'!$E$4:$BE$186,141,0)</f>
        <v>0</v>
      </c>
    </row>
    <row r="148" spans="2:5" x14ac:dyDescent="0.25">
      <c r="C148" s="7">
        <v>658</v>
      </c>
      <c r="D148" s="7" t="s">
        <v>471</v>
      </c>
      <c r="E148" s="12">
        <f>HLOOKUP($D$5,'6.1 Investissements'!$E$4:$BE$186,142,0)</f>
        <v>0</v>
      </c>
    </row>
    <row r="150" spans="2:5" x14ac:dyDescent="0.25">
      <c r="B150" s="128">
        <v>66</v>
      </c>
      <c r="C150" s="128"/>
      <c r="D150" s="128" t="s">
        <v>485</v>
      </c>
      <c r="E150" s="129">
        <f>SUM(E151:E159)</f>
        <v>0</v>
      </c>
    </row>
    <row r="151" spans="2:5" x14ac:dyDescent="0.25">
      <c r="C151" s="7">
        <v>660</v>
      </c>
      <c r="D151" s="7" t="s">
        <v>463</v>
      </c>
      <c r="E151" s="12">
        <f>HLOOKUP($D$5,'6.1 Investissements'!$E$4:$BE$186,145,0)</f>
        <v>0</v>
      </c>
    </row>
    <row r="152" spans="2:5" x14ac:dyDescent="0.25">
      <c r="C152" s="7">
        <v>661</v>
      </c>
      <c r="D152" s="7" t="s">
        <v>464</v>
      </c>
      <c r="E152" s="12">
        <f>HLOOKUP($D$5,'6.1 Investissements'!$E$4:$BE$186,146,0)</f>
        <v>0</v>
      </c>
    </row>
    <row r="153" spans="2:5" x14ac:dyDescent="0.25">
      <c r="C153" s="7">
        <v>662</v>
      </c>
      <c r="D153" s="7" t="s">
        <v>465</v>
      </c>
      <c r="E153" s="12">
        <f>HLOOKUP($D$5,'6.1 Investissements'!$E$4:$BE$186,147,0)</f>
        <v>0</v>
      </c>
    </row>
    <row r="154" spans="2:5" x14ac:dyDescent="0.25">
      <c r="C154" s="7">
        <v>663</v>
      </c>
      <c r="D154" s="7" t="s">
        <v>466</v>
      </c>
      <c r="E154" s="12">
        <f>HLOOKUP($D$5,'6.1 Investissements'!$E$4:$BE$186,148,0)</f>
        <v>0</v>
      </c>
    </row>
    <row r="155" spans="2:5" x14ac:dyDescent="0.25">
      <c r="C155" s="7">
        <v>664</v>
      </c>
      <c r="D155" s="7" t="s">
        <v>467</v>
      </c>
      <c r="E155" s="12">
        <f>HLOOKUP($D$5,'6.1 Investissements'!$E$4:$BE$186,149,0)</f>
        <v>0</v>
      </c>
    </row>
    <row r="156" spans="2:5" x14ac:dyDescent="0.25">
      <c r="C156" s="7">
        <v>665</v>
      </c>
      <c r="D156" s="7" t="s">
        <v>468</v>
      </c>
      <c r="E156" s="12">
        <f>HLOOKUP($D$5,'6.1 Investissements'!$E$4:$BE$186,150,0)</f>
        <v>0</v>
      </c>
    </row>
    <row r="157" spans="2:5" x14ac:dyDescent="0.25">
      <c r="C157" s="7">
        <v>666</v>
      </c>
      <c r="D157" s="7" t="s">
        <v>469</v>
      </c>
      <c r="E157" s="12">
        <f>HLOOKUP($D$5,'6.1 Investissements'!$E$4:$BE$186,151,0)</f>
        <v>0</v>
      </c>
    </row>
    <row r="158" spans="2:5" x14ac:dyDescent="0.25">
      <c r="C158" s="7">
        <v>667</v>
      </c>
      <c r="D158" s="7" t="s">
        <v>470</v>
      </c>
      <c r="E158" s="12">
        <f>HLOOKUP($D$5,'6.1 Investissements'!$E$4:$BE$186,152,0)</f>
        <v>0</v>
      </c>
    </row>
    <row r="159" spans="2:5" x14ac:dyDescent="0.25">
      <c r="C159" s="7">
        <v>668</v>
      </c>
      <c r="D159" s="7" t="s">
        <v>471</v>
      </c>
      <c r="E159" s="12">
        <f>HLOOKUP($D$5,'6.1 Investissements'!$E$4:$BE$186,153,0)</f>
        <v>0</v>
      </c>
    </row>
    <row r="161" spans="2:5" x14ac:dyDescent="0.25">
      <c r="B161" s="128">
        <v>67</v>
      </c>
      <c r="C161" s="128"/>
      <c r="D161" s="128" t="s">
        <v>473</v>
      </c>
      <c r="E161" s="129">
        <f>SUM(E162:E170)</f>
        <v>0</v>
      </c>
    </row>
    <row r="162" spans="2:5" x14ac:dyDescent="0.25">
      <c r="C162" s="7">
        <v>670</v>
      </c>
      <c r="D162" s="7" t="s">
        <v>463</v>
      </c>
      <c r="E162" s="12">
        <f>HLOOKUP($D$5,'6.1 Investissements'!$E$4:$BE$186,156,0)</f>
        <v>0</v>
      </c>
    </row>
    <row r="163" spans="2:5" x14ac:dyDescent="0.25">
      <c r="C163" s="7">
        <v>671</v>
      </c>
      <c r="D163" s="7" t="s">
        <v>464</v>
      </c>
      <c r="E163" s="12">
        <f>HLOOKUP($D$5,'6.1 Investissements'!$E$4:$BE$186,157,0)</f>
        <v>0</v>
      </c>
    </row>
    <row r="164" spans="2:5" x14ac:dyDescent="0.25">
      <c r="C164" s="7">
        <v>672</v>
      </c>
      <c r="D164" s="7" t="s">
        <v>465</v>
      </c>
      <c r="E164" s="12">
        <f>HLOOKUP($D$5,'6.1 Investissements'!$E$4:$BE$186,158,0)</f>
        <v>0</v>
      </c>
    </row>
    <row r="165" spans="2:5" x14ac:dyDescent="0.25">
      <c r="C165" s="7">
        <v>673</v>
      </c>
      <c r="D165" s="7" t="s">
        <v>466</v>
      </c>
      <c r="E165" s="12">
        <f>HLOOKUP($D$5,'6.1 Investissements'!$E$4:$BE$186,159,0)</f>
        <v>0</v>
      </c>
    </row>
    <row r="166" spans="2:5" x14ac:dyDescent="0.25">
      <c r="C166" s="7">
        <v>674</v>
      </c>
      <c r="D166" s="7" t="s">
        <v>467</v>
      </c>
      <c r="E166" s="12">
        <f>HLOOKUP($D$5,'6.1 Investissements'!$E$4:$BE$186,160,0)</f>
        <v>0</v>
      </c>
    </row>
    <row r="167" spans="2:5" x14ac:dyDescent="0.25">
      <c r="C167" s="7">
        <v>675</v>
      </c>
      <c r="D167" s="7" t="s">
        <v>468</v>
      </c>
      <c r="E167" s="12">
        <f>HLOOKUP($D$5,'6.1 Investissements'!$E$4:$BE$186,161,0)</f>
        <v>0</v>
      </c>
    </row>
    <row r="168" spans="2:5" x14ac:dyDescent="0.25">
      <c r="C168" s="7">
        <v>676</v>
      </c>
      <c r="D168" s="7" t="s">
        <v>469</v>
      </c>
      <c r="E168" s="12">
        <f>HLOOKUP($D$5,'6.1 Investissements'!$E$4:$BE$186,162,0)</f>
        <v>0</v>
      </c>
    </row>
    <row r="169" spans="2:5" x14ac:dyDescent="0.25">
      <c r="C169" s="7">
        <v>677</v>
      </c>
      <c r="D169" s="7" t="s">
        <v>470</v>
      </c>
      <c r="E169" s="12">
        <f>HLOOKUP($D$5,'6.1 Investissements'!$E$4:$BE$186,163,0)</f>
        <v>0</v>
      </c>
    </row>
    <row r="170" spans="2:5" x14ac:dyDescent="0.25">
      <c r="C170" s="7">
        <v>678</v>
      </c>
      <c r="D170" s="7" t="s">
        <v>471</v>
      </c>
      <c r="E170" s="12">
        <f>HLOOKUP($D$5,'6.1 Investissements'!$E$4:$BE$186,164,0)</f>
        <v>0</v>
      </c>
    </row>
    <row r="172" spans="2:5" x14ac:dyDescent="0.25">
      <c r="B172" s="128">
        <v>68</v>
      </c>
      <c r="C172" s="128"/>
      <c r="D172" s="128" t="s">
        <v>486</v>
      </c>
      <c r="E172" s="133">
        <f>SUM(E173:E179)</f>
        <v>0</v>
      </c>
    </row>
    <row r="173" spans="2:5" x14ac:dyDescent="0.25">
      <c r="C173" s="7">
        <v>680</v>
      </c>
      <c r="D173" s="7" t="s">
        <v>451</v>
      </c>
      <c r="E173" s="12">
        <f>HLOOKUP($D$5,'6.1 Investissements'!$E$4:$BE$186,167,0)</f>
        <v>0</v>
      </c>
    </row>
    <row r="174" spans="2:5" x14ac:dyDescent="0.25">
      <c r="C174" s="7">
        <v>682</v>
      </c>
      <c r="D174" s="7" t="s">
        <v>461</v>
      </c>
      <c r="E174" s="12">
        <f>HLOOKUP($D$5,'6.1 Investissements'!$E$4:$BE$186,168,0)</f>
        <v>0</v>
      </c>
    </row>
    <row r="175" spans="2:5" x14ac:dyDescent="0.25">
      <c r="C175" s="7">
        <v>683</v>
      </c>
      <c r="D175" s="7" t="s">
        <v>487</v>
      </c>
      <c r="E175" s="12">
        <f>HLOOKUP($D$5,'6.1 Investissements'!$E$4:$BE$186,169,0)</f>
        <v>0</v>
      </c>
    </row>
    <row r="176" spans="2:5" x14ac:dyDescent="0.25">
      <c r="C176" s="7">
        <v>684</v>
      </c>
      <c r="D176" s="7" t="s">
        <v>249</v>
      </c>
      <c r="E176" s="12">
        <f>HLOOKUP($D$5,'6.1 Investissements'!$E$4:$BE$186,170,0)</f>
        <v>0</v>
      </c>
    </row>
    <row r="177" spans="2:5" x14ac:dyDescent="0.25">
      <c r="C177" s="7">
        <v>685</v>
      </c>
      <c r="D177" s="7" t="s">
        <v>376</v>
      </c>
      <c r="E177" s="12">
        <f>HLOOKUP($D$5,'6.1 Investissements'!$E$4:$BE$186,171,0)</f>
        <v>0</v>
      </c>
    </row>
    <row r="178" spans="2:5" x14ac:dyDescent="0.25">
      <c r="C178" s="7">
        <v>686</v>
      </c>
      <c r="D178" s="7" t="s">
        <v>488</v>
      </c>
      <c r="E178" s="12">
        <f>HLOOKUP($D$5,'6.1 Investissements'!$E$4:$BE$186,172,0)</f>
        <v>0</v>
      </c>
    </row>
    <row r="179" spans="2:5" x14ac:dyDescent="0.25">
      <c r="C179" s="7">
        <v>689</v>
      </c>
      <c r="D179" s="7" t="s">
        <v>489</v>
      </c>
      <c r="E179" s="12">
        <f>HLOOKUP($D$5,'6.1 Investissements'!$E$4:$BE$186,173,0)</f>
        <v>0</v>
      </c>
    </row>
    <row r="181" spans="2:5" x14ac:dyDescent="0.25">
      <c r="B181" s="128">
        <v>69</v>
      </c>
      <c r="C181" s="128"/>
      <c r="D181" s="128" t="s">
        <v>490</v>
      </c>
      <c r="E181" s="129">
        <f>SUM(E182)</f>
        <v>339692.7</v>
      </c>
    </row>
    <row r="182" spans="2:5" x14ac:dyDescent="0.25">
      <c r="C182" s="7">
        <v>690</v>
      </c>
      <c r="D182" s="7" t="s">
        <v>490</v>
      </c>
      <c r="E182" s="12">
        <f>HLOOKUP($D$5,'6.1 Investissements'!$E$4:$BE$186,176,0)</f>
        <v>339692.7</v>
      </c>
    </row>
    <row r="186" spans="2:5" ht="17.399999999999999" x14ac:dyDescent="0.3">
      <c r="D186" s="134" t="s">
        <v>220</v>
      </c>
      <c r="E186" s="135">
        <f>HLOOKUP($D$5,'6.1 Investissements'!$E$4:$BE$186,180,0)</f>
        <v>339692.69999999995</v>
      </c>
    </row>
  </sheetData>
  <pageMargins left="0.7" right="0.7" top="0.75" bottom="0.75" header="0.3" footer="0.3"/>
  <pageSetup paperSize="9" scale="2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B00-000000000000}">
          <x14:formula1>
            <xm:f>'6.1 Investissements'!$E$4:$BE$4</xm:f>
          </x14:formula1>
          <xm:sqref>D5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5" tint="0.59999389629810485"/>
  </sheetPr>
  <dimension ref="A8:H102"/>
  <sheetViews>
    <sheetView workbookViewId="0"/>
  </sheetViews>
  <sheetFormatPr baseColWidth="10" defaultColWidth="11.44140625" defaultRowHeight="13.8" x14ac:dyDescent="0.25"/>
  <cols>
    <col min="1" max="2" width="11.44140625" style="7" customWidth="1"/>
    <col min="3" max="3" width="14.88671875" style="7" customWidth="1"/>
    <col min="4" max="4" width="11.44140625" style="7" customWidth="1"/>
    <col min="5" max="16384" width="11.44140625" style="7"/>
  </cols>
  <sheetData>
    <row r="8" spans="1:8" ht="17.399999999999999" x14ac:dyDescent="0.3">
      <c r="A8" s="136" t="s">
        <v>491</v>
      </c>
      <c r="B8" s="136"/>
      <c r="C8" s="136"/>
      <c r="D8" s="136"/>
      <c r="E8" s="136"/>
      <c r="F8" s="136"/>
      <c r="G8" s="136"/>
      <c r="H8" s="136"/>
    </row>
    <row r="10" spans="1:8" x14ac:dyDescent="0.25">
      <c r="A10" s="120" t="s">
        <v>634</v>
      </c>
    </row>
    <row r="12" spans="1:8" x14ac:dyDescent="0.25">
      <c r="A12" s="6" t="s">
        <v>492</v>
      </c>
    </row>
    <row r="14" spans="1:8" ht="90" customHeight="1" x14ac:dyDescent="0.25">
      <c r="A14" s="187" t="s">
        <v>635</v>
      </c>
      <c r="B14" s="188"/>
      <c r="C14" s="188"/>
      <c r="D14" s="188"/>
      <c r="E14" s="188"/>
      <c r="F14" s="188"/>
      <c r="G14" s="188"/>
      <c r="H14" s="189"/>
    </row>
    <row r="16" spans="1:8" x14ac:dyDescent="0.25">
      <c r="A16" s="59"/>
      <c r="B16" s="59" t="s">
        <v>636</v>
      </c>
      <c r="C16" s="59" t="s">
        <v>637</v>
      </c>
      <c r="D16" s="7" t="s">
        <v>638</v>
      </c>
    </row>
    <row r="17" spans="1:8" x14ac:dyDescent="0.25">
      <c r="C17" s="59" t="s">
        <v>639</v>
      </c>
      <c r="D17" s="7" t="s">
        <v>640</v>
      </c>
    </row>
    <row r="18" spans="1:8" x14ac:dyDescent="0.25">
      <c r="C18" s="59" t="s">
        <v>641</v>
      </c>
      <c r="D18" s="7" t="s">
        <v>642</v>
      </c>
    </row>
    <row r="19" spans="1:8" x14ac:dyDescent="0.25">
      <c r="C19" s="59" t="s">
        <v>643</v>
      </c>
      <c r="D19" s="7" t="s">
        <v>644</v>
      </c>
    </row>
    <row r="20" spans="1:8" x14ac:dyDescent="0.25">
      <c r="C20" s="59" t="s">
        <v>645</v>
      </c>
      <c r="D20" s="7" t="s">
        <v>646</v>
      </c>
    </row>
    <row r="22" spans="1:8" x14ac:dyDescent="0.25">
      <c r="A22" s="6" t="s">
        <v>503</v>
      </c>
    </row>
    <row r="24" spans="1:8" ht="90" customHeight="1" x14ac:dyDescent="0.25">
      <c r="A24" s="187" t="s">
        <v>647</v>
      </c>
      <c r="B24" s="188"/>
      <c r="C24" s="188"/>
      <c r="D24" s="188"/>
      <c r="E24" s="188"/>
      <c r="F24" s="188"/>
      <c r="G24" s="188"/>
      <c r="H24" s="189"/>
    </row>
    <row r="26" spans="1:8" x14ac:dyDescent="0.25">
      <c r="A26" s="59"/>
      <c r="B26" s="59" t="s">
        <v>648</v>
      </c>
      <c r="C26" s="59" t="s">
        <v>843</v>
      </c>
      <c r="D26" s="7" t="s">
        <v>649</v>
      </c>
    </row>
    <row r="27" spans="1:8" x14ac:dyDescent="0.25">
      <c r="C27" s="59" t="s">
        <v>650</v>
      </c>
      <c r="D27" s="7" t="s">
        <v>651</v>
      </c>
    </row>
    <row r="28" spans="1:8" x14ac:dyDescent="0.25">
      <c r="C28" s="59" t="s">
        <v>652</v>
      </c>
      <c r="D28" s="7" t="s">
        <v>653</v>
      </c>
    </row>
    <row r="30" spans="1:8" x14ac:dyDescent="0.25">
      <c r="A30" s="6" t="s">
        <v>565</v>
      </c>
    </row>
    <row r="32" spans="1:8" ht="90" customHeight="1" x14ac:dyDescent="0.25">
      <c r="A32" s="187" t="s">
        <v>654</v>
      </c>
      <c r="B32" s="188"/>
      <c r="C32" s="188"/>
      <c r="D32" s="188"/>
      <c r="E32" s="188"/>
      <c r="F32" s="188"/>
      <c r="G32" s="188"/>
      <c r="H32" s="189"/>
    </row>
    <row r="34" spans="1:8" x14ac:dyDescent="0.25">
      <c r="A34" s="59"/>
      <c r="B34" s="59" t="s">
        <v>648</v>
      </c>
      <c r="C34" s="59" t="s">
        <v>655</v>
      </c>
      <c r="D34" s="7" t="s">
        <v>656</v>
      </c>
    </row>
    <row r="35" spans="1:8" x14ac:dyDescent="0.25">
      <c r="C35" s="137" t="s">
        <v>657</v>
      </c>
      <c r="D35" s="7" t="s">
        <v>658</v>
      </c>
    </row>
    <row r="36" spans="1:8" x14ac:dyDescent="0.25">
      <c r="C36" s="59" t="s">
        <v>659</v>
      </c>
      <c r="D36" s="7" t="s">
        <v>660</v>
      </c>
    </row>
    <row r="37" spans="1:8" x14ac:dyDescent="0.25">
      <c r="C37" s="59" t="s">
        <v>661</v>
      </c>
      <c r="D37" s="7" t="s">
        <v>662</v>
      </c>
    </row>
    <row r="38" spans="1:8" x14ac:dyDescent="0.25">
      <c r="C38" s="59" t="s">
        <v>844</v>
      </c>
      <c r="D38" s="7" t="s">
        <v>663</v>
      </c>
    </row>
    <row r="40" spans="1:8" x14ac:dyDescent="0.25">
      <c r="A40" s="6" t="s">
        <v>566</v>
      </c>
    </row>
    <row r="42" spans="1:8" ht="90" customHeight="1" x14ac:dyDescent="0.25">
      <c r="A42" s="187" t="s">
        <v>664</v>
      </c>
      <c r="B42" s="188"/>
      <c r="C42" s="188"/>
      <c r="D42" s="188"/>
      <c r="E42" s="188"/>
      <c r="F42" s="188"/>
      <c r="G42" s="188"/>
      <c r="H42" s="189"/>
    </row>
    <row r="44" spans="1:8" x14ac:dyDescent="0.25">
      <c r="A44" s="59"/>
      <c r="B44" s="59" t="s">
        <v>648</v>
      </c>
    </row>
    <row r="45" spans="1:8" x14ac:dyDescent="0.25">
      <c r="C45" s="59" t="s">
        <v>845</v>
      </c>
      <c r="D45" s="7" t="s">
        <v>665</v>
      </c>
    </row>
    <row r="46" spans="1:8" x14ac:dyDescent="0.25">
      <c r="C46" s="59" t="s">
        <v>666</v>
      </c>
      <c r="D46" s="7" t="s">
        <v>667</v>
      </c>
    </row>
    <row r="47" spans="1:8" x14ac:dyDescent="0.25">
      <c r="C47" s="59" t="s">
        <v>668</v>
      </c>
      <c r="D47" s="7" t="s">
        <v>669</v>
      </c>
    </row>
    <row r="48" spans="1:8" x14ac:dyDescent="0.25">
      <c r="C48" s="59" t="s">
        <v>670</v>
      </c>
      <c r="D48" s="7" t="s">
        <v>671</v>
      </c>
    </row>
    <row r="49" spans="1:8" x14ac:dyDescent="0.25">
      <c r="C49" s="59" t="s">
        <v>672</v>
      </c>
      <c r="D49" s="7" t="s">
        <v>673</v>
      </c>
    </row>
    <row r="51" spans="1:8" x14ac:dyDescent="0.25">
      <c r="A51" s="6" t="s">
        <v>525</v>
      </c>
    </row>
    <row r="53" spans="1:8" ht="90" customHeight="1" x14ac:dyDescent="0.25">
      <c r="A53" s="187" t="s">
        <v>674</v>
      </c>
      <c r="B53" s="188"/>
      <c r="C53" s="188"/>
      <c r="D53" s="188"/>
      <c r="E53" s="188"/>
      <c r="F53" s="188"/>
      <c r="G53" s="188"/>
      <c r="H53" s="189"/>
    </row>
    <row r="55" spans="1:8" x14ac:dyDescent="0.25">
      <c r="A55" s="59"/>
      <c r="B55" s="59" t="s">
        <v>648</v>
      </c>
      <c r="C55" s="59" t="s">
        <v>846</v>
      </c>
      <c r="D55" s="7" t="s">
        <v>675</v>
      </c>
    </row>
    <row r="56" spans="1:8" x14ac:dyDescent="0.25">
      <c r="C56" s="59" t="s">
        <v>676</v>
      </c>
      <c r="D56" s="7" t="s">
        <v>677</v>
      </c>
    </row>
    <row r="57" spans="1:8" x14ac:dyDescent="0.25">
      <c r="C57" s="59" t="s">
        <v>678</v>
      </c>
      <c r="D57" s="7" t="s">
        <v>679</v>
      </c>
    </row>
    <row r="58" spans="1:8" x14ac:dyDescent="0.25">
      <c r="C58" s="59" t="s">
        <v>680</v>
      </c>
      <c r="D58" s="7" t="s">
        <v>681</v>
      </c>
    </row>
    <row r="60" spans="1:8" x14ac:dyDescent="0.25">
      <c r="A60" s="6" t="s">
        <v>567</v>
      </c>
    </row>
    <row r="62" spans="1:8" ht="90" customHeight="1" x14ac:dyDescent="0.25">
      <c r="A62" s="187" t="s">
        <v>682</v>
      </c>
      <c r="B62" s="188"/>
      <c r="C62" s="188"/>
      <c r="D62" s="188"/>
      <c r="E62" s="188"/>
      <c r="F62" s="188"/>
      <c r="G62" s="188"/>
      <c r="H62" s="189"/>
    </row>
    <row r="64" spans="1:8" x14ac:dyDescent="0.25">
      <c r="A64" s="59"/>
      <c r="B64" s="59" t="s">
        <v>648</v>
      </c>
      <c r="C64" s="138" t="s">
        <v>683</v>
      </c>
      <c r="D64" s="7" t="s">
        <v>684</v>
      </c>
    </row>
    <row r="65" spans="1:8" x14ac:dyDescent="0.25">
      <c r="C65" s="59" t="s">
        <v>685</v>
      </c>
      <c r="D65" s="7" t="s">
        <v>686</v>
      </c>
    </row>
    <row r="66" spans="1:8" x14ac:dyDescent="0.25">
      <c r="C66" s="59" t="s">
        <v>687</v>
      </c>
      <c r="D66" s="7" t="s">
        <v>688</v>
      </c>
    </row>
    <row r="67" spans="1:8" x14ac:dyDescent="0.25">
      <c r="C67" s="59" t="s">
        <v>689</v>
      </c>
      <c r="D67" s="7" t="s">
        <v>690</v>
      </c>
    </row>
    <row r="69" spans="1:8" x14ac:dyDescent="0.25">
      <c r="A69" s="6" t="s">
        <v>538</v>
      </c>
    </row>
    <row r="71" spans="1:8" ht="90" customHeight="1" x14ac:dyDescent="0.25">
      <c r="A71" s="187" t="s">
        <v>691</v>
      </c>
      <c r="B71" s="188"/>
      <c r="C71" s="188"/>
      <c r="D71" s="188"/>
      <c r="E71" s="188"/>
      <c r="F71" s="188"/>
      <c r="G71" s="188"/>
      <c r="H71" s="189"/>
    </row>
    <row r="73" spans="1:8" x14ac:dyDescent="0.25">
      <c r="A73" s="59"/>
      <c r="B73" s="59" t="s">
        <v>648</v>
      </c>
      <c r="C73" s="59" t="s">
        <v>692</v>
      </c>
      <c r="D73" s="7" t="s">
        <v>693</v>
      </c>
    </row>
    <row r="74" spans="1:8" x14ac:dyDescent="0.25">
      <c r="C74" s="59" t="s">
        <v>694</v>
      </c>
      <c r="D74" s="7" t="s">
        <v>695</v>
      </c>
    </row>
    <row r="75" spans="1:8" x14ac:dyDescent="0.25">
      <c r="C75" s="59" t="s">
        <v>696</v>
      </c>
      <c r="D75" s="7" t="s">
        <v>697</v>
      </c>
    </row>
    <row r="76" spans="1:8" x14ac:dyDescent="0.25">
      <c r="C76" s="59" t="s">
        <v>698</v>
      </c>
      <c r="D76" s="7" t="s">
        <v>699</v>
      </c>
    </row>
    <row r="77" spans="1:8" x14ac:dyDescent="0.25">
      <c r="C77" s="59" t="s">
        <v>700</v>
      </c>
      <c r="D77" s="7" t="s">
        <v>701</v>
      </c>
    </row>
    <row r="79" spans="1:8" x14ac:dyDescent="0.25">
      <c r="A79" s="6" t="s">
        <v>702</v>
      </c>
    </row>
    <row r="81" spans="1:8" ht="90" customHeight="1" x14ac:dyDescent="0.25">
      <c r="A81" s="187" t="s">
        <v>703</v>
      </c>
      <c r="B81" s="188"/>
      <c r="C81" s="188"/>
      <c r="D81" s="188"/>
      <c r="E81" s="188"/>
      <c r="F81" s="188"/>
      <c r="G81" s="188"/>
      <c r="H81" s="189"/>
    </row>
    <row r="83" spans="1:8" x14ac:dyDescent="0.25">
      <c r="A83" s="59"/>
      <c r="B83" s="59" t="s">
        <v>648</v>
      </c>
      <c r="C83" s="59" t="s">
        <v>704</v>
      </c>
      <c r="D83" s="7" t="s">
        <v>705</v>
      </c>
    </row>
    <row r="84" spans="1:8" x14ac:dyDescent="0.25">
      <c r="C84" s="59" t="s">
        <v>706</v>
      </c>
      <c r="D84" s="7" t="s">
        <v>707</v>
      </c>
    </row>
    <row r="85" spans="1:8" x14ac:dyDescent="0.25">
      <c r="C85" s="59" t="s">
        <v>708</v>
      </c>
      <c r="D85" s="7" t="s">
        <v>709</v>
      </c>
    </row>
    <row r="87" spans="1:8" x14ac:dyDescent="0.25">
      <c r="A87" s="6" t="s">
        <v>546</v>
      </c>
    </row>
    <row r="89" spans="1:8" ht="90" customHeight="1" x14ac:dyDescent="0.25">
      <c r="A89" s="187" t="s">
        <v>710</v>
      </c>
      <c r="B89" s="188"/>
      <c r="C89" s="188"/>
      <c r="D89" s="188"/>
      <c r="E89" s="188"/>
      <c r="F89" s="188"/>
      <c r="G89" s="188"/>
      <c r="H89" s="189"/>
    </row>
    <row r="91" spans="1:8" x14ac:dyDescent="0.25">
      <c r="A91" s="59"/>
      <c r="B91" s="59" t="s">
        <v>648</v>
      </c>
      <c r="C91" s="59" t="s">
        <v>711</v>
      </c>
      <c r="D91" s="7" t="s">
        <v>709</v>
      </c>
    </row>
    <row r="92" spans="1:8" x14ac:dyDescent="0.25">
      <c r="C92" s="59" t="s">
        <v>712</v>
      </c>
      <c r="D92" s="7" t="s">
        <v>707</v>
      </c>
    </row>
    <row r="93" spans="1:8" x14ac:dyDescent="0.25">
      <c r="C93" s="59" t="s">
        <v>713</v>
      </c>
      <c r="D93" s="7" t="s">
        <v>714</v>
      </c>
    </row>
    <row r="94" spans="1:8" x14ac:dyDescent="0.25">
      <c r="C94" s="59" t="s">
        <v>715</v>
      </c>
      <c r="D94" s="7" t="s">
        <v>716</v>
      </c>
    </row>
    <row r="96" spans="1:8" x14ac:dyDescent="0.25">
      <c r="A96" s="6" t="s">
        <v>717</v>
      </c>
    </row>
    <row r="98" spans="1:8" ht="90" customHeight="1" x14ac:dyDescent="0.25">
      <c r="A98" s="187" t="s">
        <v>718</v>
      </c>
      <c r="B98" s="188"/>
      <c r="C98" s="188"/>
      <c r="D98" s="188"/>
      <c r="E98" s="188"/>
      <c r="F98" s="188"/>
      <c r="G98" s="188"/>
      <c r="H98" s="189"/>
    </row>
    <row r="100" spans="1:8" x14ac:dyDescent="0.25">
      <c r="A100" s="59"/>
      <c r="B100" s="59" t="s">
        <v>648</v>
      </c>
      <c r="C100" s="59" t="s">
        <v>847</v>
      </c>
      <c r="D100" s="7" t="s">
        <v>719</v>
      </c>
    </row>
    <row r="101" spans="1:8" x14ac:dyDescent="0.25">
      <c r="C101" s="59" t="s">
        <v>720</v>
      </c>
      <c r="D101" s="7" t="s">
        <v>669</v>
      </c>
    </row>
    <row r="102" spans="1:8" x14ac:dyDescent="0.25">
      <c r="C102" s="59" t="s">
        <v>721</v>
      </c>
      <c r="D102" s="7" t="s">
        <v>709</v>
      </c>
    </row>
  </sheetData>
  <mergeCells count="10">
    <mergeCell ref="A71:H71"/>
    <mergeCell ref="A81:H81"/>
    <mergeCell ref="A89:H89"/>
    <mergeCell ref="A98:H98"/>
    <mergeCell ref="A14:H14"/>
    <mergeCell ref="A24:H24"/>
    <mergeCell ref="A32:H32"/>
    <mergeCell ref="A42:H42"/>
    <mergeCell ref="A53:H53"/>
    <mergeCell ref="A62:H6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0" tint="-0.249977111117893"/>
  </sheetPr>
  <dimension ref="A2:BI185"/>
  <sheetViews>
    <sheetView workbookViewId="0">
      <pane xSplit="4" ySplit="4" topLeftCell="E5" activePane="bottomRight" state="frozen"/>
      <selection pane="topRight" activeCell="E1" sqref="E1"/>
      <selection pane="bottomLeft" activeCell="A4" sqref="A4"/>
      <selection pane="bottomRight" activeCell="E37" sqref="E37"/>
    </sheetView>
  </sheetViews>
  <sheetFormatPr baseColWidth="10" defaultColWidth="11.44140625" defaultRowHeight="13.8" x14ac:dyDescent="0.25"/>
  <cols>
    <col min="1" max="2" width="5.6640625" style="7" customWidth="1"/>
    <col min="3" max="3" width="9" style="7" customWidth="1"/>
    <col min="4" max="4" width="63.5546875" style="7" customWidth="1"/>
    <col min="5" max="58" width="16.33203125" style="7" customWidth="1"/>
    <col min="59" max="61" width="17.88671875" style="7" customWidth="1"/>
    <col min="62" max="16384" width="11.44140625" style="7"/>
  </cols>
  <sheetData>
    <row r="2" spans="1:61" ht="21" x14ac:dyDescent="0.4">
      <c r="A2" s="79" t="s">
        <v>829</v>
      </c>
      <c r="B2" s="6"/>
      <c r="C2" s="6"/>
      <c r="D2" s="6"/>
    </row>
    <row r="3" spans="1:61" x14ac:dyDescent="0.25">
      <c r="A3" s="7" t="s">
        <v>781</v>
      </c>
      <c r="E3" s="8">
        <f>'Base de données pop.'!C2</f>
        <v>951</v>
      </c>
      <c r="F3" s="8">
        <f>'Base de données pop.'!C3</f>
        <v>258</v>
      </c>
      <c r="G3" s="8">
        <f>'Base de données pop.'!C4</f>
        <v>471</v>
      </c>
      <c r="H3" s="8">
        <f>'Base de données pop.'!C5</f>
        <v>441</v>
      </c>
      <c r="I3" s="8">
        <f>'Base de données pop.'!C6</f>
        <v>3686</v>
      </c>
      <c r="J3" s="8">
        <f>'Base de données pop.'!C7</f>
        <v>3313</v>
      </c>
      <c r="K3" s="8">
        <f>'Base de données pop.'!C8</f>
        <v>2654</v>
      </c>
      <c r="L3" s="8">
        <f>'Base de données pop.'!C9</f>
        <v>12636</v>
      </c>
      <c r="M3" s="8">
        <f>'Base de données pop.'!C10</f>
        <v>1360</v>
      </c>
      <c r="N3" s="8">
        <f>'Base de données pop.'!C11</f>
        <v>112</v>
      </c>
      <c r="O3" s="8">
        <f>'Base de données pop.'!C12</f>
        <v>7319</v>
      </c>
      <c r="P3" s="8">
        <f>'Base de données pop.'!C13</f>
        <v>522</v>
      </c>
      <c r="Q3" s="8">
        <f>'Base de données pop.'!C14</f>
        <v>106</v>
      </c>
      <c r="R3" s="8">
        <f>'Base de données pop.'!C15</f>
        <v>425</v>
      </c>
      <c r="S3" s="8">
        <f>'Base de données pop.'!C16</f>
        <v>350</v>
      </c>
      <c r="T3" s="8">
        <f>'Base de données pop.'!C17</f>
        <v>733</v>
      </c>
      <c r="U3" s="8">
        <f>'Base de données pop.'!C18</f>
        <v>270</v>
      </c>
      <c r="V3" s="8">
        <f>'Base de données pop.'!C19</f>
        <v>417</v>
      </c>
      <c r="W3" s="8">
        <f>'Base de données pop.'!C20</f>
        <v>3285</v>
      </c>
      <c r="X3" s="8">
        <f>'Base de données pop.'!C21</f>
        <v>308</v>
      </c>
      <c r="Y3" s="8">
        <f>'Base de données pop.'!C22</f>
        <v>1258</v>
      </c>
      <c r="Z3" s="8">
        <f>'Base de données pop.'!C23</f>
        <v>1524</v>
      </c>
      <c r="AA3" s="8">
        <f>'Base de données pop.'!C24</f>
        <v>87</v>
      </c>
      <c r="AB3" s="8">
        <f>'Base de données pop.'!C25</f>
        <v>156</v>
      </c>
      <c r="AC3" s="8">
        <f>'Base de données pop.'!C26</f>
        <v>510</v>
      </c>
      <c r="AD3" s="8">
        <f>'Base de données pop.'!C27</f>
        <v>705</v>
      </c>
      <c r="AE3" s="8">
        <f>'Base de données pop.'!C28</f>
        <v>551</v>
      </c>
      <c r="AF3" s="8">
        <f>'Base de données pop.'!C29</f>
        <v>511</v>
      </c>
      <c r="AG3" s="8">
        <f>'Base de données pop.'!C30</f>
        <v>1902</v>
      </c>
      <c r="AH3" s="8">
        <f>'Base de données pop.'!C31</f>
        <v>2575</v>
      </c>
      <c r="AI3" s="8">
        <f>'Base de données pop.'!C32</f>
        <v>228</v>
      </c>
      <c r="AJ3" s="8">
        <f>'Base de données pop.'!C33</f>
        <v>118</v>
      </c>
      <c r="AK3" s="8">
        <f>'Base de données pop.'!C34</f>
        <v>1882</v>
      </c>
      <c r="AL3" s="8">
        <f>'Base de données pop.'!C35</f>
        <v>1114</v>
      </c>
      <c r="AM3" s="8">
        <f>'Base de données pop.'!C36</f>
        <v>1217</v>
      </c>
      <c r="AN3" s="8">
        <f>'Base de données pop.'!C37</f>
        <v>117</v>
      </c>
      <c r="AO3" s="8">
        <f>'Base de données pop.'!C38</f>
        <v>1205</v>
      </c>
      <c r="AP3" s="8">
        <f>'Base de données pop.'!C39</f>
        <v>625</v>
      </c>
      <c r="AQ3" s="8">
        <f>'Base de données pop.'!C40</f>
        <v>631</v>
      </c>
      <c r="AR3" s="8">
        <f>'Base de données pop.'!C41</f>
        <v>1275</v>
      </c>
      <c r="AS3" s="8">
        <f>'Base de données pop.'!C42</f>
        <v>718</v>
      </c>
      <c r="AT3" s="8">
        <f>'Base de données pop.'!C43</f>
        <v>1018</v>
      </c>
      <c r="AU3" s="8">
        <f>'Base de données pop.'!C44</f>
        <v>293</v>
      </c>
      <c r="AV3" s="8">
        <f>'Base de données pop.'!C45</f>
        <v>2435</v>
      </c>
      <c r="AW3" s="8">
        <f>'Base de données pop.'!C46</f>
        <v>786</v>
      </c>
      <c r="AX3" s="8">
        <f>'Base de données pop.'!C47</f>
        <v>184</v>
      </c>
      <c r="AY3" s="8">
        <f>'Base de données pop.'!C48</f>
        <v>333</v>
      </c>
      <c r="AZ3" s="8">
        <f>'Base de données pop.'!C49</f>
        <v>1674</v>
      </c>
      <c r="BA3" s="8">
        <f>'Base de données pop.'!C50</f>
        <v>391</v>
      </c>
      <c r="BB3" s="8">
        <f>'Base de données pop.'!C51</f>
        <v>1052</v>
      </c>
      <c r="BC3" s="8">
        <f>'Base de données pop.'!C52</f>
        <v>186</v>
      </c>
      <c r="BD3" s="8">
        <f>'Base de données pop.'!C53</f>
        <v>6441</v>
      </c>
      <c r="BE3" s="8">
        <f>'Base de données pop.'!C54</f>
        <v>546</v>
      </c>
      <c r="BF3" s="8">
        <f>SUM(E3:BE3)</f>
        <v>73865</v>
      </c>
      <c r="BG3" s="8">
        <f>SUM(E3:W3)</f>
        <v>39309</v>
      </c>
      <c r="BH3" s="8">
        <f>SUM(X3:AJ3)</f>
        <v>10433</v>
      </c>
      <c r="BI3" s="8">
        <f>SUM(AK3:BE3)</f>
        <v>24123</v>
      </c>
    </row>
    <row r="4" spans="1:61" x14ac:dyDescent="0.25">
      <c r="E4" s="81" t="s">
        <v>56</v>
      </c>
      <c r="F4" s="81" t="s">
        <v>18</v>
      </c>
      <c r="G4" s="81" t="s">
        <v>57</v>
      </c>
      <c r="H4" s="81" t="s">
        <v>53</v>
      </c>
      <c r="I4" s="81" t="s">
        <v>33</v>
      </c>
      <c r="J4" s="81" t="s">
        <v>10</v>
      </c>
      <c r="K4" s="81" t="s">
        <v>15</v>
      </c>
      <c r="L4" s="81" t="s">
        <v>28</v>
      </c>
      <c r="M4" s="81" t="s">
        <v>42</v>
      </c>
      <c r="N4" s="81" t="s">
        <v>23</v>
      </c>
      <c r="O4" s="81" t="s">
        <v>22</v>
      </c>
      <c r="P4" s="81" t="s">
        <v>13</v>
      </c>
      <c r="Q4" s="81" t="s">
        <v>17</v>
      </c>
      <c r="R4" s="81" t="s">
        <v>43</v>
      </c>
      <c r="S4" s="81" t="s">
        <v>40</v>
      </c>
      <c r="T4" s="81" t="s">
        <v>31</v>
      </c>
      <c r="U4" s="81" t="s">
        <v>12</v>
      </c>
      <c r="V4" s="81" t="s">
        <v>59</v>
      </c>
      <c r="W4" s="81" t="s">
        <v>27</v>
      </c>
      <c r="X4" s="81" t="s">
        <v>30</v>
      </c>
      <c r="Y4" s="81" t="s">
        <v>20</v>
      </c>
      <c r="Z4" s="81" t="s">
        <v>45</v>
      </c>
      <c r="AA4" s="81" t="s">
        <v>71</v>
      </c>
      <c r="AB4" s="81" t="s">
        <v>39</v>
      </c>
      <c r="AC4" s="81" t="s">
        <v>19</v>
      </c>
      <c r="AD4" s="81" t="s">
        <v>41</v>
      </c>
      <c r="AE4" s="81" t="s">
        <v>36</v>
      </c>
      <c r="AF4" s="81" t="s">
        <v>7</v>
      </c>
      <c r="AG4" s="81" t="s">
        <v>55</v>
      </c>
      <c r="AH4" s="81" t="s">
        <v>21</v>
      </c>
      <c r="AI4" s="81" t="s">
        <v>6</v>
      </c>
      <c r="AJ4" s="81" t="s">
        <v>34</v>
      </c>
      <c r="AK4" s="81" t="s">
        <v>52</v>
      </c>
      <c r="AL4" s="81" t="s">
        <v>14</v>
      </c>
      <c r="AM4" s="81" t="s">
        <v>32</v>
      </c>
      <c r="AN4" s="81" t="s">
        <v>29</v>
      </c>
      <c r="AO4" s="81" t="s">
        <v>26</v>
      </c>
      <c r="AP4" s="81" t="s">
        <v>48</v>
      </c>
      <c r="AQ4" s="81" t="s">
        <v>44</v>
      </c>
      <c r="AR4" s="81" t="s">
        <v>37</v>
      </c>
      <c r="AS4" s="81" t="s">
        <v>51</v>
      </c>
      <c r="AT4" s="81" t="s">
        <v>8</v>
      </c>
      <c r="AU4" s="81" t="s">
        <v>24</v>
      </c>
      <c r="AV4" s="81" t="s">
        <v>9</v>
      </c>
      <c r="AW4" s="81" t="s">
        <v>62</v>
      </c>
      <c r="AX4" s="81" t="s">
        <v>46</v>
      </c>
      <c r="AY4" s="81" t="s">
        <v>35</v>
      </c>
      <c r="AZ4" s="81" t="s">
        <v>49</v>
      </c>
      <c r="BA4" s="81" t="s">
        <v>47</v>
      </c>
      <c r="BB4" s="81" t="s">
        <v>58</v>
      </c>
      <c r="BC4" s="81" t="s">
        <v>50</v>
      </c>
      <c r="BD4" s="81" t="s">
        <v>16</v>
      </c>
      <c r="BE4" s="81" t="s">
        <v>25</v>
      </c>
      <c r="BF4" s="81" t="s">
        <v>65</v>
      </c>
      <c r="BG4" s="81" t="s">
        <v>28</v>
      </c>
      <c r="BH4" s="81" t="s">
        <v>64</v>
      </c>
      <c r="BI4" s="81" t="s">
        <v>16</v>
      </c>
    </row>
    <row r="5" spans="1:61" ht="21" x14ac:dyDescent="0.4">
      <c r="A5" s="126">
        <v>5</v>
      </c>
      <c r="B5" s="126"/>
      <c r="C5" s="126"/>
      <c r="D5" s="126" t="s">
        <v>192</v>
      </c>
      <c r="E5" s="122">
        <f>E6+E16+E26+E31+E42+E53+E64+E75</f>
        <v>371702.39</v>
      </c>
      <c r="F5" s="122">
        <f t="shared" ref="F5:BI5" si="0">F6+F16+F26+F31+F42+F53+F64+F75</f>
        <v>28081.5</v>
      </c>
      <c r="G5" s="122">
        <f t="shared" si="0"/>
        <v>242182.41</v>
      </c>
      <c r="H5" s="122">
        <f t="shared" si="0"/>
        <v>62259.15</v>
      </c>
      <c r="I5" s="122">
        <f t="shared" si="0"/>
        <v>2378465.62</v>
      </c>
      <c r="J5" s="122">
        <f t="shared" si="0"/>
        <v>2202642.27</v>
      </c>
      <c r="K5" s="122">
        <f t="shared" si="0"/>
        <v>979069.46000000008</v>
      </c>
      <c r="L5" s="122">
        <f t="shared" si="0"/>
        <v>12017308.599999998</v>
      </c>
      <c r="M5" s="122">
        <f t="shared" si="0"/>
        <v>1910906.3699999996</v>
      </c>
      <c r="N5" s="122">
        <f t="shared" si="0"/>
        <v>41267.75</v>
      </c>
      <c r="O5" s="122">
        <f t="shared" si="0"/>
        <v>5431484.6500000004</v>
      </c>
      <c r="P5" s="122">
        <f t="shared" si="0"/>
        <v>50979.71</v>
      </c>
      <c r="Q5" s="122">
        <f t="shared" si="0"/>
        <v>2188.15</v>
      </c>
      <c r="R5" s="122">
        <f t="shared" si="0"/>
        <v>43432.21</v>
      </c>
      <c r="S5" s="122">
        <f t="shared" si="0"/>
        <v>209.25</v>
      </c>
      <c r="T5" s="122">
        <f t="shared" si="0"/>
        <v>198621.2</v>
      </c>
      <c r="U5" s="122">
        <f t="shared" si="0"/>
        <v>112192.75</v>
      </c>
      <c r="V5" s="122">
        <f t="shared" si="0"/>
        <v>65376</v>
      </c>
      <c r="W5" s="122">
        <f t="shared" si="0"/>
        <v>4915498.4500000011</v>
      </c>
      <c r="X5" s="122">
        <f t="shared" si="0"/>
        <v>331568.45</v>
      </c>
      <c r="Y5" s="122">
        <f t="shared" si="0"/>
        <v>568913.5</v>
      </c>
      <c r="Z5" s="122">
        <f t="shared" si="0"/>
        <v>356335.8</v>
      </c>
      <c r="AA5" s="122">
        <f t="shared" si="0"/>
        <v>339692.69999999995</v>
      </c>
      <c r="AB5" s="122">
        <f t="shared" si="0"/>
        <v>178259.75</v>
      </c>
      <c r="AC5" s="122">
        <f t="shared" si="0"/>
        <v>373782</v>
      </c>
      <c r="AD5" s="122">
        <f t="shared" si="0"/>
        <v>1534075.49</v>
      </c>
      <c r="AE5" s="122">
        <f t="shared" si="0"/>
        <v>482944.8</v>
      </c>
      <c r="AF5" s="122">
        <f t="shared" si="0"/>
        <v>606075.91</v>
      </c>
      <c r="AG5" s="122">
        <f t="shared" si="0"/>
        <v>830847.02</v>
      </c>
      <c r="AH5" s="122">
        <f t="shared" si="0"/>
        <v>1171479.83</v>
      </c>
      <c r="AI5" s="122">
        <f t="shared" si="0"/>
        <v>25468.85</v>
      </c>
      <c r="AJ5" s="122">
        <f t="shared" si="0"/>
        <v>66722.850000000006</v>
      </c>
      <c r="AK5" s="122">
        <f t="shared" si="0"/>
        <v>723238.84</v>
      </c>
      <c r="AL5" s="122">
        <f t="shared" si="0"/>
        <v>248880.85</v>
      </c>
      <c r="AM5" s="122">
        <f t="shared" si="0"/>
        <v>463854.36</v>
      </c>
      <c r="AN5" s="122">
        <f t="shared" si="0"/>
        <v>19656.5</v>
      </c>
      <c r="AO5" s="122">
        <f t="shared" si="0"/>
        <v>1528389.06</v>
      </c>
      <c r="AP5" s="122">
        <f t="shared" si="0"/>
        <v>334781.94999999995</v>
      </c>
      <c r="AQ5" s="122">
        <f t="shared" si="0"/>
        <v>1123724.8</v>
      </c>
      <c r="AR5" s="122">
        <f t="shared" si="0"/>
        <v>1965475.15</v>
      </c>
      <c r="AS5" s="122">
        <f t="shared" si="0"/>
        <v>152819.90000000002</v>
      </c>
      <c r="AT5" s="122">
        <f t="shared" si="0"/>
        <v>1040598.75</v>
      </c>
      <c r="AU5" s="122">
        <f t="shared" si="0"/>
        <v>177717.80000000002</v>
      </c>
      <c r="AV5" s="122">
        <f t="shared" si="0"/>
        <v>2134973.85</v>
      </c>
      <c r="AW5" s="122">
        <f t="shared" si="0"/>
        <v>344279.7</v>
      </c>
      <c r="AX5" s="122">
        <f t="shared" si="0"/>
        <v>0</v>
      </c>
      <c r="AY5" s="122">
        <f t="shared" si="0"/>
        <v>84585.35</v>
      </c>
      <c r="AZ5" s="122">
        <f t="shared" si="0"/>
        <v>264388.7</v>
      </c>
      <c r="BA5" s="122">
        <f t="shared" si="0"/>
        <v>1181638.9300000002</v>
      </c>
      <c r="BB5" s="122">
        <f t="shared" si="0"/>
        <v>944192.91</v>
      </c>
      <c r="BC5" s="122">
        <f t="shared" si="0"/>
        <v>469551.44999999995</v>
      </c>
      <c r="BD5" s="122">
        <f t="shared" si="0"/>
        <v>6984682.2400000002</v>
      </c>
      <c r="BE5" s="122">
        <f t="shared" si="0"/>
        <v>34005.9</v>
      </c>
      <c r="BF5" s="122">
        <f t="shared" si="0"/>
        <v>58141471.830000013</v>
      </c>
      <c r="BG5" s="122">
        <f t="shared" si="0"/>
        <v>31053867.889999997</v>
      </c>
      <c r="BH5" s="122">
        <f t="shared" si="0"/>
        <v>6866166.9500000011</v>
      </c>
      <c r="BI5" s="122">
        <f t="shared" si="0"/>
        <v>20221436.990000002</v>
      </c>
    </row>
    <row r="6" spans="1:61" x14ac:dyDescent="0.25">
      <c r="A6" s="6"/>
      <c r="B6" s="76">
        <v>50</v>
      </c>
      <c r="C6" s="76"/>
      <c r="D6" s="76" t="s">
        <v>451</v>
      </c>
      <c r="E6" s="101">
        <f>E7+E8+E9+E10+E11+E12+E13+E14</f>
        <v>363221.04000000004</v>
      </c>
      <c r="F6" s="101">
        <f t="shared" ref="F6:BE6" si="1">F7+F8+F9+F10+F11+F12+F13+F14</f>
        <v>22158</v>
      </c>
      <c r="G6" s="101">
        <f t="shared" si="1"/>
        <v>211349.31</v>
      </c>
      <c r="H6" s="101">
        <f t="shared" si="1"/>
        <v>62259.15</v>
      </c>
      <c r="I6" s="101">
        <f t="shared" si="1"/>
        <v>2378465.62</v>
      </c>
      <c r="J6" s="101">
        <f t="shared" si="1"/>
        <v>2101421.8199999998</v>
      </c>
      <c r="K6" s="101">
        <f t="shared" si="1"/>
        <v>960923.8600000001</v>
      </c>
      <c r="L6" s="101">
        <f t="shared" si="1"/>
        <v>11809206.419999998</v>
      </c>
      <c r="M6" s="101">
        <f t="shared" si="1"/>
        <v>1839416.2199999997</v>
      </c>
      <c r="N6" s="101">
        <f t="shared" si="1"/>
        <v>0</v>
      </c>
      <c r="O6" s="101">
        <f t="shared" si="1"/>
        <v>5070462.2</v>
      </c>
      <c r="P6" s="101">
        <f t="shared" si="1"/>
        <v>50979.71</v>
      </c>
      <c r="Q6" s="101">
        <f t="shared" si="1"/>
        <v>0</v>
      </c>
      <c r="R6" s="101">
        <f t="shared" si="1"/>
        <v>43432.21</v>
      </c>
      <c r="S6" s="101">
        <f t="shared" si="1"/>
        <v>209.25</v>
      </c>
      <c r="T6" s="101">
        <f t="shared" si="1"/>
        <v>198621.2</v>
      </c>
      <c r="U6" s="101">
        <f t="shared" si="1"/>
        <v>103440.3</v>
      </c>
      <c r="V6" s="101">
        <f t="shared" si="1"/>
        <v>1884.45</v>
      </c>
      <c r="W6" s="101">
        <f t="shared" si="1"/>
        <v>4881684.8000000007</v>
      </c>
      <c r="X6" s="101">
        <f t="shared" si="1"/>
        <v>326583.25</v>
      </c>
      <c r="Y6" s="101">
        <f t="shared" si="1"/>
        <v>301001.75</v>
      </c>
      <c r="Z6" s="101">
        <f t="shared" si="1"/>
        <v>356335.8</v>
      </c>
      <c r="AA6" s="101">
        <f t="shared" si="1"/>
        <v>339692.69999999995</v>
      </c>
      <c r="AB6" s="101">
        <f t="shared" si="1"/>
        <v>178259.75</v>
      </c>
      <c r="AC6" s="101">
        <f t="shared" si="1"/>
        <v>236522.65000000002</v>
      </c>
      <c r="AD6" s="101">
        <f t="shared" si="1"/>
        <v>1520328.85</v>
      </c>
      <c r="AE6" s="101">
        <f t="shared" si="1"/>
        <v>478565.3</v>
      </c>
      <c r="AF6" s="101">
        <f t="shared" si="1"/>
        <v>541351.06000000006</v>
      </c>
      <c r="AG6" s="101">
        <f t="shared" si="1"/>
        <v>656904.02</v>
      </c>
      <c r="AH6" s="101">
        <f t="shared" si="1"/>
        <v>1128191.08</v>
      </c>
      <c r="AI6" s="101">
        <f t="shared" si="1"/>
        <v>25468.85</v>
      </c>
      <c r="AJ6" s="101">
        <f t="shared" si="1"/>
        <v>53976.9</v>
      </c>
      <c r="AK6" s="101">
        <f t="shared" si="1"/>
        <v>627969.68999999994</v>
      </c>
      <c r="AL6" s="101">
        <f t="shared" si="1"/>
        <v>209782.45</v>
      </c>
      <c r="AM6" s="101">
        <f t="shared" si="1"/>
        <v>430972.45999999996</v>
      </c>
      <c r="AN6" s="101">
        <f t="shared" si="1"/>
        <v>0</v>
      </c>
      <c r="AO6" s="101">
        <f t="shared" si="1"/>
        <v>1528389.06</v>
      </c>
      <c r="AP6" s="101">
        <f t="shared" si="1"/>
        <v>333260.54999999993</v>
      </c>
      <c r="AQ6" s="101">
        <f t="shared" si="1"/>
        <v>1073342.6500000001</v>
      </c>
      <c r="AR6" s="101">
        <f t="shared" si="1"/>
        <v>1620383.5999999999</v>
      </c>
      <c r="AS6" s="101">
        <f t="shared" si="1"/>
        <v>60247.3</v>
      </c>
      <c r="AT6" s="101">
        <f t="shared" si="1"/>
        <v>938805.2</v>
      </c>
      <c r="AU6" s="101">
        <f t="shared" si="1"/>
        <v>165658.35</v>
      </c>
      <c r="AV6" s="101">
        <f t="shared" si="1"/>
        <v>2126228.6</v>
      </c>
      <c r="AW6" s="101">
        <f t="shared" si="1"/>
        <v>283977</v>
      </c>
      <c r="AX6" s="101">
        <f t="shared" si="1"/>
        <v>0</v>
      </c>
      <c r="AY6" s="101">
        <f t="shared" si="1"/>
        <v>41908.15</v>
      </c>
      <c r="AZ6" s="101">
        <f t="shared" si="1"/>
        <v>159358.79999999999</v>
      </c>
      <c r="BA6" s="101">
        <f t="shared" si="1"/>
        <v>1181638.9300000002</v>
      </c>
      <c r="BB6" s="101">
        <f t="shared" si="1"/>
        <v>676777.06</v>
      </c>
      <c r="BC6" s="101">
        <f t="shared" si="1"/>
        <v>469551.44999999995</v>
      </c>
      <c r="BD6" s="101">
        <f t="shared" si="1"/>
        <v>6632610.0700000003</v>
      </c>
      <c r="BE6" s="101">
        <f t="shared" si="1"/>
        <v>10968.7</v>
      </c>
      <c r="BF6" s="101">
        <f t="shared" ref="BF6:BI6" si="2">BF7+BF8+BF9+BF10+BF11+BF12+BF13+BF14</f>
        <v>54814147.590000018</v>
      </c>
      <c r="BG6" s="101">
        <f t="shared" si="2"/>
        <v>30099135.559999999</v>
      </c>
      <c r="BH6" s="101">
        <f t="shared" si="2"/>
        <v>6143181.9600000009</v>
      </c>
      <c r="BI6" s="101">
        <f t="shared" si="2"/>
        <v>18571830.07</v>
      </c>
    </row>
    <row r="7" spans="1:61" x14ac:dyDescent="0.25">
      <c r="C7" s="7">
        <v>500</v>
      </c>
      <c r="D7" s="7" t="s">
        <v>453</v>
      </c>
      <c r="E7" s="15">
        <v>0</v>
      </c>
      <c r="F7" s="15">
        <v>0</v>
      </c>
      <c r="G7" s="15">
        <v>0</v>
      </c>
      <c r="H7" s="15">
        <v>31336.7</v>
      </c>
      <c r="I7" s="15">
        <v>0</v>
      </c>
      <c r="J7" s="15">
        <v>0</v>
      </c>
      <c r="K7" s="15">
        <v>70018.25</v>
      </c>
      <c r="L7" s="15">
        <v>230600.25</v>
      </c>
      <c r="M7" s="15">
        <v>12750</v>
      </c>
      <c r="N7" s="15">
        <v>0</v>
      </c>
      <c r="O7" s="15">
        <v>0</v>
      </c>
      <c r="P7" s="15">
        <v>397.64</v>
      </c>
      <c r="Q7" s="15">
        <v>0</v>
      </c>
      <c r="R7" s="15">
        <v>0</v>
      </c>
      <c r="S7" s="15">
        <v>0</v>
      </c>
      <c r="T7" s="15">
        <v>0</v>
      </c>
      <c r="U7" s="15">
        <v>0</v>
      </c>
      <c r="V7" s="15">
        <v>0</v>
      </c>
      <c r="W7" s="15">
        <v>32291.85</v>
      </c>
      <c r="X7" s="15">
        <v>0</v>
      </c>
      <c r="Y7" s="15">
        <v>0</v>
      </c>
      <c r="Z7" s="15">
        <v>6870.4</v>
      </c>
      <c r="AA7" s="15">
        <v>0</v>
      </c>
      <c r="AB7" s="15">
        <v>0</v>
      </c>
      <c r="AC7" s="15">
        <v>182642.7</v>
      </c>
      <c r="AD7" s="15">
        <v>0</v>
      </c>
      <c r="AE7" s="15">
        <v>0</v>
      </c>
      <c r="AF7" s="15">
        <v>0</v>
      </c>
      <c r="AG7" s="15">
        <v>0</v>
      </c>
      <c r="AH7" s="15">
        <v>0</v>
      </c>
      <c r="AI7" s="15">
        <v>0</v>
      </c>
      <c r="AJ7" s="15">
        <v>0</v>
      </c>
      <c r="AK7" s="15">
        <v>0</v>
      </c>
      <c r="AL7" s="15">
        <v>0</v>
      </c>
      <c r="AM7" s="15">
        <v>500.8</v>
      </c>
      <c r="AN7" s="15">
        <v>0</v>
      </c>
      <c r="AO7" s="15">
        <v>0</v>
      </c>
      <c r="AP7" s="15">
        <v>0</v>
      </c>
      <c r="AQ7" s="15">
        <v>0</v>
      </c>
      <c r="AR7" s="15">
        <v>0</v>
      </c>
      <c r="AS7" s="15">
        <v>0</v>
      </c>
      <c r="AT7" s="15">
        <v>2305.8000000000002</v>
      </c>
      <c r="AU7" s="15">
        <v>0</v>
      </c>
      <c r="AV7" s="15">
        <v>1196178.3500000001</v>
      </c>
      <c r="AW7" s="15">
        <v>0</v>
      </c>
      <c r="AX7" s="15">
        <v>0</v>
      </c>
      <c r="AY7" s="15">
        <v>0</v>
      </c>
      <c r="AZ7" s="15">
        <v>0</v>
      </c>
      <c r="BA7" s="15">
        <v>98043.6</v>
      </c>
      <c r="BB7" s="15">
        <v>6106.15</v>
      </c>
      <c r="BC7" s="15">
        <v>0</v>
      </c>
      <c r="BD7" s="15">
        <v>116276.18</v>
      </c>
      <c r="BE7" s="15">
        <v>0</v>
      </c>
      <c r="BF7" s="15">
        <f>SUM(E7:BE7)</f>
        <v>1986318.6700000002</v>
      </c>
      <c r="BG7" s="15">
        <f>SUM(E7:W7)</f>
        <v>377394.69</v>
      </c>
      <c r="BH7" s="15">
        <f>SUM(X7:AJ7)</f>
        <v>189513.1</v>
      </c>
      <c r="BI7" s="15">
        <f>SUM(AK7:BE7)</f>
        <v>1419410.8800000001</v>
      </c>
    </row>
    <row r="8" spans="1:61" x14ac:dyDescent="0.25">
      <c r="C8" s="7">
        <v>501</v>
      </c>
      <c r="D8" s="7" t="s">
        <v>454</v>
      </c>
      <c r="E8" s="15">
        <v>199227.75</v>
      </c>
      <c r="F8" s="15">
        <v>7987.65</v>
      </c>
      <c r="G8" s="15">
        <v>0</v>
      </c>
      <c r="H8" s="15">
        <v>0</v>
      </c>
      <c r="I8" s="15">
        <v>8647.92</v>
      </c>
      <c r="J8" s="15">
        <v>733218.69</v>
      </c>
      <c r="K8" s="15">
        <v>134975.1</v>
      </c>
      <c r="L8" s="15">
        <v>2640601.7400000002</v>
      </c>
      <c r="M8" s="15">
        <v>1356.7</v>
      </c>
      <c r="N8" s="15">
        <v>0</v>
      </c>
      <c r="O8" s="15">
        <v>547059.25</v>
      </c>
      <c r="P8" s="15">
        <v>38659.31</v>
      </c>
      <c r="Q8" s="15">
        <v>0</v>
      </c>
      <c r="R8" s="15">
        <v>0</v>
      </c>
      <c r="S8" s="15">
        <v>0</v>
      </c>
      <c r="T8" s="15">
        <v>2118.9499999999998</v>
      </c>
      <c r="U8" s="15">
        <v>103440.3</v>
      </c>
      <c r="V8" s="15">
        <v>0</v>
      </c>
      <c r="W8" s="15">
        <v>1143374.45</v>
      </c>
      <c r="X8" s="15">
        <v>288760.55</v>
      </c>
      <c r="Y8" s="15">
        <v>64004.65</v>
      </c>
      <c r="Z8" s="15">
        <v>0</v>
      </c>
      <c r="AA8" s="15">
        <v>142091</v>
      </c>
      <c r="AB8" s="15">
        <v>160878.85</v>
      </c>
      <c r="AC8" s="15">
        <v>53879.95</v>
      </c>
      <c r="AD8" s="15">
        <v>0</v>
      </c>
      <c r="AE8" s="15">
        <v>52632.3</v>
      </c>
      <c r="AF8" s="15">
        <v>410952.9</v>
      </c>
      <c r="AG8" s="15">
        <v>491756.52</v>
      </c>
      <c r="AH8" s="15">
        <v>767100.83</v>
      </c>
      <c r="AI8" s="15">
        <v>12550</v>
      </c>
      <c r="AJ8" s="15">
        <v>53976.9</v>
      </c>
      <c r="AK8" s="15">
        <v>25800.9</v>
      </c>
      <c r="AL8" s="15">
        <v>103183.7</v>
      </c>
      <c r="AM8" s="15">
        <v>179867.95</v>
      </c>
      <c r="AN8" s="15">
        <v>0</v>
      </c>
      <c r="AO8" s="15">
        <v>754763.4</v>
      </c>
      <c r="AP8" s="15">
        <v>212556.79999999999</v>
      </c>
      <c r="AQ8" s="15">
        <v>0</v>
      </c>
      <c r="AR8" s="15">
        <v>1307444.3999999999</v>
      </c>
      <c r="AS8" s="15">
        <v>0</v>
      </c>
      <c r="AT8" s="15">
        <v>181864.35</v>
      </c>
      <c r="AU8" s="15">
        <v>0</v>
      </c>
      <c r="AV8" s="15">
        <v>5851.1</v>
      </c>
      <c r="AW8" s="15">
        <v>52227.94</v>
      </c>
      <c r="AX8" s="15">
        <v>0</v>
      </c>
      <c r="AY8" s="15">
        <v>41908.15</v>
      </c>
      <c r="AZ8" s="15">
        <v>0</v>
      </c>
      <c r="BA8" s="15">
        <v>298294.68</v>
      </c>
      <c r="BB8" s="15">
        <v>0</v>
      </c>
      <c r="BC8" s="15">
        <v>395739.3</v>
      </c>
      <c r="BD8" s="15">
        <v>1425454.51</v>
      </c>
      <c r="BE8" s="15">
        <v>0</v>
      </c>
      <c r="BF8" s="15">
        <f t="shared" ref="BF8:BF14" si="3">SUM(E8:BE8)</f>
        <v>13044209.440000003</v>
      </c>
      <c r="BG8" s="15">
        <f t="shared" ref="BG8:BG14" si="4">SUM(E8:W8)</f>
        <v>5560667.8100000005</v>
      </c>
      <c r="BH8" s="15">
        <f t="shared" ref="BH8:BH14" si="5">SUM(X8:AJ8)</f>
        <v>2498584.4500000002</v>
      </c>
      <c r="BI8" s="15">
        <f t="shared" ref="BI8:BI15" si="6">SUM(AK8:BE8)</f>
        <v>4984957.1800000006</v>
      </c>
    </row>
    <row r="9" spans="1:61" x14ac:dyDescent="0.25">
      <c r="C9" s="7">
        <v>502</v>
      </c>
      <c r="D9" s="7" t="s">
        <v>455</v>
      </c>
      <c r="E9" s="15">
        <v>0</v>
      </c>
      <c r="F9" s="15">
        <v>0</v>
      </c>
      <c r="G9" s="15">
        <v>158428.60999999999</v>
      </c>
      <c r="H9" s="15">
        <v>7718.55</v>
      </c>
      <c r="I9" s="15">
        <v>1400</v>
      </c>
      <c r="J9" s="15">
        <v>25745.75</v>
      </c>
      <c r="K9" s="15">
        <v>17036.61</v>
      </c>
      <c r="L9" s="15">
        <v>1946756.3</v>
      </c>
      <c r="M9" s="15">
        <v>751134.32</v>
      </c>
      <c r="N9" s="15">
        <v>0</v>
      </c>
      <c r="O9" s="15">
        <v>645825.85</v>
      </c>
      <c r="P9" s="15">
        <v>11922.76</v>
      </c>
      <c r="Q9" s="15">
        <v>0</v>
      </c>
      <c r="R9" s="15">
        <v>0</v>
      </c>
      <c r="S9" s="15">
        <v>0</v>
      </c>
      <c r="T9" s="15">
        <v>0</v>
      </c>
      <c r="U9" s="15">
        <v>0</v>
      </c>
      <c r="V9" s="15">
        <v>1920.25</v>
      </c>
      <c r="W9" s="15">
        <v>2015765.1</v>
      </c>
      <c r="X9" s="15">
        <v>0</v>
      </c>
      <c r="Y9" s="15">
        <v>0</v>
      </c>
      <c r="Z9" s="15">
        <v>0</v>
      </c>
      <c r="AA9" s="15">
        <v>0</v>
      </c>
      <c r="AB9" s="15">
        <v>0</v>
      </c>
      <c r="AC9" s="15">
        <v>0</v>
      </c>
      <c r="AD9" s="15">
        <v>0</v>
      </c>
      <c r="AE9" s="15">
        <v>0</v>
      </c>
      <c r="AF9" s="15">
        <v>0</v>
      </c>
      <c r="AG9" s="15">
        <v>0</v>
      </c>
      <c r="AH9" s="15">
        <v>0</v>
      </c>
      <c r="AI9" s="15">
        <v>1479.15</v>
      </c>
      <c r="AJ9" s="15">
        <v>0</v>
      </c>
      <c r="AK9" s="15">
        <v>139916.5</v>
      </c>
      <c r="AL9" s="15">
        <v>0</v>
      </c>
      <c r="AM9" s="15">
        <v>0</v>
      </c>
      <c r="AN9" s="15">
        <v>0</v>
      </c>
      <c r="AO9" s="15">
        <v>29201.200000000001</v>
      </c>
      <c r="AP9" s="15">
        <v>0</v>
      </c>
      <c r="AQ9" s="15">
        <v>0</v>
      </c>
      <c r="AR9" s="15">
        <v>0</v>
      </c>
      <c r="AS9" s="15">
        <v>0</v>
      </c>
      <c r="AT9" s="15">
        <v>19070.650000000001</v>
      </c>
      <c r="AU9" s="15">
        <v>28955.4</v>
      </c>
      <c r="AV9" s="15">
        <v>185174.5</v>
      </c>
      <c r="AW9" s="15">
        <v>0</v>
      </c>
      <c r="AX9" s="15">
        <v>0</v>
      </c>
      <c r="AY9" s="15">
        <v>0</v>
      </c>
      <c r="AZ9" s="15">
        <v>0</v>
      </c>
      <c r="BA9" s="15">
        <v>0</v>
      </c>
      <c r="BB9" s="15">
        <v>0</v>
      </c>
      <c r="BC9" s="15">
        <v>0</v>
      </c>
      <c r="BD9" s="15">
        <v>95640.82</v>
      </c>
      <c r="BE9" s="15">
        <v>2295.6</v>
      </c>
      <c r="BF9" s="15">
        <f t="shared" si="3"/>
        <v>6085387.9200000009</v>
      </c>
      <c r="BG9" s="15">
        <f t="shared" si="4"/>
        <v>5583654.0999999996</v>
      </c>
      <c r="BH9" s="15">
        <f t="shared" si="5"/>
        <v>1479.15</v>
      </c>
      <c r="BI9" s="15">
        <f t="shared" si="6"/>
        <v>500254.67</v>
      </c>
    </row>
    <row r="10" spans="1:61" x14ac:dyDescent="0.25">
      <c r="C10" s="7">
        <v>503</v>
      </c>
      <c r="D10" s="7" t="s">
        <v>456</v>
      </c>
      <c r="E10" s="15">
        <v>49713.39</v>
      </c>
      <c r="F10" s="15">
        <v>0</v>
      </c>
      <c r="G10" s="15">
        <v>51890</v>
      </c>
      <c r="H10" s="15">
        <v>23203.9</v>
      </c>
      <c r="I10" s="15">
        <v>144217.85</v>
      </c>
      <c r="J10" s="15">
        <v>550006.73</v>
      </c>
      <c r="K10" s="15">
        <v>665920.9</v>
      </c>
      <c r="L10" s="15">
        <v>4399495.7300000004</v>
      </c>
      <c r="M10" s="15">
        <v>1069375.2</v>
      </c>
      <c r="N10" s="15">
        <v>0</v>
      </c>
      <c r="O10" s="15">
        <v>528796.94999999995</v>
      </c>
      <c r="P10" s="15">
        <v>0</v>
      </c>
      <c r="Q10" s="15">
        <v>0</v>
      </c>
      <c r="R10" s="15">
        <v>43432.21</v>
      </c>
      <c r="S10" s="15">
        <v>209.25</v>
      </c>
      <c r="T10" s="15">
        <v>50210.400000000001</v>
      </c>
      <c r="U10" s="15">
        <v>0</v>
      </c>
      <c r="V10" s="15">
        <v>-35.799999999999997</v>
      </c>
      <c r="W10" s="15">
        <v>449346.15</v>
      </c>
      <c r="X10" s="15">
        <v>10315.4</v>
      </c>
      <c r="Y10" s="15">
        <v>62797.1</v>
      </c>
      <c r="Z10" s="15">
        <v>106661.8</v>
      </c>
      <c r="AA10" s="15">
        <v>131156.85</v>
      </c>
      <c r="AB10" s="15">
        <v>0</v>
      </c>
      <c r="AC10" s="15">
        <v>0</v>
      </c>
      <c r="AD10" s="15">
        <v>1516478.85</v>
      </c>
      <c r="AE10" s="15">
        <v>405233.1</v>
      </c>
      <c r="AF10" s="15">
        <v>130398.16</v>
      </c>
      <c r="AG10" s="15">
        <v>127723.85</v>
      </c>
      <c r="AH10" s="15">
        <v>310269.25</v>
      </c>
      <c r="AI10" s="15">
        <v>0</v>
      </c>
      <c r="AJ10" s="15">
        <v>0</v>
      </c>
      <c r="AK10" s="15">
        <v>377201.94</v>
      </c>
      <c r="AL10" s="15">
        <v>52789.599999999999</v>
      </c>
      <c r="AM10" s="15">
        <v>14982.46</v>
      </c>
      <c r="AN10" s="15">
        <v>0</v>
      </c>
      <c r="AO10" s="15">
        <v>125689.25</v>
      </c>
      <c r="AP10" s="15">
        <v>68322.149999999994</v>
      </c>
      <c r="AQ10" s="15">
        <v>137460.6</v>
      </c>
      <c r="AR10" s="15">
        <v>113540.3</v>
      </c>
      <c r="AS10" s="15">
        <v>0</v>
      </c>
      <c r="AT10" s="15">
        <v>434849.4</v>
      </c>
      <c r="AU10" s="15">
        <v>49354.9</v>
      </c>
      <c r="AV10" s="15">
        <v>415455.4</v>
      </c>
      <c r="AW10" s="15">
        <v>116978.06</v>
      </c>
      <c r="AX10" s="15">
        <v>0</v>
      </c>
      <c r="AY10" s="15">
        <v>0</v>
      </c>
      <c r="AZ10" s="15">
        <v>106952.8</v>
      </c>
      <c r="BA10" s="15">
        <v>785300.65</v>
      </c>
      <c r="BB10" s="15">
        <v>596609.55000000005</v>
      </c>
      <c r="BC10" s="15">
        <v>73812.149999999994</v>
      </c>
      <c r="BD10" s="15">
        <v>247047.8</v>
      </c>
      <c r="BE10" s="15">
        <v>0</v>
      </c>
      <c r="BF10" s="15">
        <f t="shared" si="3"/>
        <v>14543164.230000006</v>
      </c>
      <c r="BG10" s="15">
        <f t="shared" si="4"/>
        <v>8025782.8600000013</v>
      </c>
      <c r="BH10" s="15">
        <f t="shared" si="5"/>
        <v>2801034.3600000003</v>
      </c>
      <c r="BI10" s="15">
        <f t="shared" si="6"/>
        <v>3716347.0100000002</v>
      </c>
    </row>
    <row r="11" spans="1:61" x14ac:dyDescent="0.25">
      <c r="C11" s="7">
        <v>504</v>
      </c>
      <c r="D11" s="7" t="s">
        <v>457</v>
      </c>
      <c r="E11" s="15">
        <v>0</v>
      </c>
      <c r="F11" s="15">
        <v>14170.35</v>
      </c>
      <c r="G11" s="15">
        <v>1030.7</v>
      </c>
      <c r="H11" s="15">
        <v>0</v>
      </c>
      <c r="I11" s="15">
        <v>2117206.15</v>
      </c>
      <c r="J11" s="15">
        <v>792450.65</v>
      </c>
      <c r="K11" s="15">
        <v>0</v>
      </c>
      <c r="L11" s="15">
        <v>1992294.35</v>
      </c>
      <c r="M11" s="15">
        <v>4800</v>
      </c>
      <c r="N11" s="15">
        <v>0</v>
      </c>
      <c r="O11" s="15">
        <v>3156482.95</v>
      </c>
      <c r="P11" s="15">
        <v>0</v>
      </c>
      <c r="Q11" s="15">
        <v>0</v>
      </c>
      <c r="R11" s="15">
        <v>0</v>
      </c>
      <c r="S11" s="15">
        <v>0</v>
      </c>
      <c r="T11" s="15">
        <v>146291.85</v>
      </c>
      <c r="U11" s="15">
        <v>0</v>
      </c>
      <c r="V11" s="15">
        <v>0</v>
      </c>
      <c r="W11" s="15">
        <v>1240907.25</v>
      </c>
      <c r="X11" s="15">
        <v>22856</v>
      </c>
      <c r="Y11" s="15">
        <v>0</v>
      </c>
      <c r="Z11" s="15">
        <v>0</v>
      </c>
      <c r="AA11" s="15">
        <v>66444.850000000006</v>
      </c>
      <c r="AB11" s="15">
        <v>17380.900000000001</v>
      </c>
      <c r="AC11" s="15">
        <v>0</v>
      </c>
      <c r="AD11" s="15">
        <v>3850</v>
      </c>
      <c r="AE11" s="15">
        <v>0</v>
      </c>
      <c r="AF11" s="15">
        <v>0</v>
      </c>
      <c r="AG11" s="15">
        <v>0</v>
      </c>
      <c r="AH11" s="15">
        <v>0</v>
      </c>
      <c r="AI11" s="15">
        <v>11439.7</v>
      </c>
      <c r="AJ11" s="15">
        <v>0</v>
      </c>
      <c r="AK11" s="15">
        <v>0</v>
      </c>
      <c r="AL11" s="15">
        <v>9342.1</v>
      </c>
      <c r="AM11" s="15">
        <v>234366.9</v>
      </c>
      <c r="AN11" s="15">
        <v>0</v>
      </c>
      <c r="AO11" s="15">
        <v>432827</v>
      </c>
      <c r="AP11" s="15">
        <v>34124.35</v>
      </c>
      <c r="AQ11" s="15">
        <v>935882.05</v>
      </c>
      <c r="AR11" s="15">
        <v>51529.75</v>
      </c>
      <c r="AS11" s="15">
        <v>60247.3</v>
      </c>
      <c r="AT11" s="15">
        <v>263037.09999999998</v>
      </c>
      <c r="AU11" s="15">
        <v>87348.05</v>
      </c>
      <c r="AV11" s="15">
        <v>313955.84999999998</v>
      </c>
      <c r="AW11" s="15">
        <v>114771</v>
      </c>
      <c r="AX11" s="15">
        <v>0</v>
      </c>
      <c r="AY11" s="15">
        <v>0</v>
      </c>
      <c r="AZ11" s="15">
        <v>52406</v>
      </c>
      <c r="BA11" s="15">
        <v>0</v>
      </c>
      <c r="BB11" s="15">
        <v>59747.199999999997</v>
      </c>
      <c r="BC11" s="15">
        <v>0</v>
      </c>
      <c r="BD11" s="15">
        <v>3919805.09</v>
      </c>
      <c r="BE11" s="15">
        <v>8673.1</v>
      </c>
      <c r="BF11" s="15">
        <f t="shared" si="3"/>
        <v>16165668.539999999</v>
      </c>
      <c r="BG11" s="15">
        <f t="shared" si="4"/>
        <v>9465634.25</v>
      </c>
      <c r="BH11" s="15">
        <f t="shared" si="5"/>
        <v>121971.45</v>
      </c>
      <c r="BI11" s="15">
        <f t="shared" si="6"/>
        <v>6578062.8399999999</v>
      </c>
    </row>
    <row r="12" spans="1:61" x14ac:dyDescent="0.25">
      <c r="C12" s="7">
        <v>505</v>
      </c>
      <c r="D12" s="7" t="s">
        <v>458</v>
      </c>
      <c r="E12" s="15">
        <v>0</v>
      </c>
      <c r="F12" s="15">
        <v>0</v>
      </c>
      <c r="G12" s="15">
        <v>0</v>
      </c>
      <c r="H12" s="15">
        <v>0</v>
      </c>
      <c r="I12" s="15">
        <v>0</v>
      </c>
      <c r="J12" s="15">
        <v>0</v>
      </c>
      <c r="K12" s="15">
        <v>0</v>
      </c>
      <c r="L12" s="15">
        <v>0</v>
      </c>
      <c r="M12" s="15">
        <v>0</v>
      </c>
      <c r="N12" s="15">
        <v>0</v>
      </c>
      <c r="O12" s="15">
        <v>0</v>
      </c>
      <c r="P12" s="15">
        <v>0</v>
      </c>
      <c r="Q12" s="15">
        <v>0</v>
      </c>
      <c r="R12" s="15">
        <v>0</v>
      </c>
      <c r="S12" s="15">
        <v>0</v>
      </c>
      <c r="T12" s="15">
        <v>0</v>
      </c>
      <c r="U12" s="15">
        <v>0</v>
      </c>
      <c r="V12" s="15">
        <v>0</v>
      </c>
      <c r="W12" s="15">
        <v>0</v>
      </c>
      <c r="X12" s="15">
        <v>0</v>
      </c>
      <c r="Y12" s="15">
        <v>0</v>
      </c>
      <c r="Z12" s="15">
        <v>141112.6</v>
      </c>
      <c r="AA12" s="15">
        <v>0</v>
      </c>
      <c r="AB12" s="15">
        <v>0</v>
      </c>
      <c r="AC12" s="15">
        <v>0</v>
      </c>
      <c r="AD12" s="15">
        <v>0</v>
      </c>
      <c r="AE12" s="15">
        <v>0</v>
      </c>
      <c r="AF12" s="15">
        <v>0</v>
      </c>
      <c r="AG12" s="15">
        <v>37423.65</v>
      </c>
      <c r="AH12" s="15">
        <v>0</v>
      </c>
      <c r="AI12" s="15">
        <v>0</v>
      </c>
      <c r="AJ12" s="15">
        <v>0</v>
      </c>
      <c r="AK12" s="15">
        <v>0</v>
      </c>
      <c r="AL12" s="15">
        <v>44467.05</v>
      </c>
      <c r="AM12" s="15">
        <v>1254.3499999999999</v>
      </c>
      <c r="AN12" s="15">
        <v>0</v>
      </c>
      <c r="AO12" s="15">
        <v>0</v>
      </c>
      <c r="AP12" s="15">
        <v>5882.7</v>
      </c>
      <c r="AQ12" s="15">
        <v>0</v>
      </c>
      <c r="AR12" s="15">
        <v>0</v>
      </c>
      <c r="AS12" s="15">
        <v>0</v>
      </c>
      <c r="AT12" s="15">
        <v>0</v>
      </c>
      <c r="AU12" s="15">
        <v>0</v>
      </c>
      <c r="AV12" s="15">
        <v>0</v>
      </c>
      <c r="AW12" s="15">
        <v>0</v>
      </c>
      <c r="AX12" s="15">
        <v>0</v>
      </c>
      <c r="AY12" s="15">
        <v>0</v>
      </c>
      <c r="AZ12" s="15">
        <v>0</v>
      </c>
      <c r="BA12" s="15">
        <v>0</v>
      </c>
      <c r="BB12" s="15">
        <v>5572</v>
      </c>
      <c r="BC12" s="15">
        <v>0</v>
      </c>
      <c r="BD12" s="15">
        <v>0</v>
      </c>
      <c r="BE12" s="15">
        <v>0</v>
      </c>
      <c r="BF12" s="15">
        <f t="shared" si="3"/>
        <v>235712.35</v>
      </c>
      <c r="BG12" s="15">
        <f t="shared" si="4"/>
        <v>0</v>
      </c>
      <c r="BH12" s="15">
        <f t="shared" si="5"/>
        <v>178536.25</v>
      </c>
      <c r="BI12" s="15">
        <f t="shared" si="6"/>
        <v>57176.1</v>
      </c>
    </row>
    <row r="13" spans="1:61" x14ac:dyDescent="0.25">
      <c r="C13" s="7">
        <v>506</v>
      </c>
      <c r="D13" s="7" t="s">
        <v>459</v>
      </c>
      <c r="E13" s="15">
        <v>114279.9</v>
      </c>
      <c r="F13" s="15">
        <v>0</v>
      </c>
      <c r="G13" s="15">
        <v>0</v>
      </c>
      <c r="H13" s="15">
        <v>0</v>
      </c>
      <c r="I13" s="15">
        <v>106993.7</v>
      </c>
      <c r="J13" s="15">
        <v>0</v>
      </c>
      <c r="K13" s="15">
        <v>72973</v>
      </c>
      <c r="L13" s="15">
        <v>556044.1</v>
      </c>
      <c r="M13" s="15">
        <v>0</v>
      </c>
      <c r="N13" s="15">
        <v>0</v>
      </c>
      <c r="O13" s="15">
        <v>108965.45</v>
      </c>
      <c r="P13" s="15">
        <v>0</v>
      </c>
      <c r="Q13" s="15">
        <v>0</v>
      </c>
      <c r="R13" s="15">
        <v>0</v>
      </c>
      <c r="S13" s="15">
        <v>0</v>
      </c>
      <c r="T13" s="15">
        <v>0</v>
      </c>
      <c r="U13" s="15">
        <v>0</v>
      </c>
      <c r="V13" s="15">
        <v>0</v>
      </c>
      <c r="W13" s="15">
        <v>0</v>
      </c>
      <c r="X13" s="15">
        <v>4651.3</v>
      </c>
      <c r="Y13" s="15">
        <v>174200</v>
      </c>
      <c r="Z13" s="15">
        <v>101691</v>
      </c>
      <c r="AA13" s="15">
        <v>0</v>
      </c>
      <c r="AB13" s="15">
        <v>0</v>
      </c>
      <c r="AC13" s="15">
        <v>0</v>
      </c>
      <c r="AD13" s="15">
        <v>0</v>
      </c>
      <c r="AE13" s="15">
        <v>0</v>
      </c>
      <c r="AF13" s="15">
        <v>0</v>
      </c>
      <c r="AG13" s="15">
        <v>0</v>
      </c>
      <c r="AH13" s="15">
        <v>50821</v>
      </c>
      <c r="AI13" s="15">
        <v>0</v>
      </c>
      <c r="AJ13" s="15">
        <v>0</v>
      </c>
      <c r="AK13" s="15">
        <v>85050.35</v>
      </c>
      <c r="AL13" s="15">
        <v>0</v>
      </c>
      <c r="AM13" s="15">
        <v>0</v>
      </c>
      <c r="AN13" s="15">
        <v>0</v>
      </c>
      <c r="AO13" s="15">
        <v>185908.21</v>
      </c>
      <c r="AP13" s="15">
        <v>12374.55</v>
      </c>
      <c r="AQ13" s="15">
        <v>0</v>
      </c>
      <c r="AR13" s="15">
        <v>147869.15</v>
      </c>
      <c r="AS13" s="15">
        <v>0</v>
      </c>
      <c r="AT13" s="15">
        <v>37677.9</v>
      </c>
      <c r="AU13" s="15">
        <v>0</v>
      </c>
      <c r="AV13" s="15">
        <v>9613.4</v>
      </c>
      <c r="AW13" s="15">
        <v>0</v>
      </c>
      <c r="AX13" s="15">
        <v>0</v>
      </c>
      <c r="AY13" s="15">
        <v>0</v>
      </c>
      <c r="AZ13" s="15">
        <v>0</v>
      </c>
      <c r="BA13" s="15">
        <v>0</v>
      </c>
      <c r="BB13" s="15">
        <v>8742.16</v>
      </c>
      <c r="BC13" s="15">
        <v>0</v>
      </c>
      <c r="BD13" s="15">
        <v>811192.31999999995</v>
      </c>
      <c r="BE13" s="15">
        <v>0</v>
      </c>
      <c r="BF13" s="15">
        <f t="shared" si="3"/>
        <v>2589047.4899999998</v>
      </c>
      <c r="BG13" s="15">
        <f t="shared" si="4"/>
        <v>959256.14999999991</v>
      </c>
      <c r="BH13" s="15">
        <f t="shared" si="5"/>
        <v>331363.3</v>
      </c>
      <c r="BI13" s="15">
        <f t="shared" si="6"/>
        <v>1298428.04</v>
      </c>
    </row>
    <row r="14" spans="1:61" x14ac:dyDescent="0.25">
      <c r="C14" s="7">
        <v>509</v>
      </c>
      <c r="D14" s="7" t="s">
        <v>460</v>
      </c>
      <c r="E14" s="15">
        <v>0</v>
      </c>
      <c r="F14" s="15">
        <v>0</v>
      </c>
      <c r="G14" s="15">
        <v>0</v>
      </c>
      <c r="H14" s="15">
        <v>0</v>
      </c>
      <c r="I14" s="15">
        <v>0</v>
      </c>
      <c r="J14" s="15">
        <v>0</v>
      </c>
      <c r="K14" s="15">
        <v>0</v>
      </c>
      <c r="L14" s="15">
        <v>43413.95</v>
      </c>
      <c r="M14" s="15">
        <v>0</v>
      </c>
      <c r="N14" s="15">
        <v>0</v>
      </c>
      <c r="O14" s="15">
        <v>83331.75</v>
      </c>
      <c r="P14" s="15">
        <v>0</v>
      </c>
      <c r="Q14" s="15">
        <v>0</v>
      </c>
      <c r="R14" s="15">
        <v>0</v>
      </c>
      <c r="S14" s="15">
        <v>0</v>
      </c>
      <c r="T14" s="15">
        <v>0</v>
      </c>
      <c r="U14" s="15">
        <v>0</v>
      </c>
      <c r="V14" s="15">
        <v>0</v>
      </c>
      <c r="W14" s="15">
        <v>0</v>
      </c>
      <c r="X14" s="15">
        <v>0</v>
      </c>
      <c r="Y14" s="15">
        <v>0</v>
      </c>
      <c r="Z14" s="15">
        <v>0</v>
      </c>
      <c r="AA14" s="15">
        <v>0</v>
      </c>
      <c r="AB14" s="15">
        <v>0</v>
      </c>
      <c r="AC14" s="15">
        <v>0</v>
      </c>
      <c r="AD14" s="15">
        <v>0</v>
      </c>
      <c r="AE14" s="15">
        <v>20699.900000000001</v>
      </c>
      <c r="AF14" s="15">
        <v>0</v>
      </c>
      <c r="AG14" s="15">
        <v>0</v>
      </c>
      <c r="AH14" s="15">
        <v>0</v>
      </c>
      <c r="AI14" s="15">
        <v>0</v>
      </c>
      <c r="AJ14" s="15">
        <v>0</v>
      </c>
      <c r="AK14" s="15">
        <v>0</v>
      </c>
      <c r="AL14" s="15">
        <v>0</v>
      </c>
      <c r="AM14" s="15">
        <v>0</v>
      </c>
      <c r="AN14" s="15">
        <v>0</v>
      </c>
      <c r="AO14" s="15">
        <v>0</v>
      </c>
      <c r="AP14" s="15">
        <v>0</v>
      </c>
      <c r="AQ14" s="15">
        <v>0</v>
      </c>
      <c r="AR14" s="15">
        <v>0</v>
      </c>
      <c r="AS14" s="15">
        <v>0</v>
      </c>
      <c r="AT14" s="15">
        <v>0</v>
      </c>
      <c r="AU14" s="15">
        <v>0</v>
      </c>
      <c r="AV14" s="15">
        <v>0</v>
      </c>
      <c r="AW14" s="15">
        <v>0</v>
      </c>
      <c r="AX14" s="15">
        <v>0</v>
      </c>
      <c r="AY14" s="15">
        <v>0</v>
      </c>
      <c r="AZ14" s="15">
        <v>0</v>
      </c>
      <c r="BA14" s="15">
        <v>0</v>
      </c>
      <c r="BB14" s="15">
        <v>0</v>
      </c>
      <c r="BC14" s="15">
        <v>0</v>
      </c>
      <c r="BD14" s="15">
        <v>17193.349999999999</v>
      </c>
      <c r="BE14" s="15">
        <v>0</v>
      </c>
      <c r="BF14" s="15">
        <f t="shared" si="3"/>
        <v>164638.95000000001</v>
      </c>
      <c r="BG14" s="15">
        <f t="shared" si="4"/>
        <v>126745.7</v>
      </c>
      <c r="BH14" s="15">
        <f t="shared" si="5"/>
        <v>20699.900000000001</v>
      </c>
      <c r="BI14" s="15">
        <f t="shared" si="6"/>
        <v>17193.349999999999</v>
      </c>
    </row>
    <row r="15" spans="1:61" x14ac:dyDescent="0.2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f t="shared" si="6"/>
        <v>0</v>
      </c>
    </row>
    <row r="16" spans="1:61" x14ac:dyDescent="0.25">
      <c r="B16" s="76">
        <v>51</v>
      </c>
      <c r="C16" s="76"/>
      <c r="D16" s="76" t="s">
        <v>452</v>
      </c>
      <c r="E16" s="101">
        <f>E17+E18+E19+E20+E21+E22+E23+E24</f>
        <v>0</v>
      </c>
      <c r="F16" s="101">
        <f t="shared" ref="F16:BE16" si="7">F17+F18+F19+F20+F21+F22+F23+F24</f>
        <v>0</v>
      </c>
      <c r="G16" s="101">
        <f t="shared" si="7"/>
        <v>0</v>
      </c>
      <c r="H16" s="101">
        <f t="shared" si="7"/>
        <v>0</v>
      </c>
      <c r="I16" s="101">
        <f t="shared" si="7"/>
        <v>0</v>
      </c>
      <c r="J16" s="101">
        <f t="shared" si="7"/>
        <v>8485.4500000000007</v>
      </c>
      <c r="K16" s="101">
        <f t="shared" si="7"/>
        <v>0</v>
      </c>
      <c r="L16" s="101">
        <f t="shared" si="7"/>
        <v>0</v>
      </c>
      <c r="M16" s="101">
        <f t="shared" si="7"/>
        <v>0</v>
      </c>
      <c r="N16" s="101">
        <f t="shared" si="7"/>
        <v>41267.75</v>
      </c>
      <c r="O16" s="101">
        <f t="shared" si="7"/>
        <v>107688.95</v>
      </c>
      <c r="P16" s="101">
        <f t="shared" si="7"/>
        <v>0</v>
      </c>
      <c r="Q16" s="101">
        <f t="shared" si="7"/>
        <v>0</v>
      </c>
      <c r="R16" s="101">
        <f t="shared" si="7"/>
        <v>0</v>
      </c>
      <c r="S16" s="101">
        <f t="shared" si="7"/>
        <v>0</v>
      </c>
      <c r="T16" s="101">
        <f t="shared" si="7"/>
        <v>0</v>
      </c>
      <c r="U16" s="101">
        <f t="shared" si="7"/>
        <v>0</v>
      </c>
      <c r="V16" s="101">
        <f t="shared" si="7"/>
        <v>0</v>
      </c>
      <c r="W16" s="101">
        <f t="shared" si="7"/>
        <v>0</v>
      </c>
      <c r="X16" s="101">
        <f t="shared" si="7"/>
        <v>0</v>
      </c>
      <c r="Y16" s="101">
        <f t="shared" si="7"/>
        <v>194866.85</v>
      </c>
      <c r="Z16" s="101">
        <f t="shared" si="7"/>
        <v>0</v>
      </c>
      <c r="AA16" s="101">
        <f t="shared" si="7"/>
        <v>0</v>
      </c>
      <c r="AB16" s="101">
        <f t="shared" si="7"/>
        <v>0</v>
      </c>
      <c r="AC16" s="101">
        <f t="shared" si="7"/>
        <v>0</v>
      </c>
      <c r="AD16" s="101">
        <f t="shared" si="7"/>
        <v>0</v>
      </c>
      <c r="AE16" s="101">
        <f t="shared" si="7"/>
        <v>0</v>
      </c>
      <c r="AF16" s="101">
        <f t="shared" si="7"/>
        <v>43925.95</v>
      </c>
      <c r="AG16" s="101">
        <f t="shared" si="7"/>
        <v>159396</v>
      </c>
      <c r="AH16" s="101">
        <f t="shared" si="7"/>
        <v>0</v>
      </c>
      <c r="AI16" s="101">
        <f t="shared" si="7"/>
        <v>0</v>
      </c>
      <c r="AJ16" s="101">
        <f t="shared" si="7"/>
        <v>0</v>
      </c>
      <c r="AK16" s="101">
        <f t="shared" si="7"/>
        <v>95269.150000000009</v>
      </c>
      <c r="AL16" s="101">
        <f t="shared" si="7"/>
        <v>39098.400000000001</v>
      </c>
      <c r="AM16" s="101">
        <f t="shared" si="7"/>
        <v>9579.9</v>
      </c>
      <c r="AN16" s="101">
        <f t="shared" si="7"/>
        <v>0</v>
      </c>
      <c r="AO16" s="101">
        <f t="shared" si="7"/>
        <v>0</v>
      </c>
      <c r="AP16" s="101">
        <f t="shared" si="7"/>
        <v>0</v>
      </c>
      <c r="AQ16" s="101">
        <f t="shared" si="7"/>
        <v>0</v>
      </c>
      <c r="AR16" s="101">
        <f t="shared" si="7"/>
        <v>0</v>
      </c>
      <c r="AS16" s="101">
        <f t="shared" si="7"/>
        <v>0</v>
      </c>
      <c r="AT16" s="101">
        <f t="shared" si="7"/>
        <v>0</v>
      </c>
      <c r="AU16" s="101">
        <f t="shared" si="7"/>
        <v>0</v>
      </c>
      <c r="AV16" s="101">
        <f t="shared" si="7"/>
        <v>0</v>
      </c>
      <c r="AW16" s="101">
        <f t="shared" si="7"/>
        <v>0</v>
      </c>
      <c r="AX16" s="101">
        <f t="shared" si="7"/>
        <v>0</v>
      </c>
      <c r="AY16" s="101">
        <f t="shared" si="7"/>
        <v>0</v>
      </c>
      <c r="AZ16" s="101">
        <f t="shared" si="7"/>
        <v>97119.45</v>
      </c>
      <c r="BA16" s="101">
        <f t="shared" si="7"/>
        <v>0</v>
      </c>
      <c r="BB16" s="101">
        <f t="shared" si="7"/>
        <v>103439.95</v>
      </c>
      <c r="BC16" s="101">
        <f t="shared" si="7"/>
        <v>0</v>
      </c>
      <c r="BD16" s="101">
        <f t="shared" si="7"/>
        <v>73401.5</v>
      </c>
      <c r="BE16" s="101">
        <f t="shared" si="7"/>
        <v>0</v>
      </c>
      <c r="BF16" s="101">
        <f t="shared" ref="BF16" si="8">BF17+BF18+BF19+BF20+BF21+BF22+BF23+BF24</f>
        <v>973539.3</v>
      </c>
      <c r="BG16" s="101">
        <f t="shared" ref="BG16" si="9">BG17+BG18+BG19+BG20+BG21+BG22+BG23+BG24</f>
        <v>157442.15</v>
      </c>
      <c r="BH16" s="101">
        <f t="shared" ref="BH16" si="10">BH17+BH18+BH19+BH20+BH21+BH22+BH23+BH24</f>
        <v>398188.79999999999</v>
      </c>
      <c r="BI16" s="101">
        <f t="shared" ref="BI16" si="11">BI17+BI18+BI19+BI20+BI21+BI22+BI23+BI24</f>
        <v>417908.35</v>
      </c>
    </row>
    <row r="17" spans="2:61" x14ac:dyDescent="0.25">
      <c r="C17" s="7">
        <v>510</v>
      </c>
      <c r="D17" s="7" t="s">
        <v>453</v>
      </c>
      <c r="E17" s="15">
        <v>0</v>
      </c>
      <c r="F17" s="15">
        <v>0</v>
      </c>
      <c r="G17" s="15">
        <v>0</v>
      </c>
      <c r="H17" s="15">
        <v>0</v>
      </c>
      <c r="I17" s="15">
        <v>0</v>
      </c>
      <c r="J17" s="15">
        <v>0</v>
      </c>
      <c r="K17" s="15">
        <v>0</v>
      </c>
      <c r="L17" s="15">
        <v>0</v>
      </c>
      <c r="M17" s="15">
        <v>0</v>
      </c>
      <c r="N17" s="15">
        <v>41267.75</v>
      </c>
      <c r="O17" s="15">
        <v>0</v>
      </c>
      <c r="P17" s="15">
        <v>0</v>
      </c>
      <c r="Q17" s="15">
        <v>0</v>
      </c>
      <c r="R17" s="15">
        <v>0</v>
      </c>
      <c r="S17" s="15">
        <v>0</v>
      </c>
      <c r="T17" s="15">
        <v>0</v>
      </c>
      <c r="U17" s="15">
        <v>0</v>
      </c>
      <c r="V17" s="15">
        <v>0</v>
      </c>
      <c r="W17" s="15">
        <v>0</v>
      </c>
      <c r="X17" s="15">
        <v>0</v>
      </c>
      <c r="Y17" s="15">
        <v>0</v>
      </c>
      <c r="Z17" s="15">
        <v>0</v>
      </c>
      <c r="AA17" s="15">
        <v>0</v>
      </c>
      <c r="AB17" s="15">
        <v>0</v>
      </c>
      <c r="AC17" s="15">
        <v>0</v>
      </c>
      <c r="AD17" s="15">
        <v>0</v>
      </c>
      <c r="AE17" s="15">
        <v>0</v>
      </c>
      <c r="AF17" s="15">
        <v>0</v>
      </c>
      <c r="AG17" s="15">
        <v>0</v>
      </c>
      <c r="AH17" s="15">
        <v>0</v>
      </c>
      <c r="AI17" s="15">
        <v>0</v>
      </c>
      <c r="AJ17" s="15">
        <v>0</v>
      </c>
      <c r="AK17" s="15">
        <v>0</v>
      </c>
      <c r="AL17" s="15">
        <v>0</v>
      </c>
      <c r="AM17" s="15">
        <v>0</v>
      </c>
      <c r="AN17" s="15">
        <v>0</v>
      </c>
      <c r="AO17" s="15">
        <v>0</v>
      </c>
      <c r="AP17" s="15">
        <v>0</v>
      </c>
      <c r="AQ17" s="15">
        <v>0</v>
      </c>
      <c r="AR17" s="15">
        <v>0</v>
      </c>
      <c r="AS17" s="15">
        <v>0</v>
      </c>
      <c r="AT17" s="15">
        <v>0</v>
      </c>
      <c r="AU17" s="15">
        <v>0</v>
      </c>
      <c r="AV17" s="15">
        <v>0</v>
      </c>
      <c r="AW17" s="15">
        <v>0</v>
      </c>
      <c r="AX17" s="15">
        <v>0</v>
      </c>
      <c r="AY17" s="15">
        <v>0</v>
      </c>
      <c r="AZ17" s="15">
        <v>0</v>
      </c>
      <c r="BA17" s="15">
        <v>0</v>
      </c>
      <c r="BB17" s="15">
        <v>0</v>
      </c>
      <c r="BC17" s="15">
        <v>0</v>
      </c>
      <c r="BD17" s="15">
        <v>0</v>
      </c>
      <c r="BE17" s="15">
        <v>0</v>
      </c>
      <c r="BF17" s="15">
        <f>SUM(E17:BE17)</f>
        <v>41267.75</v>
      </c>
      <c r="BG17" s="15">
        <f t="shared" ref="BG17:BG24" si="12">SUM(E17:W17)</f>
        <v>41267.75</v>
      </c>
      <c r="BH17" s="15">
        <f t="shared" ref="BH17:BH24" si="13">SUM(X17:AJ17)</f>
        <v>0</v>
      </c>
      <c r="BI17" s="15">
        <f t="shared" ref="BI17:BI24" si="14">SUM(AK17:BE17)</f>
        <v>0</v>
      </c>
    </row>
    <row r="18" spans="2:61" x14ac:dyDescent="0.25">
      <c r="C18" s="7">
        <v>511</v>
      </c>
      <c r="D18" s="7" t="s">
        <v>454</v>
      </c>
      <c r="E18" s="15">
        <v>0</v>
      </c>
      <c r="F18" s="15">
        <v>0</v>
      </c>
      <c r="G18" s="15">
        <v>0</v>
      </c>
      <c r="H18" s="15">
        <v>0</v>
      </c>
      <c r="I18" s="15">
        <v>0</v>
      </c>
      <c r="J18" s="15">
        <v>0</v>
      </c>
      <c r="K18" s="15">
        <v>0</v>
      </c>
      <c r="L18" s="15">
        <v>0</v>
      </c>
      <c r="M18" s="15">
        <v>0</v>
      </c>
      <c r="N18" s="15">
        <v>0</v>
      </c>
      <c r="O18" s="15">
        <v>0</v>
      </c>
      <c r="P18" s="15">
        <v>0</v>
      </c>
      <c r="Q18" s="15">
        <v>0</v>
      </c>
      <c r="R18" s="15">
        <v>0</v>
      </c>
      <c r="S18" s="15">
        <v>0</v>
      </c>
      <c r="T18" s="15">
        <v>0</v>
      </c>
      <c r="U18" s="15">
        <v>0</v>
      </c>
      <c r="V18" s="15">
        <v>0</v>
      </c>
      <c r="W18" s="15">
        <v>0</v>
      </c>
      <c r="X18" s="15">
        <v>0</v>
      </c>
      <c r="Y18" s="15">
        <v>0</v>
      </c>
      <c r="Z18" s="15">
        <v>0</v>
      </c>
      <c r="AA18" s="15">
        <v>0</v>
      </c>
      <c r="AB18" s="15">
        <v>0</v>
      </c>
      <c r="AC18" s="15">
        <v>0</v>
      </c>
      <c r="AD18" s="15">
        <v>0</v>
      </c>
      <c r="AE18" s="15">
        <v>0</v>
      </c>
      <c r="AF18" s="15">
        <v>0</v>
      </c>
      <c r="AG18" s="15">
        <v>159396</v>
      </c>
      <c r="AH18" s="15">
        <v>0</v>
      </c>
      <c r="AI18" s="15">
        <v>0</v>
      </c>
      <c r="AJ18" s="15">
        <v>0</v>
      </c>
      <c r="AK18" s="15">
        <v>0</v>
      </c>
      <c r="AL18" s="15">
        <v>0</v>
      </c>
      <c r="AM18" s="15">
        <v>0</v>
      </c>
      <c r="AN18" s="15">
        <v>0</v>
      </c>
      <c r="AO18" s="15">
        <v>0</v>
      </c>
      <c r="AP18" s="15">
        <v>0</v>
      </c>
      <c r="AQ18" s="15">
        <v>0</v>
      </c>
      <c r="AR18" s="15">
        <v>0</v>
      </c>
      <c r="AS18" s="15">
        <v>0</v>
      </c>
      <c r="AT18" s="15">
        <v>0</v>
      </c>
      <c r="AU18" s="15">
        <v>0</v>
      </c>
      <c r="AV18" s="15">
        <v>0</v>
      </c>
      <c r="AW18" s="15">
        <v>0</v>
      </c>
      <c r="AX18" s="15">
        <v>0</v>
      </c>
      <c r="AY18" s="15">
        <v>0</v>
      </c>
      <c r="AZ18" s="15">
        <v>0</v>
      </c>
      <c r="BA18" s="15">
        <v>0</v>
      </c>
      <c r="BB18" s="15">
        <v>0</v>
      </c>
      <c r="BC18" s="15">
        <v>0</v>
      </c>
      <c r="BD18" s="15">
        <v>0</v>
      </c>
      <c r="BE18" s="15">
        <v>0</v>
      </c>
      <c r="BF18" s="15">
        <f t="shared" ref="BF18:BF24" si="15">SUM(E18:BE18)</f>
        <v>159396</v>
      </c>
      <c r="BG18" s="15">
        <f t="shared" si="12"/>
        <v>0</v>
      </c>
      <c r="BH18" s="15">
        <f t="shared" si="13"/>
        <v>159396</v>
      </c>
      <c r="BI18" s="15">
        <f t="shared" si="14"/>
        <v>0</v>
      </c>
    </row>
    <row r="19" spans="2:61" x14ac:dyDescent="0.25">
      <c r="C19" s="7">
        <v>512</v>
      </c>
      <c r="D19" s="7" t="s">
        <v>455</v>
      </c>
      <c r="E19" s="15">
        <v>0</v>
      </c>
      <c r="F19" s="15">
        <v>0</v>
      </c>
      <c r="G19" s="15">
        <v>0</v>
      </c>
      <c r="H19" s="15">
        <v>0</v>
      </c>
      <c r="I19" s="15">
        <v>0</v>
      </c>
      <c r="J19" s="15">
        <v>0</v>
      </c>
      <c r="K19" s="15">
        <v>0</v>
      </c>
      <c r="L19" s="15">
        <v>0</v>
      </c>
      <c r="M19" s="15">
        <v>0</v>
      </c>
      <c r="N19" s="15">
        <v>0</v>
      </c>
      <c r="O19" s="15">
        <v>0</v>
      </c>
      <c r="P19" s="15">
        <v>0</v>
      </c>
      <c r="Q19" s="15">
        <v>0</v>
      </c>
      <c r="R19" s="15">
        <v>0</v>
      </c>
      <c r="S19" s="15">
        <v>0</v>
      </c>
      <c r="T19" s="15">
        <v>0</v>
      </c>
      <c r="U19" s="15">
        <v>0</v>
      </c>
      <c r="V19" s="15">
        <v>0</v>
      </c>
      <c r="W19" s="15">
        <v>0</v>
      </c>
      <c r="X19" s="15">
        <v>0</v>
      </c>
      <c r="Y19" s="15">
        <v>0</v>
      </c>
      <c r="Z19" s="15">
        <v>0</v>
      </c>
      <c r="AA19" s="15">
        <v>0</v>
      </c>
      <c r="AB19" s="15">
        <v>0</v>
      </c>
      <c r="AC19" s="15">
        <v>0</v>
      </c>
      <c r="AD19" s="15">
        <v>0</v>
      </c>
      <c r="AE19" s="15">
        <v>0</v>
      </c>
      <c r="AF19" s="15">
        <v>0</v>
      </c>
      <c r="AG19" s="15">
        <v>0</v>
      </c>
      <c r="AH19" s="15">
        <v>0</v>
      </c>
      <c r="AI19" s="15">
        <v>0</v>
      </c>
      <c r="AJ19" s="15">
        <v>0</v>
      </c>
      <c r="AK19" s="15">
        <v>0</v>
      </c>
      <c r="AL19" s="15">
        <v>0</v>
      </c>
      <c r="AM19" s="15">
        <v>0</v>
      </c>
      <c r="AN19" s="15">
        <v>0</v>
      </c>
      <c r="AO19" s="15">
        <v>0</v>
      </c>
      <c r="AP19" s="15">
        <v>0</v>
      </c>
      <c r="AQ19" s="15">
        <v>0</v>
      </c>
      <c r="AR19" s="15">
        <v>0</v>
      </c>
      <c r="AS19" s="15">
        <v>0</v>
      </c>
      <c r="AT19" s="15">
        <v>0</v>
      </c>
      <c r="AU19" s="15">
        <v>0</v>
      </c>
      <c r="AV19" s="15">
        <v>0</v>
      </c>
      <c r="AW19" s="15">
        <v>0</v>
      </c>
      <c r="AX19" s="15">
        <v>0</v>
      </c>
      <c r="AY19" s="15">
        <v>0</v>
      </c>
      <c r="AZ19" s="15">
        <v>0</v>
      </c>
      <c r="BA19" s="15">
        <v>0</v>
      </c>
      <c r="BB19" s="15">
        <v>0</v>
      </c>
      <c r="BC19" s="15">
        <v>0</v>
      </c>
      <c r="BD19" s="15">
        <v>-27175.25</v>
      </c>
      <c r="BE19" s="15">
        <v>0</v>
      </c>
      <c r="BF19" s="15">
        <f t="shared" si="15"/>
        <v>-27175.25</v>
      </c>
      <c r="BG19" s="15">
        <f t="shared" si="12"/>
        <v>0</v>
      </c>
      <c r="BH19" s="15">
        <f t="shared" si="13"/>
        <v>0</v>
      </c>
      <c r="BI19" s="15">
        <f t="shared" si="14"/>
        <v>-27175.25</v>
      </c>
    </row>
    <row r="20" spans="2:61" x14ac:dyDescent="0.25">
      <c r="C20" s="7">
        <v>513</v>
      </c>
      <c r="D20" s="7" t="s">
        <v>456</v>
      </c>
      <c r="E20" s="15">
        <v>0</v>
      </c>
      <c r="F20" s="15">
        <v>0</v>
      </c>
      <c r="G20" s="15">
        <v>0</v>
      </c>
      <c r="H20" s="15">
        <v>0</v>
      </c>
      <c r="I20" s="15">
        <v>0</v>
      </c>
      <c r="J20" s="15">
        <v>0</v>
      </c>
      <c r="K20" s="15">
        <v>0</v>
      </c>
      <c r="L20" s="15">
        <v>0</v>
      </c>
      <c r="M20" s="15">
        <v>0</v>
      </c>
      <c r="N20" s="15">
        <v>0</v>
      </c>
      <c r="O20" s="15">
        <v>0</v>
      </c>
      <c r="P20" s="15">
        <v>0</v>
      </c>
      <c r="Q20" s="15">
        <v>0</v>
      </c>
      <c r="R20" s="15">
        <v>0</v>
      </c>
      <c r="S20" s="15">
        <v>0</v>
      </c>
      <c r="T20" s="15">
        <v>0</v>
      </c>
      <c r="U20" s="15">
        <v>0</v>
      </c>
      <c r="V20" s="15">
        <v>0</v>
      </c>
      <c r="W20" s="15">
        <v>0</v>
      </c>
      <c r="X20" s="15">
        <v>0</v>
      </c>
      <c r="Y20" s="15">
        <v>194866.85</v>
      </c>
      <c r="Z20" s="15">
        <v>0</v>
      </c>
      <c r="AA20" s="15">
        <v>0</v>
      </c>
      <c r="AB20" s="15">
        <v>0</v>
      </c>
      <c r="AC20" s="15">
        <v>0</v>
      </c>
      <c r="AD20" s="15">
        <v>0</v>
      </c>
      <c r="AE20" s="15">
        <v>0</v>
      </c>
      <c r="AF20" s="15">
        <v>0</v>
      </c>
      <c r="AG20" s="15">
        <v>0</v>
      </c>
      <c r="AH20" s="15">
        <v>0</v>
      </c>
      <c r="AI20" s="15">
        <v>0</v>
      </c>
      <c r="AJ20" s="15">
        <v>0</v>
      </c>
      <c r="AK20" s="15">
        <v>93132.800000000003</v>
      </c>
      <c r="AL20" s="15">
        <v>0</v>
      </c>
      <c r="AM20" s="15">
        <v>0</v>
      </c>
      <c r="AN20" s="15">
        <v>0</v>
      </c>
      <c r="AO20" s="15">
        <v>0</v>
      </c>
      <c r="AP20" s="15">
        <v>0</v>
      </c>
      <c r="AQ20" s="15">
        <v>0</v>
      </c>
      <c r="AR20" s="15">
        <v>0</v>
      </c>
      <c r="AS20" s="15">
        <v>0</v>
      </c>
      <c r="AT20" s="15">
        <v>0</v>
      </c>
      <c r="AU20" s="15">
        <v>0</v>
      </c>
      <c r="AV20" s="15">
        <v>0</v>
      </c>
      <c r="AW20" s="15">
        <v>0</v>
      </c>
      <c r="AX20" s="15">
        <v>0</v>
      </c>
      <c r="AY20" s="15">
        <v>0</v>
      </c>
      <c r="AZ20" s="15">
        <v>97119.45</v>
      </c>
      <c r="BA20" s="15">
        <v>0</v>
      </c>
      <c r="BB20" s="15">
        <v>0</v>
      </c>
      <c r="BC20" s="15">
        <v>0</v>
      </c>
      <c r="BD20" s="15">
        <v>0</v>
      </c>
      <c r="BE20" s="15">
        <v>0</v>
      </c>
      <c r="BF20" s="15">
        <f t="shared" si="15"/>
        <v>385119.10000000003</v>
      </c>
      <c r="BG20" s="15">
        <f t="shared" si="12"/>
        <v>0</v>
      </c>
      <c r="BH20" s="15">
        <f t="shared" si="13"/>
        <v>194866.85</v>
      </c>
      <c r="BI20" s="15">
        <f t="shared" si="14"/>
        <v>190252.25</v>
      </c>
    </row>
    <row r="21" spans="2:61" x14ac:dyDescent="0.25">
      <c r="C21" s="7">
        <v>514</v>
      </c>
      <c r="D21" s="7" t="s">
        <v>457</v>
      </c>
      <c r="E21" s="15">
        <v>0</v>
      </c>
      <c r="F21" s="15">
        <v>0</v>
      </c>
      <c r="G21" s="15">
        <v>0</v>
      </c>
      <c r="H21" s="15">
        <v>0</v>
      </c>
      <c r="I21" s="15">
        <v>0</v>
      </c>
      <c r="J21" s="15">
        <v>0</v>
      </c>
      <c r="K21" s="15">
        <v>0</v>
      </c>
      <c r="L21" s="15">
        <v>0</v>
      </c>
      <c r="M21" s="15">
        <v>0</v>
      </c>
      <c r="N21" s="15">
        <v>0</v>
      </c>
      <c r="O21" s="15">
        <v>0</v>
      </c>
      <c r="P21" s="15">
        <v>0</v>
      </c>
      <c r="Q21" s="15">
        <v>0</v>
      </c>
      <c r="R21" s="15">
        <v>0</v>
      </c>
      <c r="S21" s="15">
        <v>0</v>
      </c>
      <c r="T21" s="15">
        <v>0</v>
      </c>
      <c r="U21" s="15">
        <v>0</v>
      </c>
      <c r="V21" s="15">
        <v>0</v>
      </c>
      <c r="W21" s="15">
        <v>0</v>
      </c>
      <c r="X21" s="15">
        <v>0</v>
      </c>
      <c r="Y21" s="15">
        <v>0</v>
      </c>
      <c r="Z21" s="15">
        <v>0</v>
      </c>
      <c r="AA21" s="15">
        <v>0</v>
      </c>
      <c r="AB21" s="15">
        <v>0</v>
      </c>
      <c r="AC21" s="15">
        <v>0</v>
      </c>
      <c r="AD21" s="15">
        <v>0</v>
      </c>
      <c r="AE21" s="15">
        <v>0</v>
      </c>
      <c r="AF21" s="15">
        <v>43925.95</v>
      </c>
      <c r="AG21" s="15">
        <v>0</v>
      </c>
      <c r="AH21" s="15">
        <v>0</v>
      </c>
      <c r="AI21" s="15">
        <v>0</v>
      </c>
      <c r="AJ21" s="15">
        <v>0</v>
      </c>
      <c r="AK21" s="15">
        <v>2136.35</v>
      </c>
      <c r="AL21" s="15">
        <v>0</v>
      </c>
      <c r="AM21" s="15">
        <v>0</v>
      </c>
      <c r="AN21" s="15">
        <v>0</v>
      </c>
      <c r="AO21" s="15">
        <v>0</v>
      </c>
      <c r="AP21" s="15">
        <v>0</v>
      </c>
      <c r="AQ21" s="15">
        <v>0</v>
      </c>
      <c r="AR21" s="15">
        <v>0</v>
      </c>
      <c r="AS21" s="15">
        <v>0</v>
      </c>
      <c r="AT21" s="15">
        <v>0</v>
      </c>
      <c r="AU21" s="15">
        <v>0</v>
      </c>
      <c r="AV21" s="15">
        <v>0</v>
      </c>
      <c r="AW21" s="15">
        <v>0</v>
      </c>
      <c r="AX21" s="15">
        <v>0</v>
      </c>
      <c r="AY21" s="15">
        <v>0</v>
      </c>
      <c r="AZ21" s="15">
        <v>0</v>
      </c>
      <c r="BA21" s="15">
        <v>0</v>
      </c>
      <c r="BB21" s="15">
        <v>0</v>
      </c>
      <c r="BC21" s="15">
        <v>0</v>
      </c>
      <c r="BD21" s="15">
        <v>0</v>
      </c>
      <c r="BE21" s="15">
        <v>0</v>
      </c>
      <c r="BF21" s="15">
        <f t="shared" si="15"/>
        <v>46062.299999999996</v>
      </c>
      <c r="BG21" s="15">
        <f t="shared" si="12"/>
        <v>0</v>
      </c>
      <c r="BH21" s="15">
        <f t="shared" si="13"/>
        <v>43925.95</v>
      </c>
      <c r="BI21" s="15">
        <f t="shared" si="14"/>
        <v>2136.35</v>
      </c>
    </row>
    <row r="22" spans="2:61" x14ac:dyDescent="0.25">
      <c r="C22" s="7">
        <v>515</v>
      </c>
      <c r="D22" s="7" t="s">
        <v>458</v>
      </c>
      <c r="E22" s="15">
        <v>0</v>
      </c>
      <c r="F22" s="15">
        <v>0</v>
      </c>
      <c r="G22" s="15">
        <v>0</v>
      </c>
      <c r="H22" s="15">
        <v>0</v>
      </c>
      <c r="I22" s="15">
        <v>0</v>
      </c>
      <c r="J22" s="15">
        <v>0</v>
      </c>
      <c r="K22" s="15">
        <v>0</v>
      </c>
      <c r="L22" s="15">
        <v>0</v>
      </c>
      <c r="M22" s="15">
        <v>0</v>
      </c>
      <c r="N22" s="15">
        <v>0</v>
      </c>
      <c r="O22" s="15">
        <v>0</v>
      </c>
      <c r="P22" s="15">
        <v>0</v>
      </c>
      <c r="Q22" s="15">
        <v>0</v>
      </c>
      <c r="R22" s="15">
        <v>0</v>
      </c>
      <c r="S22" s="15">
        <v>0</v>
      </c>
      <c r="T22" s="15">
        <v>0</v>
      </c>
      <c r="U22" s="15">
        <v>0</v>
      </c>
      <c r="V22" s="15">
        <v>0</v>
      </c>
      <c r="W22" s="15">
        <v>0</v>
      </c>
      <c r="X22" s="15">
        <v>0</v>
      </c>
      <c r="Y22" s="15">
        <v>0</v>
      </c>
      <c r="Z22" s="15">
        <v>0</v>
      </c>
      <c r="AA22" s="15">
        <v>0</v>
      </c>
      <c r="AB22" s="15">
        <v>0</v>
      </c>
      <c r="AC22" s="15">
        <v>0</v>
      </c>
      <c r="AD22" s="15">
        <v>0</v>
      </c>
      <c r="AE22" s="15">
        <v>0</v>
      </c>
      <c r="AF22" s="15">
        <v>0</v>
      </c>
      <c r="AG22" s="15">
        <v>0</v>
      </c>
      <c r="AH22" s="15">
        <v>0</v>
      </c>
      <c r="AI22" s="15">
        <v>0</v>
      </c>
      <c r="AJ22" s="15">
        <v>0</v>
      </c>
      <c r="AK22" s="15">
        <v>0</v>
      </c>
      <c r="AL22" s="15">
        <v>39098.400000000001</v>
      </c>
      <c r="AM22" s="15">
        <v>5385</v>
      </c>
      <c r="AN22" s="15">
        <v>0</v>
      </c>
      <c r="AO22" s="15">
        <v>0</v>
      </c>
      <c r="AP22" s="15">
        <v>0</v>
      </c>
      <c r="AQ22" s="15">
        <v>0</v>
      </c>
      <c r="AR22" s="15">
        <v>0</v>
      </c>
      <c r="AS22" s="15">
        <v>0</v>
      </c>
      <c r="AT22" s="15">
        <v>0</v>
      </c>
      <c r="AU22" s="15">
        <v>0</v>
      </c>
      <c r="AV22" s="15">
        <v>0</v>
      </c>
      <c r="AW22" s="15">
        <v>0</v>
      </c>
      <c r="AX22" s="15">
        <v>0</v>
      </c>
      <c r="AY22" s="15">
        <v>0</v>
      </c>
      <c r="AZ22" s="15">
        <v>0</v>
      </c>
      <c r="BA22" s="15">
        <v>0</v>
      </c>
      <c r="BB22" s="15">
        <v>103439.95</v>
      </c>
      <c r="BC22" s="15">
        <v>0</v>
      </c>
      <c r="BD22" s="15">
        <v>0</v>
      </c>
      <c r="BE22" s="15">
        <v>0</v>
      </c>
      <c r="BF22" s="15">
        <f t="shared" si="15"/>
        <v>147923.35</v>
      </c>
      <c r="BG22" s="15">
        <f t="shared" si="12"/>
        <v>0</v>
      </c>
      <c r="BH22" s="15">
        <f t="shared" si="13"/>
        <v>0</v>
      </c>
      <c r="BI22" s="15">
        <f t="shared" si="14"/>
        <v>147923.35</v>
      </c>
    </row>
    <row r="23" spans="2:61" x14ac:dyDescent="0.25">
      <c r="C23" s="7">
        <v>516</v>
      </c>
      <c r="D23" s="7" t="s">
        <v>459</v>
      </c>
      <c r="E23" s="15">
        <v>0</v>
      </c>
      <c r="F23" s="15">
        <v>0</v>
      </c>
      <c r="G23" s="15">
        <v>0</v>
      </c>
      <c r="H23" s="15">
        <v>0</v>
      </c>
      <c r="I23" s="15">
        <v>0</v>
      </c>
      <c r="J23" s="15">
        <v>8485.4500000000007</v>
      </c>
      <c r="K23" s="15">
        <v>0</v>
      </c>
      <c r="L23" s="15">
        <v>0</v>
      </c>
      <c r="M23" s="15">
        <v>0</v>
      </c>
      <c r="N23" s="15">
        <v>0</v>
      </c>
      <c r="O23" s="15">
        <v>0</v>
      </c>
      <c r="P23" s="15">
        <v>0</v>
      </c>
      <c r="Q23" s="15">
        <v>0</v>
      </c>
      <c r="R23" s="15">
        <v>0</v>
      </c>
      <c r="S23" s="15">
        <v>0</v>
      </c>
      <c r="T23" s="15">
        <v>0</v>
      </c>
      <c r="U23" s="15">
        <v>0</v>
      </c>
      <c r="V23" s="15">
        <v>0</v>
      </c>
      <c r="W23" s="15">
        <v>0</v>
      </c>
      <c r="X23" s="15">
        <v>0</v>
      </c>
      <c r="Y23" s="15">
        <v>0</v>
      </c>
      <c r="Z23" s="15">
        <v>0</v>
      </c>
      <c r="AA23" s="15">
        <v>0</v>
      </c>
      <c r="AB23" s="15">
        <v>0</v>
      </c>
      <c r="AC23" s="15">
        <v>0</v>
      </c>
      <c r="AD23" s="15">
        <v>0</v>
      </c>
      <c r="AE23" s="15">
        <v>0</v>
      </c>
      <c r="AF23" s="15">
        <v>0</v>
      </c>
      <c r="AG23" s="15">
        <v>0</v>
      </c>
      <c r="AH23" s="15">
        <v>0</v>
      </c>
      <c r="AI23" s="15">
        <v>0</v>
      </c>
      <c r="AJ23" s="15">
        <v>0</v>
      </c>
      <c r="AK23" s="15">
        <v>0</v>
      </c>
      <c r="AL23" s="15">
        <v>0</v>
      </c>
      <c r="AM23" s="15">
        <v>4194.8999999999996</v>
      </c>
      <c r="AN23" s="15">
        <v>0</v>
      </c>
      <c r="AO23" s="15">
        <v>0</v>
      </c>
      <c r="AP23" s="15">
        <v>0</v>
      </c>
      <c r="AQ23" s="15">
        <v>0</v>
      </c>
      <c r="AR23" s="15">
        <v>0</v>
      </c>
      <c r="AS23" s="15">
        <v>0</v>
      </c>
      <c r="AT23" s="15">
        <v>0</v>
      </c>
      <c r="AU23" s="15">
        <v>0</v>
      </c>
      <c r="AV23" s="15">
        <v>0</v>
      </c>
      <c r="AW23" s="15">
        <v>0</v>
      </c>
      <c r="AX23" s="15">
        <v>0</v>
      </c>
      <c r="AY23" s="15">
        <v>0</v>
      </c>
      <c r="AZ23" s="15">
        <v>0</v>
      </c>
      <c r="BA23" s="15">
        <v>0</v>
      </c>
      <c r="BB23" s="15">
        <v>0</v>
      </c>
      <c r="BC23" s="15">
        <v>0</v>
      </c>
      <c r="BD23" s="15">
        <v>100576.75</v>
      </c>
      <c r="BE23" s="15">
        <v>0</v>
      </c>
      <c r="BF23" s="15">
        <f t="shared" si="15"/>
        <v>113257.1</v>
      </c>
      <c r="BG23" s="15">
        <f t="shared" si="12"/>
        <v>8485.4500000000007</v>
      </c>
      <c r="BH23" s="15">
        <f t="shared" si="13"/>
        <v>0</v>
      </c>
      <c r="BI23" s="15">
        <f t="shared" si="14"/>
        <v>104771.65</v>
      </c>
    </row>
    <row r="24" spans="2:61" x14ac:dyDescent="0.25">
      <c r="C24" s="7">
        <v>519</v>
      </c>
      <c r="D24" s="7" t="s">
        <v>460</v>
      </c>
      <c r="E24" s="15">
        <v>0</v>
      </c>
      <c r="F24" s="15">
        <v>0</v>
      </c>
      <c r="G24" s="15">
        <v>0</v>
      </c>
      <c r="H24" s="15">
        <v>0</v>
      </c>
      <c r="I24" s="15">
        <v>0</v>
      </c>
      <c r="J24" s="15">
        <v>0</v>
      </c>
      <c r="K24" s="15">
        <v>0</v>
      </c>
      <c r="L24" s="15">
        <v>0</v>
      </c>
      <c r="M24" s="15">
        <v>0</v>
      </c>
      <c r="N24" s="15">
        <v>0</v>
      </c>
      <c r="O24" s="15">
        <v>107688.95</v>
      </c>
      <c r="P24" s="15">
        <v>0</v>
      </c>
      <c r="Q24" s="15">
        <v>0</v>
      </c>
      <c r="R24" s="15">
        <v>0</v>
      </c>
      <c r="S24" s="15">
        <v>0</v>
      </c>
      <c r="T24" s="15">
        <v>0</v>
      </c>
      <c r="U24" s="15">
        <v>0</v>
      </c>
      <c r="V24" s="15">
        <v>0</v>
      </c>
      <c r="W24" s="15">
        <v>0</v>
      </c>
      <c r="X24" s="15">
        <v>0</v>
      </c>
      <c r="Y24" s="15">
        <v>0</v>
      </c>
      <c r="Z24" s="15">
        <v>0</v>
      </c>
      <c r="AA24" s="15">
        <v>0</v>
      </c>
      <c r="AB24" s="15">
        <v>0</v>
      </c>
      <c r="AC24" s="15">
        <v>0</v>
      </c>
      <c r="AD24" s="15">
        <v>0</v>
      </c>
      <c r="AE24" s="15">
        <v>0</v>
      </c>
      <c r="AF24" s="15">
        <v>0</v>
      </c>
      <c r="AG24" s="15">
        <v>0</v>
      </c>
      <c r="AH24" s="15">
        <v>0</v>
      </c>
      <c r="AI24" s="15">
        <v>0</v>
      </c>
      <c r="AJ24" s="15">
        <v>0</v>
      </c>
      <c r="AK24" s="15">
        <v>0</v>
      </c>
      <c r="AL24" s="15">
        <v>0</v>
      </c>
      <c r="AM24" s="15">
        <v>0</v>
      </c>
      <c r="AN24" s="15">
        <v>0</v>
      </c>
      <c r="AO24" s="15">
        <v>0</v>
      </c>
      <c r="AP24" s="15">
        <v>0</v>
      </c>
      <c r="AQ24" s="15">
        <v>0</v>
      </c>
      <c r="AR24" s="15">
        <v>0</v>
      </c>
      <c r="AS24" s="15">
        <v>0</v>
      </c>
      <c r="AT24" s="15">
        <v>0</v>
      </c>
      <c r="AU24" s="15">
        <v>0</v>
      </c>
      <c r="AV24" s="15">
        <v>0</v>
      </c>
      <c r="AW24" s="15">
        <v>0</v>
      </c>
      <c r="AX24" s="15">
        <v>0</v>
      </c>
      <c r="AY24" s="15">
        <v>0</v>
      </c>
      <c r="AZ24" s="15">
        <v>0</v>
      </c>
      <c r="BA24" s="15">
        <v>0</v>
      </c>
      <c r="BB24" s="15">
        <v>0</v>
      </c>
      <c r="BC24" s="15">
        <v>0</v>
      </c>
      <c r="BD24" s="15">
        <v>0</v>
      </c>
      <c r="BE24" s="15">
        <v>0</v>
      </c>
      <c r="BF24" s="15">
        <f t="shared" si="15"/>
        <v>107688.95</v>
      </c>
      <c r="BG24" s="15">
        <f t="shared" si="12"/>
        <v>107688.95</v>
      </c>
      <c r="BH24" s="15">
        <f t="shared" si="13"/>
        <v>0</v>
      </c>
      <c r="BI24" s="15">
        <f t="shared" si="14"/>
        <v>0</v>
      </c>
    </row>
    <row r="25" spans="2:61" x14ac:dyDescent="0.2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row>
    <row r="26" spans="2:61" x14ac:dyDescent="0.25">
      <c r="B26" s="76">
        <v>52</v>
      </c>
      <c r="C26" s="76"/>
      <c r="D26" s="76" t="s">
        <v>461</v>
      </c>
      <c r="E26" s="101">
        <f>E27+E28+E29</f>
        <v>8481.35</v>
      </c>
      <c r="F26" s="101">
        <f t="shared" ref="F26:BE26" si="16">F27+F28+F29</f>
        <v>5923.5</v>
      </c>
      <c r="G26" s="101">
        <f t="shared" si="16"/>
        <v>30833.1</v>
      </c>
      <c r="H26" s="101">
        <f t="shared" si="16"/>
        <v>0</v>
      </c>
      <c r="I26" s="101">
        <f t="shared" si="16"/>
        <v>0</v>
      </c>
      <c r="J26" s="101">
        <f t="shared" si="16"/>
        <v>92735</v>
      </c>
      <c r="K26" s="101">
        <f t="shared" si="16"/>
        <v>18145.599999999999</v>
      </c>
      <c r="L26" s="101">
        <f t="shared" si="16"/>
        <v>173005.98</v>
      </c>
      <c r="M26" s="101">
        <f t="shared" si="16"/>
        <v>71490.149999999994</v>
      </c>
      <c r="N26" s="101">
        <f t="shared" si="16"/>
        <v>0</v>
      </c>
      <c r="O26" s="101">
        <f t="shared" si="16"/>
        <v>253333.5</v>
      </c>
      <c r="P26" s="101">
        <f t="shared" si="16"/>
        <v>0</v>
      </c>
      <c r="Q26" s="101">
        <f t="shared" si="16"/>
        <v>0</v>
      </c>
      <c r="R26" s="101">
        <f t="shared" si="16"/>
        <v>0</v>
      </c>
      <c r="S26" s="101">
        <f t="shared" si="16"/>
        <v>0</v>
      </c>
      <c r="T26" s="101">
        <f t="shared" si="16"/>
        <v>0</v>
      </c>
      <c r="U26" s="101">
        <f t="shared" si="16"/>
        <v>8752.4500000000007</v>
      </c>
      <c r="V26" s="101">
        <f t="shared" si="16"/>
        <v>63491.55</v>
      </c>
      <c r="W26" s="101">
        <f t="shared" si="16"/>
        <v>33813.65</v>
      </c>
      <c r="X26" s="101">
        <f t="shared" si="16"/>
        <v>4985.2</v>
      </c>
      <c r="Y26" s="101">
        <f t="shared" si="16"/>
        <v>31023</v>
      </c>
      <c r="Z26" s="101">
        <f t="shared" si="16"/>
        <v>0</v>
      </c>
      <c r="AA26" s="101">
        <f t="shared" si="16"/>
        <v>0</v>
      </c>
      <c r="AB26" s="101">
        <f t="shared" si="16"/>
        <v>0</v>
      </c>
      <c r="AC26" s="101">
        <f t="shared" si="16"/>
        <v>137259.35</v>
      </c>
      <c r="AD26" s="101">
        <f t="shared" si="16"/>
        <v>0</v>
      </c>
      <c r="AE26" s="101">
        <f t="shared" si="16"/>
        <v>4379.5</v>
      </c>
      <c r="AF26" s="101">
        <f t="shared" si="16"/>
        <v>20798.900000000001</v>
      </c>
      <c r="AG26" s="101">
        <f t="shared" si="16"/>
        <v>14547</v>
      </c>
      <c r="AH26" s="101">
        <f t="shared" si="16"/>
        <v>43288.75</v>
      </c>
      <c r="AI26" s="101">
        <f t="shared" si="16"/>
        <v>0</v>
      </c>
      <c r="AJ26" s="101">
        <f t="shared" si="16"/>
        <v>12745.95</v>
      </c>
      <c r="AK26" s="101">
        <f t="shared" si="16"/>
        <v>0</v>
      </c>
      <c r="AL26" s="101">
        <f t="shared" si="16"/>
        <v>0</v>
      </c>
      <c r="AM26" s="101">
        <f t="shared" si="16"/>
        <v>23302</v>
      </c>
      <c r="AN26" s="101">
        <f t="shared" si="16"/>
        <v>19656.5</v>
      </c>
      <c r="AO26" s="101">
        <f t="shared" si="16"/>
        <v>0</v>
      </c>
      <c r="AP26" s="101">
        <f t="shared" si="16"/>
        <v>1521.4</v>
      </c>
      <c r="AQ26" s="101">
        <f t="shared" si="16"/>
        <v>50382.15</v>
      </c>
      <c r="AR26" s="101">
        <f t="shared" si="16"/>
        <v>345091.55</v>
      </c>
      <c r="AS26" s="101">
        <f t="shared" si="16"/>
        <v>63177.65</v>
      </c>
      <c r="AT26" s="101">
        <f t="shared" si="16"/>
        <v>0</v>
      </c>
      <c r="AU26" s="101">
        <f t="shared" si="16"/>
        <v>12059.45</v>
      </c>
      <c r="AV26" s="101">
        <f t="shared" si="16"/>
        <v>8745.25</v>
      </c>
      <c r="AW26" s="101">
        <f t="shared" si="16"/>
        <v>60302.7</v>
      </c>
      <c r="AX26" s="101">
        <f t="shared" si="16"/>
        <v>0</v>
      </c>
      <c r="AY26" s="101">
        <f t="shared" si="16"/>
        <v>42677.2</v>
      </c>
      <c r="AZ26" s="101">
        <f t="shared" si="16"/>
        <v>7910.45</v>
      </c>
      <c r="BA26" s="101">
        <f t="shared" si="16"/>
        <v>0</v>
      </c>
      <c r="BB26" s="101">
        <f t="shared" si="16"/>
        <v>163975.9</v>
      </c>
      <c r="BC26" s="101">
        <f t="shared" si="16"/>
        <v>0</v>
      </c>
      <c r="BD26" s="101">
        <f t="shared" si="16"/>
        <v>278670.67</v>
      </c>
      <c r="BE26" s="101">
        <f t="shared" si="16"/>
        <v>23037.200000000001</v>
      </c>
      <c r="BF26" s="101">
        <f t="shared" ref="BF26" si="17">BF27+BF28+BF29</f>
        <v>2129543.5499999993</v>
      </c>
      <c r="BG26" s="101">
        <f t="shared" ref="BG26" si="18">BG27+BG28+BG29</f>
        <v>760005.83000000007</v>
      </c>
      <c r="BH26" s="101">
        <f t="shared" ref="BH26" si="19">BH27+BH28+BH29</f>
        <v>269027.64999999997</v>
      </c>
      <c r="BI26" s="101">
        <f t="shared" ref="BI26" si="20">BI27+BI28+BI29</f>
        <v>1100510.0699999998</v>
      </c>
    </row>
    <row r="27" spans="2:61" x14ac:dyDescent="0.25">
      <c r="C27" s="7">
        <v>520</v>
      </c>
      <c r="D27" s="7" t="s">
        <v>363</v>
      </c>
      <c r="E27" s="15">
        <v>0</v>
      </c>
      <c r="F27" s="15">
        <v>0</v>
      </c>
      <c r="G27" s="15">
        <v>0</v>
      </c>
      <c r="H27" s="15">
        <v>0</v>
      </c>
      <c r="I27" s="15">
        <v>0</v>
      </c>
      <c r="J27" s="15">
        <v>50172.05</v>
      </c>
      <c r="K27" s="15">
        <v>18145.599999999999</v>
      </c>
      <c r="L27" s="15">
        <v>163774.88</v>
      </c>
      <c r="M27" s="15">
        <v>0</v>
      </c>
      <c r="N27" s="15">
        <v>0</v>
      </c>
      <c r="O27" s="15">
        <v>95282.05</v>
      </c>
      <c r="P27" s="15">
        <v>0</v>
      </c>
      <c r="Q27" s="15">
        <v>0</v>
      </c>
      <c r="R27" s="15">
        <v>0</v>
      </c>
      <c r="S27" s="15">
        <v>0</v>
      </c>
      <c r="T27" s="15">
        <v>0</v>
      </c>
      <c r="U27" s="15">
        <v>0</v>
      </c>
      <c r="V27" s="15">
        <v>0</v>
      </c>
      <c r="W27" s="15">
        <v>33813.65</v>
      </c>
      <c r="X27" s="15">
        <v>0</v>
      </c>
      <c r="Y27" s="15">
        <v>0</v>
      </c>
      <c r="Z27" s="15">
        <v>0</v>
      </c>
      <c r="AA27" s="15">
        <v>0</v>
      </c>
      <c r="AB27" s="15">
        <v>0</v>
      </c>
      <c r="AC27" s="15">
        <v>31329.95</v>
      </c>
      <c r="AD27" s="15">
        <v>0</v>
      </c>
      <c r="AE27" s="15">
        <v>4379.5</v>
      </c>
      <c r="AF27" s="15">
        <v>0</v>
      </c>
      <c r="AG27" s="15">
        <v>0</v>
      </c>
      <c r="AH27" s="15">
        <v>0</v>
      </c>
      <c r="AI27" s="15">
        <v>0</v>
      </c>
      <c r="AJ27" s="15">
        <v>0</v>
      </c>
      <c r="AK27" s="15">
        <v>0</v>
      </c>
      <c r="AL27" s="15">
        <v>0</v>
      </c>
      <c r="AM27" s="15">
        <v>0</v>
      </c>
      <c r="AN27" s="15">
        <v>0</v>
      </c>
      <c r="AO27" s="15">
        <v>0</v>
      </c>
      <c r="AP27" s="15">
        <v>0</v>
      </c>
      <c r="AQ27" s="15">
        <v>0</v>
      </c>
      <c r="AR27" s="15">
        <v>0</v>
      </c>
      <c r="AS27" s="15">
        <v>0</v>
      </c>
      <c r="AT27" s="15">
        <v>0</v>
      </c>
      <c r="AU27" s="15">
        <v>0</v>
      </c>
      <c r="AV27" s="15">
        <v>0</v>
      </c>
      <c r="AW27" s="15">
        <v>0</v>
      </c>
      <c r="AX27" s="15">
        <v>0</v>
      </c>
      <c r="AY27" s="15">
        <v>0</v>
      </c>
      <c r="AZ27" s="15">
        <v>0</v>
      </c>
      <c r="BA27" s="15">
        <v>0</v>
      </c>
      <c r="BB27" s="15">
        <v>0</v>
      </c>
      <c r="BC27" s="15">
        <v>0</v>
      </c>
      <c r="BD27" s="15">
        <v>0</v>
      </c>
      <c r="BE27" s="15">
        <v>0</v>
      </c>
      <c r="BF27" s="15">
        <f t="shared" ref="BF27:BF29" si="21">SUM(E27:BE27)</f>
        <v>396897.68000000005</v>
      </c>
      <c r="BG27" s="15">
        <f t="shared" ref="BG27:BG29" si="22">SUM(E27:W27)</f>
        <v>361188.23000000004</v>
      </c>
      <c r="BH27" s="15">
        <f t="shared" ref="BH27:BH29" si="23">SUM(X27:AJ27)</f>
        <v>35709.449999999997</v>
      </c>
      <c r="BI27" s="15">
        <f t="shared" ref="BI27:BI29" si="24">SUM(AK27:BE27)</f>
        <v>0</v>
      </c>
    </row>
    <row r="28" spans="2:61" x14ac:dyDescent="0.25">
      <c r="C28" s="7">
        <v>521</v>
      </c>
      <c r="D28" s="7" t="s">
        <v>364</v>
      </c>
      <c r="E28" s="15">
        <v>0</v>
      </c>
      <c r="F28" s="15">
        <v>0</v>
      </c>
      <c r="G28" s="15">
        <v>0</v>
      </c>
      <c r="H28" s="15">
        <v>0</v>
      </c>
      <c r="I28" s="15">
        <v>0</v>
      </c>
      <c r="J28" s="15">
        <v>0</v>
      </c>
      <c r="K28" s="15">
        <v>0</v>
      </c>
      <c r="L28" s="15">
        <v>0</v>
      </c>
      <c r="M28" s="15">
        <v>0</v>
      </c>
      <c r="N28" s="15">
        <v>0</v>
      </c>
      <c r="O28" s="15">
        <v>0</v>
      </c>
      <c r="P28" s="15">
        <v>0</v>
      </c>
      <c r="Q28" s="15">
        <v>0</v>
      </c>
      <c r="R28" s="15">
        <v>0</v>
      </c>
      <c r="S28" s="15">
        <v>0</v>
      </c>
      <c r="T28" s="15">
        <v>0</v>
      </c>
      <c r="U28" s="15">
        <v>0</v>
      </c>
      <c r="V28" s="15">
        <v>0</v>
      </c>
      <c r="W28" s="15">
        <v>0</v>
      </c>
      <c r="X28" s="15">
        <v>0</v>
      </c>
      <c r="Y28" s="15">
        <v>0</v>
      </c>
      <c r="Z28" s="15">
        <v>0</v>
      </c>
      <c r="AA28" s="15">
        <v>0</v>
      </c>
      <c r="AB28" s="15">
        <v>0</v>
      </c>
      <c r="AC28" s="15">
        <v>0</v>
      </c>
      <c r="AD28" s="15">
        <v>0</v>
      </c>
      <c r="AE28" s="15">
        <v>0</v>
      </c>
      <c r="AF28" s="15">
        <v>0</v>
      </c>
      <c r="AG28" s="15">
        <v>0</v>
      </c>
      <c r="AH28" s="15">
        <v>0</v>
      </c>
      <c r="AI28" s="15">
        <v>0</v>
      </c>
      <c r="AJ28" s="15">
        <v>0</v>
      </c>
      <c r="AK28" s="15">
        <v>0</v>
      </c>
      <c r="AL28" s="15">
        <v>0</v>
      </c>
      <c r="AM28" s="15">
        <v>0</v>
      </c>
      <c r="AN28" s="15">
        <v>0</v>
      </c>
      <c r="AO28" s="15">
        <v>0</v>
      </c>
      <c r="AP28" s="15">
        <v>0</v>
      </c>
      <c r="AQ28" s="15">
        <v>0</v>
      </c>
      <c r="AR28" s="15">
        <v>0</v>
      </c>
      <c r="AS28" s="15">
        <v>0</v>
      </c>
      <c r="AT28" s="15">
        <v>0</v>
      </c>
      <c r="AU28" s="15">
        <v>0</v>
      </c>
      <c r="AV28" s="15">
        <v>0</v>
      </c>
      <c r="AW28" s="15">
        <v>0</v>
      </c>
      <c r="AX28" s="15">
        <v>0</v>
      </c>
      <c r="AY28" s="15">
        <v>0</v>
      </c>
      <c r="AZ28" s="15">
        <v>0</v>
      </c>
      <c r="BA28" s="15">
        <v>0</v>
      </c>
      <c r="BB28" s="15">
        <v>0</v>
      </c>
      <c r="BC28" s="15">
        <v>0</v>
      </c>
      <c r="BD28" s="15">
        <v>0</v>
      </c>
      <c r="BE28" s="15">
        <v>0</v>
      </c>
      <c r="BF28" s="15">
        <f t="shared" si="21"/>
        <v>0</v>
      </c>
      <c r="BG28" s="15">
        <f t="shared" si="22"/>
        <v>0</v>
      </c>
      <c r="BH28" s="15">
        <f t="shared" si="23"/>
        <v>0</v>
      </c>
      <c r="BI28" s="15">
        <f t="shared" si="24"/>
        <v>0</v>
      </c>
    </row>
    <row r="29" spans="2:61" x14ac:dyDescent="0.25">
      <c r="C29" s="7">
        <v>529</v>
      </c>
      <c r="D29" s="7" t="s">
        <v>462</v>
      </c>
      <c r="E29" s="15">
        <v>8481.35</v>
      </c>
      <c r="F29" s="15">
        <v>5923.5</v>
      </c>
      <c r="G29" s="15">
        <v>30833.1</v>
      </c>
      <c r="H29" s="15">
        <v>0</v>
      </c>
      <c r="I29" s="15">
        <v>0</v>
      </c>
      <c r="J29" s="15">
        <v>42562.95</v>
      </c>
      <c r="K29" s="15">
        <v>0</v>
      </c>
      <c r="L29" s="15">
        <v>9231.1</v>
      </c>
      <c r="M29" s="15">
        <v>71490.149999999994</v>
      </c>
      <c r="N29" s="15">
        <v>0</v>
      </c>
      <c r="O29" s="15">
        <v>158051.45000000001</v>
      </c>
      <c r="P29" s="15">
        <v>0</v>
      </c>
      <c r="Q29" s="15">
        <v>0</v>
      </c>
      <c r="R29" s="15">
        <v>0</v>
      </c>
      <c r="S29" s="15">
        <v>0</v>
      </c>
      <c r="T29" s="15">
        <v>0</v>
      </c>
      <c r="U29" s="15">
        <v>8752.4500000000007</v>
      </c>
      <c r="V29" s="15">
        <v>63491.55</v>
      </c>
      <c r="W29" s="15">
        <v>0</v>
      </c>
      <c r="X29" s="15">
        <v>4985.2</v>
      </c>
      <c r="Y29" s="15">
        <v>31023</v>
      </c>
      <c r="Z29" s="15">
        <v>0</v>
      </c>
      <c r="AA29" s="15">
        <v>0</v>
      </c>
      <c r="AB29" s="15">
        <v>0</v>
      </c>
      <c r="AC29" s="15">
        <v>105929.4</v>
      </c>
      <c r="AD29" s="15">
        <v>0</v>
      </c>
      <c r="AE29" s="15">
        <v>0</v>
      </c>
      <c r="AF29" s="15">
        <v>20798.900000000001</v>
      </c>
      <c r="AG29" s="15">
        <v>14547</v>
      </c>
      <c r="AH29" s="15">
        <v>43288.75</v>
      </c>
      <c r="AI29" s="15">
        <v>0</v>
      </c>
      <c r="AJ29" s="15">
        <v>12745.95</v>
      </c>
      <c r="AK29" s="15">
        <v>0</v>
      </c>
      <c r="AL29" s="15">
        <v>0</v>
      </c>
      <c r="AM29" s="15">
        <v>23302</v>
      </c>
      <c r="AN29" s="15">
        <v>19656.5</v>
      </c>
      <c r="AO29" s="15">
        <v>0</v>
      </c>
      <c r="AP29" s="15">
        <v>1521.4</v>
      </c>
      <c r="AQ29" s="15">
        <v>50382.15</v>
      </c>
      <c r="AR29" s="15">
        <v>345091.55</v>
      </c>
      <c r="AS29" s="15">
        <v>63177.65</v>
      </c>
      <c r="AT29" s="15">
        <v>0</v>
      </c>
      <c r="AU29" s="15">
        <v>12059.45</v>
      </c>
      <c r="AV29" s="15">
        <v>8745.25</v>
      </c>
      <c r="AW29" s="15">
        <v>60302.7</v>
      </c>
      <c r="AX29" s="15">
        <v>0</v>
      </c>
      <c r="AY29" s="15">
        <v>42677.2</v>
      </c>
      <c r="AZ29" s="15">
        <v>7910.45</v>
      </c>
      <c r="BA29" s="15">
        <v>0</v>
      </c>
      <c r="BB29" s="15">
        <v>163975.9</v>
      </c>
      <c r="BC29" s="15">
        <v>0</v>
      </c>
      <c r="BD29" s="15">
        <v>278670.67</v>
      </c>
      <c r="BE29" s="15">
        <v>23037.200000000001</v>
      </c>
      <c r="BF29" s="15">
        <f t="shared" si="21"/>
        <v>1732645.8699999994</v>
      </c>
      <c r="BG29" s="15">
        <f t="shared" si="22"/>
        <v>398817.6</v>
      </c>
      <c r="BH29" s="15">
        <f t="shared" si="23"/>
        <v>233318.19999999998</v>
      </c>
      <c r="BI29" s="15">
        <f t="shared" si="24"/>
        <v>1100510.0699999998</v>
      </c>
    </row>
    <row r="30" spans="2:61" x14ac:dyDescent="0.2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row>
    <row r="31" spans="2:61" x14ac:dyDescent="0.25">
      <c r="B31" s="76">
        <v>54</v>
      </c>
      <c r="C31" s="76"/>
      <c r="D31" s="76" t="s">
        <v>249</v>
      </c>
      <c r="E31" s="101">
        <f>E32+E33+E34+E35+E36+E37+E38+E39+E40</f>
        <v>0</v>
      </c>
      <c r="F31" s="101">
        <f t="shared" ref="F31:BE31" si="25">F32+F33+F34+F35+F36+F37+F38+F39+F40</f>
        <v>0</v>
      </c>
      <c r="G31" s="101">
        <f t="shared" si="25"/>
        <v>0</v>
      </c>
      <c r="H31" s="101">
        <f t="shared" si="25"/>
        <v>0</v>
      </c>
      <c r="I31" s="101">
        <f t="shared" si="25"/>
        <v>0</v>
      </c>
      <c r="J31" s="101">
        <f t="shared" si="25"/>
        <v>0</v>
      </c>
      <c r="K31" s="101">
        <f t="shared" si="25"/>
        <v>0</v>
      </c>
      <c r="L31" s="101">
        <f t="shared" si="25"/>
        <v>0</v>
      </c>
      <c r="M31" s="101">
        <f t="shared" si="25"/>
        <v>0</v>
      </c>
      <c r="N31" s="101">
        <f t="shared" si="25"/>
        <v>0</v>
      </c>
      <c r="O31" s="101">
        <f t="shared" si="25"/>
        <v>0</v>
      </c>
      <c r="P31" s="101">
        <f t="shared" si="25"/>
        <v>0</v>
      </c>
      <c r="Q31" s="101">
        <f t="shared" si="25"/>
        <v>0</v>
      </c>
      <c r="R31" s="101">
        <f t="shared" si="25"/>
        <v>0</v>
      </c>
      <c r="S31" s="101">
        <f t="shared" si="25"/>
        <v>0</v>
      </c>
      <c r="T31" s="101">
        <f t="shared" si="25"/>
        <v>0</v>
      </c>
      <c r="U31" s="101">
        <f t="shared" si="25"/>
        <v>0</v>
      </c>
      <c r="V31" s="101">
        <f t="shared" si="25"/>
        <v>0</v>
      </c>
      <c r="W31" s="101">
        <f t="shared" si="25"/>
        <v>0</v>
      </c>
      <c r="X31" s="101">
        <f t="shared" si="25"/>
        <v>0</v>
      </c>
      <c r="Y31" s="101">
        <f t="shared" si="25"/>
        <v>0</v>
      </c>
      <c r="Z31" s="101">
        <f t="shared" si="25"/>
        <v>0</v>
      </c>
      <c r="AA31" s="101">
        <f t="shared" si="25"/>
        <v>0</v>
      </c>
      <c r="AB31" s="101">
        <f t="shared" si="25"/>
        <v>0</v>
      </c>
      <c r="AC31" s="101">
        <f t="shared" si="25"/>
        <v>0</v>
      </c>
      <c r="AD31" s="101">
        <f t="shared" si="25"/>
        <v>0</v>
      </c>
      <c r="AE31" s="101">
        <f t="shared" si="25"/>
        <v>0</v>
      </c>
      <c r="AF31" s="101">
        <f t="shared" si="25"/>
        <v>0</v>
      </c>
      <c r="AG31" s="101">
        <f t="shared" si="25"/>
        <v>0</v>
      </c>
      <c r="AH31" s="101">
        <f t="shared" si="25"/>
        <v>0</v>
      </c>
      <c r="AI31" s="101">
        <f t="shared" si="25"/>
        <v>0</v>
      </c>
      <c r="AJ31" s="101">
        <f t="shared" si="25"/>
        <v>0</v>
      </c>
      <c r="AK31" s="101">
        <f t="shared" si="25"/>
        <v>0</v>
      </c>
      <c r="AL31" s="101">
        <f t="shared" si="25"/>
        <v>0</v>
      </c>
      <c r="AM31" s="101">
        <f t="shared" si="25"/>
        <v>0</v>
      </c>
      <c r="AN31" s="101">
        <f t="shared" si="25"/>
        <v>0</v>
      </c>
      <c r="AO31" s="101">
        <f t="shared" si="25"/>
        <v>0</v>
      </c>
      <c r="AP31" s="101">
        <f t="shared" si="25"/>
        <v>0</v>
      </c>
      <c r="AQ31" s="101">
        <f t="shared" si="25"/>
        <v>0</v>
      </c>
      <c r="AR31" s="101">
        <f t="shared" si="25"/>
        <v>0</v>
      </c>
      <c r="AS31" s="101">
        <f t="shared" si="25"/>
        <v>0</v>
      </c>
      <c r="AT31" s="101">
        <f t="shared" si="25"/>
        <v>0</v>
      </c>
      <c r="AU31" s="101">
        <f t="shared" si="25"/>
        <v>0</v>
      </c>
      <c r="AV31" s="101">
        <f t="shared" si="25"/>
        <v>0</v>
      </c>
      <c r="AW31" s="101">
        <f t="shared" si="25"/>
        <v>0</v>
      </c>
      <c r="AX31" s="101">
        <f t="shared" si="25"/>
        <v>0</v>
      </c>
      <c r="AY31" s="101">
        <f t="shared" si="25"/>
        <v>0</v>
      </c>
      <c r="AZ31" s="101">
        <f t="shared" si="25"/>
        <v>0</v>
      </c>
      <c r="BA31" s="101">
        <f t="shared" si="25"/>
        <v>0</v>
      </c>
      <c r="BB31" s="101">
        <f t="shared" si="25"/>
        <v>0</v>
      </c>
      <c r="BC31" s="101">
        <f t="shared" si="25"/>
        <v>0</v>
      </c>
      <c r="BD31" s="101">
        <f t="shared" si="25"/>
        <v>0</v>
      </c>
      <c r="BE31" s="101">
        <f t="shared" si="25"/>
        <v>0</v>
      </c>
      <c r="BF31" s="101">
        <f t="shared" ref="BF31" si="26">BF32+BF33+BF34+BF35+BF36+BF37+BF38+BF39+BF40</f>
        <v>0</v>
      </c>
      <c r="BG31" s="101">
        <f t="shared" ref="BG31" si="27">BG32+BG33+BG34+BG35+BG36+BG37+BG38+BG39+BG40</f>
        <v>0</v>
      </c>
      <c r="BH31" s="101">
        <f t="shared" ref="BH31" si="28">BH32+BH33+BH34+BH35+BH36+BH37+BH38+BH39+BH40</f>
        <v>0</v>
      </c>
      <c r="BI31" s="101">
        <f t="shared" ref="BI31" si="29">BI32+BI33+BI34+BI35+BI36+BI37+BI38+BI39+BI40</f>
        <v>0</v>
      </c>
    </row>
    <row r="32" spans="2:61" x14ac:dyDescent="0.25">
      <c r="C32" s="7">
        <v>540</v>
      </c>
      <c r="D32" s="7" t="s">
        <v>463</v>
      </c>
      <c r="E32" s="15">
        <v>0</v>
      </c>
      <c r="F32" s="15">
        <v>0</v>
      </c>
      <c r="G32" s="15">
        <v>0</v>
      </c>
      <c r="H32" s="15">
        <v>0</v>
      </c>
      <c r="I32" s="15">
        <v>0</v>
      </c>
      <c r="J32" s="15">
        <v>0</v>
      </c>
      <c r="K32" s="15">
        <v>0</v>
      </c>
      <c r="L32" s="15">
        <v>0</v>
      </c>
      <c r="M32" s="15">
        <v>0</v>
      </c>
      <c r="N32" s="15">
        <v>0</v>
      </c>
      <c r="O32" s="15">
        <v>0</v>
      </c>
      <c r="P32" s="15">
        <v>0</v>
      </c>
      <c r="Q32" s="15">
        <v>0</v>
      </c>
      <c r="R32" s="15">
        <v>0</v>
      </c>
      <c r="S32" s="15">
        <v>0</v>
      </c>
      <c r="T32" s="15">
        <v>0</v>
      </c>
      <c r="U32" s="15">
        <v>0</v>
      </c>
      <c r="V32" s="15">
        <v>0</v>
      </c>
      <c r="W32" s="15">
        <v>0</v>
      </c>
      <c r="X32" s="15">
        <v>0</v>
      </c>
      <c r="Y32" s="15">
        <v>0</v>
      </c>
      <c r="Z32" s="15">
        <v>0</v>
      </c>
      <c r="AA32" s="15">
        <v>0</v>
      </c>
      <c r="AB32" s="15">
        <v>0</v>
      </c>
      <c r="AC32" s="15">
        <v>0</v>
      </c>
      <c r="AD32" s="15">
        <v>0</v>
      </c>
      <c r="AE32" s="15">
        <v>0</v>
      </c>
      <c r="AF32" s="15">
        <v>0</v>
      </c>
      <c r="AG32" s="15">
        <v>0</v>
      </c>
      <c r="AH32" s="15">
        <v>0</v>
      </c>
      <c r="AI32" s="15">
        <v>0</v>
      </c>
      <c r="AJ32" s="15">
        <v>0</v>
      </c>
      <c r="AK32" s="15">
        <v>0</v>
      </c>
      <c r="AL32" s="15">
        <v>0</v>
      </c>
      <c r="AM32" s="15">
        <v>0</v>
      </c>
      <c r="AN32" s="15">
        <v>0</v>
      </c>
      <c r="AO32" s="15">
        <v>0</v>
      </c>
      <c r="AP32" s="15">
        <v>0</v>
      </c>
      <c r="AQ32" s="15">
        <v>0</v>
      </c>
      <c r="AR32" s="15">
        <v>0</v>
      </c>
      <c r="AS32" s="15">
        <v>0</v>
      </c>
      <c r="AT32" s="15">
        <v>0</v>
      </c>
      <c r="AU32" s="15">
        <v>0</v>
      </c>
      <c r="AV32" s="15">
        <v>0</v>
      </c>
      <c r="AW32" s="15">
        <v>0</v>
      </c>
      <c r="AX32" s="15">
        <v>0</v>
      </c>
      <c r="AY32" s="15">
        <v>0</v>
      </c>
      <c r="AZ32" s="15">
        <v>0</v>
      </c>
      <c r="BA32" s="15">
        <v>0</v>
      </c>
      <c r="BB32" s="15">
        <v>0</v>
      </c>
      <c r="BC32" s="15">
        <v>0</v>
      </c>
      <c r="BD32" s="15">
        <v>0</v>
      </c>
      <c r="BE32" s="15">
        <v>0</v>
      </c>
      <c r="BF32" s="15">
        <f t="shared" ref="BF32:BF40" si="30">SUM(E32:BE32)</f>
        <v>0</v>
      </c>
      <c r="BG32" s="15">
        <f t="shared" ref="BG32:BG40" si="31">SUM(E32:W32)</f>
        <v>0</v>
      </c>
      <c r="BH32" s="15">
        <f t="shared" ref="BH32:BH40" si="32">SUM(X32:AJ32)</f>
        <v>0</v>
      </c>
      <c r="BI32" s="15">
        <f t="shared" ref="BI32:BI40" si="33">SUM(AK32:BE32)</f>
        <v>0</v>
      </c>
    </row>
    <row r="33" spans="2:61" x14ac:dyDescent="0.25">
      <c r="C33" s="7">
        <v>541</v>
      </c>
      <c r="D33" s="7" t="s">
        <v>464</v>
      </c>
      <c r="E33" s="15">
        <v>0</v>
      </c>
      <c r="F33" s="15">
        <v>0</v>
      </c>
      <c r="G33" s="15">
        <v>0</v>
      </c>
      <c r="H33" s="15">
        <v>0</v>
      </c>
      <c r="I33" s="15">
        <v>0</v>
      </c>
      <c r="J33" s="15">
        <v>0</v>
      </c>
      <c r="K33" s="15">
        <v>0</v>
      </c>
      <c r="L33" s="15">
        <v>0</v>
      </c>
      <c r="M33" s="15">
        <v>0</v>
      </c>
      <c r="N33" s="15">
        <v>0</v>
      </c>
      <c r="O33" s="15">
        <v>0</v>
      </c>
      <c r="P33" s="15">
        <v>0</v>
      </c>
      <c r="Q33" s="15">
        <v>0</v>
      </c>
      <c r="R33" s="15">
        <v>0</v>
      </c>
      <c r="S33" s="15">
        <v>0</v>
      </c>
      <c r="T33" s="15">
        <v>0</v>
      </c>
      <c r="U33" s="15">
        <v>0</v>
      </c>
      <c r="V33" s="15">
        <v>0</v>
      </c>
      <c r="W33" s="15">
        <v>0</v>
      </c>
      <c r="X33" s="15">
        <v>0</v>
      </c>
      <c r="Y33" s="15">
        <v>0</v>
      </c>
      <c r="Z33" s="15">
        <v>0</v>
      </c>
      <c r="AA33" s="15">
        <v>0</v>
      </c>
      <c r="AB33" s="15">
        <v>0</v>
      </c>
      <c r="AC33" s="15">
        <v>0</v>
      </c>
      <c r="AD33" s="15">
        <v>0</v>
      </c>
      <c r="AE33" s="15">
        <v>0</v>
      </c>
      <c r="AF33" s="15">
        <v>0</v>
      </c>
      <c r="AG33" s="15">
        <v>0</v>
      </c>
      <c r="AH33" s="15">
        <v>0</v>
      </c>
      <c r="AI33" s="15">
        <v>0</v>
      </c>
      <c r="AJ33" s="15">
        <v>0</v>
      </c>
      <c r="AK33" s="15">
        <v>0</v>
      </c>
      <c r="AL33" s="15">
        <v>0</v>
      </c>
      <c r="AM33" s="15">
        <v>0</v>
      </c>
      <c r="AN33" s="15">
        <v>0</v>
      </c>
      <c r="AO33" s="15">
        <v>0</v>
      </c>
      <c r="AP33" s="15">
        <v>0</v>
      </c>
      <c r="AQ33" s="15">
        <v>0</v>
      </c>
      <c r="AR33" s="15">
        <v>0</v>
      </c>
      <c r="AS33" s="15">
        <v>0</v>
      </c>
      <c r="AT33" s="15">
        <v>0</v>
      </c>
      <c r="AU33" s="15">
        <v>0</v>
      </c>
      <c r="AV33" s="15">
        <v>0</v>
      </c>
      <c r="AW33" s="15">
        <v>0</v>
      </c>
      <c r="AX33" s="15">
        <v>0</v>
      </c>
      <c r="AY33" s="15">
        <v>0</v>
      </c>
      <c r="AZ33" s="15">
        <v>0</v>
      </c>
      <c r="BA33" s="15">
        <v>0</v>
      </c>
      <c r="BB33" s="15">
        <v>0</v>
      </c>
      <c r="BC33" s="15">
        <v>0</v>
      </c>
      <c r="BD33" s="15">
        <v>0</v>
      </c>
      <c r="BE33" s="15">
        <v>0</v>
      </c>
      <c r="BF33" s="15">
        <f t="shared" si="30"/>
        <v>0</v>
      </c>
      <c r="BG33" s="15">
        <f t="shared" si="31"/>
        <v>0</v>
      </c>
      <c r="BH33" s="15">
        <f t="shared" si="32"/>
        <v>0</v>
      </c>
      <c r="BI33" s="15">
        <f t="shared" si="33"/>
        <v>0</v>
      </c>
    </row>
    <row r="34" spans="2:61" x14ac:dyDescent="0.25">
      <c r="C34" s="7">
        <v>542</v>
      </c>
      <c r="D34" s="7" t="s">
        <v>465</v>
      </c>
      <c r="E34" s="15">
        <v>0</v>
      </c>
      <c r="F34" s="15">
        <v>0</v>
      </c>
      <c r="G34" s="15">
        <v>0</v>
      </c>
      <c r="H34" s="15">
        <v>0</v>
      </c>
      <c r="I34" s="15">
        <v>0</v>
      </c>
      <c r="J34" s="15">
        <v>0</v>
      </c>
      <c r="K34" s="15">
        <v>0</v>
      </c>
      <c r="L34" s="15">
        <v>0</v>
      </c>
      <c r="M34" s="15">
        <v>0</v>
      </c>
      <c r="N34" s="15">
        <v>0</v>
      </c>
      <c r="O34" s="15">
        <v>0</v>
      </c>
      <c r="P34" s="15">
        <v>0</v>
      </c>
      <c r="Q34" s="15">
        <v>0</v>
      </c>
      <c r="R34" s="15">
        <v>0</v>
      </c>
      <c r="S34" s="15">
        <v>0</v>
      </c>
      <c r="T34" s="15">
        <v>0</v>
      </c>
      <c r="U34" s="15">
        <v>0</v>
      </c>
      <c r="V34" s="15">
        <v>0</v>
      </c>
      <c r="W34" s="15">
        <v>0</v>
      </c>
      <c r="X34" s="15">
        <v>0</v>
      </c>
      <c r="Y34" s="15">
        <v>0</v>
      </c>
      <c r="Z34" s="15">
        <v>0</v>
      </c>
      <c r="AA34" s="15">
        <v>0</v>
      </c>
      <c r="AB34" s="15">
        <v>0</v>
      </c>
      <c r="AC34" s="15">
        <v>0</v>
      </c>
      <c r="AD34" s="15">
        <v>0</v>
      </c>
      <c r="AE34" s="15">
        <v>0</v>
      </c>
      <c r="AF34" s="15">
        <v>0</v>
      </c>
      <c r="AG34" s="15">
        <v>0</v>
      </c>
      <c r="AH34" s="15">
        <v>0</v>
      </c>
      <c r="AI34" s="15">
        <v>0</v>
      </c>
      <c r="AJ34" s="15">
        <v>0</v>
      </c>
      <c r="AK34" s="15">
        <v>0</v>
      </c>
      <c r="AL34" s="15">
        <v>0</v>
      </c>
      <c r="AM34" s="15">
        <v>0</v>
      </c>
      <c r="AN34" s="15">
        <v>0</v>
      </c>
      <c r="AO34" s="15">
        <v>0</v>
      </c>
      <c r="AP34" s="15">
        <v>0</v>
      </c>
      <c r="AQ34" s="15">
        <v>0</v>
      </c>
      <c r="AR34" s="15">
        <v>0</v>
      </c>
      <c r="AS34" s="15">
        <v>0</v>
      </c>
      <c r="AT34" s="15">
        <v>0</v>
      </c>
      <c r="AU34" s="15">
        <v>0</v>
      </c>
      <c r="AV34" s="15">
        <v>0</v>
      </c>
      <c r="AW34" s="15">
        <v>0</v>
      </c>
      <c r="AX34" s="15">
        <v>0</v>
      </c>
      <c r="AY34" s="15">
        <v>0</v>
      </c>
      <c r="AZ34" s="15">
        <v>0</v>
      </c>
      <c r="BA34" s="15">
        <v>0</v>
      </c>
      <c r="BB34" s="15">
        <v>0</v>
      </c>
      <c r="BC34" s="15">
        <v>0</v>
      </c>
      <c r="BD34" s="15">
        <v>0</v>
      </c>
      <c r="BE34" s="15">
        <v>0</v>
      </c>
      <c r="BF34" s="15">
        <f t="shared" si="30"/>
        <v>0</v>
      </c>
      <c r="BG34" s="15">
        <f t="shared" si="31"/>
        <v>0</v>
      </c>
      <c r="BH34" s="15">
        <f t="shared" si="32"/>
        <v>0</v>
      </c>
      <c r="BI34" s="15">
        <f t="shared" si="33"/>
        <v>0</v>
      </c>
    </row>
    <row r="35" spans="2:61" x14ac:dyDescent="0.25">
      <c r="C35" s="7">
        <v>543</v>
      </c>
      <c r="D35" s="7" t="s">
        <v>466</v>
      </c>
      <c r="E35" s="15">
        <v>0</v>
      </c>
      <c r="F35" s="15">
        <v>0</v>
      </c>
      <c r="G35" s="15">
        <v>0</v>
      </c>
      <c r="H35" s="15">
        <v>0</v>
      </c>
      <c r="I35" s="15">
        <v>0</v>
      </c>
      <c r="J35" s="15">
        <v>0</v>
      </c>
      <c r="K35" s="15">
        <v>0</v>
      </c>
      <c r="L35" s="15">
        <v>0</v>
      </c>
      <c r="M35" s="15">
        <v>0</v>
      </c>
      <c r="N35" s="15">
        <v>0</v>
      </c>
      <c r="O35" s="15">
        <v>0</v>
      </c>
      <c r="P35" s="15">
        <v>0</v>
      </c>
      <c r="Q35" s="15">
        <v>0</v>
      </c>
      <c r="R35" s="15">
        <v>0</v>
      </c>
      <c r="S35" s="15">
        <v>0</v>
      </c>
      <c r="T35" s="15">
        <v>0</v>
      </c>
      <c r="U35" s="15">
        <v>0</v>
      </c>
      <c r="V35" s="15">
        <v>0</v>
      </c>
      <c r="W35" s="15">
        <v>0</v>
      </c>
      <c r="X35" s="15">
        <v>0</v>
      </c>
      <c r="Y35" s="15">
        <v>0</v>
      </c>
      <c r="Z35" s="15">
        <v>0</v>
      </c>
      <c r="AA35" s="15">
        <v>0</v>
      </c>
      <c r="AB35" s="15">
        <v>0</v>
      </c>
      <c r="AC35" s="15">
        <v>0</v>
      </c>
      <c r="AD35" s="15">
        <v>0</v>
      </c>
      <c r="AE35" s="15">
        <v>0</v>
      </c>
      <c r="AF35" s="15">
        <v>0</v>
      </c>
      <c r="AG35" s="15">
        <v>0</v>
      </c>
      <c r="AH35" s="15">
        <v>0</v>
      </c>
      <c r="AI35" s="15">
        <v>0</v>
      </c>
      <c r="AJ35" s="15">
        <v>0</v>
      </c>
      <c r="AK35" s="15">
        <v>0</v>
      </c>
      <c r="AL35" s="15">
        <v>0</v>
      </c>
      <c r="AM35" s="15">
        <v>0</v>
      </c>
      <c r="AN35" s="15">
        <v>0</v>
      </c>
      <c r="AO35" s="15">
        <v>0</v>
      </c>
      <c r="AP35" s="15">
        <v>0</v>
      </c>
      <c r="AQ35" s="15">
        <v>0</v>
      </c>
      <c r="AR35" s="15">
        <v>0</v>
      </c>
      <c r="AS35" s="15">
        <v>0</v>
      </c>
      <c r="AT35" s="15">
        <v>0</v>
      </c>
      <c r="AU35" s="15">
        <v>0</v>
      </c>
      <c r="AV35" s="15">
        <v>0</v>
      </c>
      <c r="AW35" s="15">
        <v>0</v>
      </c>
      <c r="AX35" s="15">
        <v>0</v>
      </c>
      <c r="AY35" s="15">
        <v>0</v>
      </c>
      <c r="AZ35" s="15">
        <v>0</v>
      </c>
      <c r="BA35" s="15">
        <v>0</v>
      </c>
      <c r="BB35" s="15">
        <v>0</v>
      </c>
      <c r="BC35" s="15">
        <v>0</v>
      </c>
      <c r="BD35" s="15">
        <v>0</v>
      </c>
      <c r="BE35" s="15">
        <v>0</v>
      </c>
      <c r="BF35" s="15">
        <f t="shared" si="30"/>
        <v>0</v>
      </c>
      <c r="BG35" s="15">
        <f t="shared" si="31"/>
        <v>0</v>
      </c>
      <c r="BH35" s="15">
        <f t="shared" si="32"/>
        <v>0</v>
      </c>
      <c r="BI35" s="15">
        <f t="shared" si="33"/>
        <v>0</v>
      </c>
    </row>
    <row r="36" spans="2:61" x14ac:dyDescent="0.25">
      <c r="C36" s="7">
        <v>544</v>
      </c>
      <c r="D36" s="7" t="s">
        <v>467</v>
      </c>
      <c r="E36" s="15">
        <v>0</v>
      </c>
      <c r="F36" s="15">
        <v>0</v>
      </c>
      <c r="G36" s="15">
        <v>0</v>
      </c>
      <c r="H36" s="15">
        <v>0</v>
      </c>
      <c r="I36" s="15">
        <v>0</v>
      </c>
      <c r="J36" s="15">
        <v>0</v>
      </c>
      <c r="K36" s="15">
        <v>0</v>
      </c>
      <c r="L36" s="15">
        <v>0</v>
      </c>
      <c r="M36" s="15">
        <v>0</v>
      </c>
      <c r="N36" s="15">
        <v>0</v>
      </c>
      <c r="O36" s="15">
        <v>0</v>
      </c>
      <c r="P36" s="15">
        <v>0</v>
      </c>
      <c r="Q36" s="15">
        <v>0</v>
      </c>
      <c r="R36" s="15">
        <v>0</v>
      </c>
      <c r="S36" s="15">
        <v>0</v>
      </c>
      <c r="T36" s="15">
        <v>0</v>
      </c>
      <c r="U36" s="15">
        <v>0</v>
      </c>
      <c r="V36" s="15">
        <v>0</v>
      </c>
      <c r="W36" s="15">
        <v>0</v>
      </c>
      <c r="X36" s="15">
        <v>0</v>
      </c>
      <c r="Y36" s="15">
        <v>0</v>
      </c>
      <c r="Z36" s="15">
        <v>0</v>
      </c>
      <c r="AA36" s="15">
        <v>0</v>
      </c>
      <c r="AB36" s="15">
        <v>0</v>
      </c>
      <c r="AC36" s="15">
        <v>0</v>
      </c>
      <c r="AD36" s="15">
        <v>0</v>
      </c>
      <c r="AE36" s="15">
        <v>0</v>
      </c>
      <c r="AF36" s="15">
        <v>0</v>
      </c>
      <c r="AG36" s="15">
        <v>0</v>
      </c>
      <c r="AH36" s="15">
        <v>0</v>
      </c>
      <c r="AI36" s="15">
        <v>0</v>
      </c>
      <c r="AJ36" s="15">
        <v>0</v>
      </c>
      <c r="AK36" s="15">
        <v>0</v>
      </c>
      <c r="AL36" s="15">
        <v>0</v>
      </c>
      <c r="AM36" s="15">
        <v>0</v>
      </c>
      <c r="AN36" s="15">
        <v>0</v>
      </c>
      <c r="AO36" s="15">
        <v>0</v>
      </c>
      <c r="AP36" s="15">
        <v>0</v>
      </c>
      <c r="AQ36" s="15">
        <v>0</v>
      </c>
      <c r="AR36" s="15">
        <v>0</v>
      </c>
      <c r="AS36" s="15">
        <v>0</v>
      </c>
      <c r="AT36" s="15">
        <v>0</v>
      </c>
      <c r="AU36" s="15">
        <v>0</v>
      </c>
      <c r="AV36" s="15">
        <v>0</v>
      </c>
      <c r="AW36" s="15">
        <v>0</v>
      </c>
      <c r="AX36" s="15">
        <v>0</v>
      </c>
      <c r="AY36" s="15">
        <v>0</v>
      </c>
      <c r="AZ36" s="15">
        <v>0</v>
      </c>
      <c r="BA36" s="15">
        <v>0</v>
      </c>
      <c r="BB36" s="15">
        <v>0</v>
      </c>
      <c r="BC36" s="15">
        <v>0</v>
      </c>
      <c r="BD36" s="15">
        <v>0</v>
      </c>
      <c r="BE36" s="15">
        <v>0</v>
      </c>
      <c r="BF36" s="15">
        <f t="shared" si="30"/>
        <v>0</v>
      </c>
      <c r="BG36" s="15">
        <f t="shared" si="31"/>
        <v>0</v>
      </c>
      <c r="BH36" s="15">
        <f t="shared" si="32"/>
        <v>0</v>
      </c>
      <c r="BI36" s="15">
        <f t="shared" si="33"/>
        <v>0</v>
      </c>
    </row>
    <row r="37" spans="2:61" x14ac:dyDescent="0.25">
      <c r="C37" s="7">
        <v>545</v>
      </c>
      <c r="D37" s="7" t="s">
        <v>468</v>
      </c>
      <c r="E37" s="15">
        <v>0</v>
      </c>
      <c r="F37" s="15">
        <v>0</v>
      </c>
      <c r="G37" s="15">
        <v>0</v>
      </c>
      <c r="H37" s="15">
        <v>0</v>
      </c>
      <c r="I37" s="15">
        <v>0</v>
      </c>
      <c r="J37" s="15">
        <v>0</v>
      </c>
      <c r="K37" s="15">
        <v>0</v>
      </c>
      <c r="L37" s="15">
        <v>0</v>
      </c>
      <c r="M37" s="15">
        <v>0</v>
      </c>
      <c r="N37" s="15">
        <v>0</v>
      </c>
      <c r="O37" s="15">
        <v>0</v>
      </c>
      <c r="P37" s="15">
        <v>0</v>
      </c>
      <c r="Q37" s="15">
        <v>0</v>
      </c>
      <c r="R37" s="15">
        <v>0</v>
      </c>
      <c r="S37" s="15">
        <v>0</v>
      </c>
      <c r="T37" s="15">
        <v>0</v>
      </c>
      <c r="U37" s="15">
        <v>0</v>
      </c>
      <c r="V37" s="15">
        <v>0</v>
      </c>
      <c r="W37" s="15">
        <v>0</v>
      </c>
      <c r="X37" s="15">
        <v>0</v>
      </c>
      <c r="Y37" s="15">
        <v>0</v>
      </c>
      <c r="Z37" s="15">
        <v>0</v>
      </c>
      <c r="AA37" s="15">
        <v>0</v>
      </c>
      <c r="AB37" s="15">
        <v>0</v>
      </c>
      <c r="AC37" s="15">
        <v>0</v>
      </c>
      <c r="AD37" s="15">
        <v>0</v>
      </c>
      <c r="AE37" s="15">
        <v>0</v>
      </c>
      <c r="AF37" s="15">
        <v>0</v>
      </c>
      <c r="AG37" s="15">
        <v>0</v>
      </c>
      <c r="AH37" s="15">
        <v>0</v>
      </c>
      <c r="AI37" s="15">
        <v>0</v>
      </c>
      <c r="AJ37" s="15">
        <v>0</v>
      </c>
      <c r="AK37" s="15">
        <v>0</v>
      </c>
      <c r="AL37" s="15">
        <v>0</v>
      </c>
      <c r="AM37" s="15">
        <v>0</v>
      </c>
      <c r="AN37" s="15">
        <v>0</v>
      </c>
      <c r="AO37" s="15">
        <v>0</v>
      </c>
      <c r="AP37" s="15">
        <v>0</v>
      </c>
      <c r="AQ37" s="15">
        <v>0</v>
      </c>
      <c r="AR37" s="15">
        <v>0</v>
      </c>
      <c r="AS37" s="15">
        <v>0</v>
      </c>
      <c r="AT37" s="15">
        <v>0</v>
      </c>
      <c r="AU37" s="15">
        <v>0</v>
      </c>
      <c r="AV37" s="15">
        <v>0</v>
      </c>
      <c r="AW37" s="15">
        <v>0</v>
      </c>
      <c r="AX37" s="15">
        <v>0</v>
      </c>
      <c r="AY37" s="15">
        <v>0</v>
      </c>
      <c r="AZ37" s="15">
        <v>0</v>
      </c>
      <c r="BA37" s="15">
        <v>0</v>
      </c>
      <c r="BB37" s="15">
        <v>0</v>
      </c>
      <c r="BC37" s="15">
        <v>0</v>
      </c>
      <c r="BD37" s="15">
        <v>0</v>
      </c>
      <c r="BE37" s="15">
        <v>0</v>
      </c>
      <c r="BF37" s="15">
        <f t="shared" si="30"/>
        <v>0</v>
      </c>
      <c r="BG37" s="15">
        <f t="shared" si="31"/>
        <v>0</v>
      </c>
      <c r="BH37" s="15">
        <f t="shared" si="32"/>
        <v>0</v>
      </c>
      <c r="BI37" s="15">
        <f t="shared" si="33"/>
        <v>0</v>
      </c>
    </row>
    <row r="38" spans="2:61" x14ac:dyDescent="0.25">
      <c r="C38" s="7">
        <v>546</v>
      </c>
      <c r="D38" s="7" t="s">
        <v>469</v>
      </c>
      <c r="E38" s="15">
        <v>0</v>
      </c>
      <c r="F38" s="15">
        <v>0</v>
      </c>
      <c r="G38" s="15">
        <v>0</v>
      </c>
      <c r="H38" s="15">
        <v>0</v>
      </c>
      <c r="I38" s="15">
        <v>0</v>
      </c>
      <c r="J38" s="15">
        <v>0</v>
      </c>
      <c r="K38" s="15">
        <v>0</v>
      </c>
      <c r="L38" s="15">
        <v>0</v>
      </c>
      <c r="M38" s="15">
        <v>0</v>
      </c>
      <c r="N38" s="15">
        <v>0</v>
      </c>
      <c r="O38" s="15">
        <v>0</v>
      </c>
      <c r="P38" s="15">
        <v>0</v>
      </c>
      <c r="Q38" s="15">
        <v>0</v>
      </c>
      <c r="R38" s="15">
        <v>0</v>
      </c>
      <c r="S38" s="15">
        <v>0</v>
      </c>
      <c r="T38" s="15">
        <v>0</v>
      </c>
      <c r="U38" s="15">
        <v>0</v>
      </c>
      <c r="V38" s="15">
        <v>0</v>
      </c>
      <c r="W38" s="15">
        <v>0</v>
      </c>
      <c r="X38" s="15">
        <v>0</v>
      </c>
      <c r="Y38" s="15">
        <v>0</v>
      </c>
      <c r="Z38" s="15">
        <v>0</v>
      </c>
      <c r="AA38" s="15">
        <v>0</v>
      </c>
      <c r="AB38" s="15">
        <v>0</v>
      </c>
      <c r="AC38" s="15">
        <v>0</v>
      </c>
      <c r="AD38" s="15">
        <v>0</v>
      </c>
      <c r="AE38" s="15">
        <v>0</v>
      </c>
      <c r="AF38" s="15">
        <v>0</v>
      </c>
      <c r="AG38" s="15">
        <v>0</v>
      </c>
      <c r="AH38" s="15">
        <v>0</v>
      </c>
      <c r="AI38" s="15">
        <v>0</v>
      </c>
      <c r="AJ38" s="15">
        <v>0</v>
      </c>
      <c r="AK38" s="15">
        <v>0</v>
      </c>
      <c r="AL38" s="15">
        <v>0</v>
      </c>
      <c r="AM38" s="15">
        <v>0</v>
      </c>
      <c r="AN38" s="15">
        <v>0</v>
      </c>
      <c r="AO38" s="15">
        <v>0</v>
      </c>
      <c r="AP38" s="15">
        <v>0</v>
      </c>
      <c r="AQ38" s="15">
        <v>0</v>
      </c>
      <c r="AR38" s="15">
        <v>0</v>
      </c>
      <c r="AS38" s="15">
        <v>0</v>
      </c>
      <c r="AT38" s="15">
        <v>0</v>
      </c>
      <c r="AU38" s="15">
        <v>0</v>
      </c>
      <c r="AV38" s="15">
        <v>0</v>
      </c>
      <c r="AW38" s="15">
        <v>0</v>
      </c>
      <c r="AX38" s="15">
        <v>0</v>
      </c>
      <c r="AY38" s="15">
        <v>0</v>
      </c>
      <c r="AZ38" s="15">
        <v>0</v>
      </c>
      <c r="BA38" s="15">
        <v>0</v>
      </c>
      <c r="BB38" s="15">
        <v>0</v>
      </c>
      <c r="BC38" s="15">
        <v>0</v>
      </c>
      <c r="BD38" s="15">
        <v>0</v>
      </c>
      <c r="BE38" s="15">
        <v>0</v>
      </c>
      <c r="BF38" s="15">
        <f t="shared" si="30"/>
        <v>0</v>
      </c>
      <c r="BG38" s="15">
        <f t="shared" si="31"/>
        <v>0</v>
      </c>
      <c r="BH38" s="15">
        <f t="shared" si="32"/>
        <v>0</v>
      </c>
      <c r="BI38" s="15">
        <f t="shared" si="33"/>
        <v>0</v>
      </c>
    </row>
    <row r="39" spans="2:61" x14ac:dyDescent="0.25">
      <c r="C39" s="7">
        <v>547</v>
      </c>
      <c r="D39" s="7" t="s">
        <v>470</v>
      </c>
      <c r="E39" s="15">
        <v>0</v>
      </c>
      <c r="F39" s="15">
        <v>0</v>
      </c>
      <c r="G39" s="15">
        <v>0</v>
      </c>
      <c r="H39" s="15">
        <v>0</v>
      </c>
      <c r="I39" s="15">
        <v>0</v>
      </c>
      <c r="J39" s="15">
        <v>0</v>
      </c>
      <c r="K39" s="15">
        <v>0</v>
      </c>
      <c r="L39" s="15">
        <v>0</v>
      </c>
      <c r="M39" s="15">
        <v>0</v>
      </c>
      <c r="N39" s="15">
        <v>0</v>
      </c>
      <c r="O39" s="15">
        <v>0</v>
      </c>
      <c r="P39" s="15">
        <v>0</v>
      </c>
      <c r="Q39" s="15">
        <v>0</v>
      </c>
      <c r="R39" s="15">
        <v>0</v>
      </c>
      <c r="S39" s="15">
        <v>0</v>
      </c>
      <c r="T39" s="15">
        <v>0</v>
      </c>
      <c r="U39" s="15">
        <v>0</v>
      </c>
      <c r="V39" s="15">
        <v>0</v>
      </c>
      <c r="W39" s="15">
        <v>0</v>
      </c>
      <c r="X39" s="15">
        <v>0</v>
      </c>
      <c r="Y39" s="15">
        <v>0</v>
      </c>
      <c r="Z39" s="15">
        <v>0</v>
      </c>
      <c r="AA39" s="15">
        <v>0</v>
      </c>
      <c r="AB39" s="15">
        <v>0</v>
      </c>
      <c r="AC39" s="15">
        <v>0</v>
      </c>
      <c r="AD39" s="15">
        <v>0</v>
      </c>
      <c r="AE39" s="15">
        <v>0</v>
      </c>
      <c r="AF39" s="15">
        <v>0</v>
      </c>
      <c r="AG39" s="15">
        <v>0</v>
      </c>
      <c r="AH39" s="15">
        <v>0</v>
      </c>
      <c r="AI39" s="15">
        <v>0</v>
      </c>
      <c r="AJ39" s="15">
        <v>0</v>
      </c>
      <c r="AK39" s="15">
        <v>0</v>
      </c>
      <c r="AL39" s="15">
        <v>0</v>
      </c>
      <c r="AM39" s="15">
        <v>0</v>
      </c>
      <c r="AN39" s="15">
        <v>0</v>
      </c>
      <c r="AO39" s="15">
        <v>0</v>
      </c>
      <c r="AP39" s="15">
        <v>0</v>
      </c>
      <c r="AQ39" s="15">
        <v>0</v>
      </c>
      <c r="AR39" s="15">
        <v>0</v>
      </c>
      <c r="AS39" s="15">
        <v>0</v>
      </c>
      <c r="AT39" s="15">
        <v>0</v>
      </c>
      <c r="AU39" s="15">
        <v>0</v>
      </c>
      <c r="AV39" s="15">
        <v>0</v>
      </c>
      <c r="AW39" s="15">
        <v>0</v>
      </c>
      <c r="AX39" s="15">
        <v>0</v>
      </c>
      <c r="AY39" s="15">
        <v>0</v>
      </c>
      <c r="AZ39" s="15">
        <v>0</v>
      </c>
      <c r="BA39" s="15">
        <v>0</v>
      </c>
      <c r="BB39" s="15">
        <v>0</v>
      </c>
      <c r="BC39" s="15">
        <v>0</v>
      </c>
      <c r="BD39" s="15">
        <v>0</v>
      </c>
      <c r="BE39" s="15">
        <v>0</v>
      </c>
      <c r="BF39" s="15">
        <f t="shared" si="30"/>
        <v>0</v>
      </c>
      <c r="BG39" s="15">
        <f t="shared" si="31"/>
        <v>0</v>
      </c>
      <c r="BH39" s="15">
        <f t="shared" si="32"/>
        <v>0</v>
      </c>
      <c r="BI39" s="15">
        <f t="shared" si="33"/>
        <v>0</v>
      </c>
    </row>
    <row r="40" spans="2:61" x14ac:dyDescent="0.25">
      <c r="C40" s="7">
        <v>548</v>
      </c>
      <c r="D40" s="7" t="s">
        <v>471</v>
      </c>
      <c r="E40" s="15">
        <v>0</v>
      </c>
      <c r="F40" s="15">
        <v>0</v>
      </c>
      <c r="G40" s="15">
        <v>0</v>
      </c>
      <c r="H40" s="15">
        <v>0</v>
      </c>
      <c r="I40" s="15">
        <v>0</v>
      </c>
      <c r="J40" s="15">
        <v>0</v>
      </c>
      <c r="K40" s="15">
        <v>0</v>
      </c>
      <c r="L40" s="15">
        <v>0</v>
      </c>
      <c r="M40" s="15">
        <v>0</v>
      </c>
      <c r="N40" s="15">
        <v>0</v>
      </c>
      <c r="O40" s="15">
        <v>0</v>
      </c>
      <c r="P40" s="15">
        <v>0</v>
      </c>
      <c r="Q40" s="15">
        <v>0</v>
      </c>
      <c r="R40" s="15">
        <v>0</v>
      </c>
      <c r="S40" s="15">
        <v>0</v>
      </c>
      <c r="T40" s="15">
        <v>0</v>
      </c>
      <c r="U40" s="15">
        <v>0</v>
      </c>
      <c r="V40" s="15">
        <v>0</v>
      </c>
      <c r="W40" s="15">
        <v>0</v>
      </c>
      <c r="X40" s="15">
        <v>0</v>
      </c>
      <c r="Y40" s="15">
        <v>0</v>
      </c>
      <c r="Z40" s="15">
        <v>0</v>
      </c>
      <c r="AA40" s="15">
        <v>0</v>
      </c>
      <c r="AB40" s="15">
        <v>0</v>
      </c>
      <c r="AC40" s="15">
        <v>0</v>
      </c>
      <c r="AD40" s="15">
        <v>0</v>
      </c>
      <c r="AE40" s="15">
        <v>0</v>
      </c>
      <c r="AF40" s="15">
        <v>0</v>
      </c>
      <c r="AG40" s="15">
        <v>0</v>
      </c>
      <c r="AH40" s="15">
        <v>0</v>
      </c>
      <c r="AI40" s="15">
        <v>0</v>
      </c>
      <c r="AJ40" s="15">
        <v>0</v>
      </c>
      <c r="AK40" s="15">
        <v>0</v>
      </c>
      <c r="AL40" s="15">
        <v>0</v>
      </c>
      <c r="AM40" s="15">
        <v>0</v>
      </c>
      <c r="AN40" s="15">
        <v>0</v>
      </c>
      <c r="AO40" s="15">
        <v>0</v>
      </c>
      <c r="AP40" s="15">
        <v>0</v>
      </c>
      <c r="AQ40" s="15">
        <v>0</v>
      </c>
      <c r="AR40" s="15">
        <v>0</v>
      </c>
      <c r="AS40" s="15">
        <v>0</v>
      </c>
      <c r="AT40" s="15">
        <v>0</v>
      </c>
      <c r="AU40" s="15">
        <v>0</v>
      </c>
      <c r="AV40" s="15">
        <v>0</v>
      </c>
      <c r="AW40" s="15">
        <v>0</v>
      </c>
      <c r="AX40" s="15">
        <v>0</v>
      </c>
      <c r="AY40" s="15">
        <v>0</v>
      </c>
      <c r="AZ40" s="15">
        <v>0</v>
      </c>
      <c r="BA40" s="15">
        <v>0</v>
      </c>
      <c r="BB40" s="15">
        <v>0</v>
      </c>
      <c r="BC40" s="15">
        <v>0</v>
      </c>
      <c r="BD40" s="15">
        <v>0</v>
      </c>
      <c r="BE40" s="15">
        <v>0</v>
      </c>
      <c r="BF40" s="15">
        <f t="shared" si="30"/>
        <v>0</v>
      </c>
      <c r="BG40" s="15">
        <f t="shared" si="31"/>
        <v>0</v>
      </c>
      <c r="BH40" s="15">
        <f t="shared" si="32"/>
        <v>0</v>
      </c>
      <c r="BI40" s="15">
        <f t="shared" si="33"/>
        <v>0</v>
      </c>
    </row>
    <row r="41" spans="2:61" x14ac:dyDescent="0.2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row>
    <row r="42" spans="2:61" x14ac:dyDescent="0.25">
      <c r="B42" s="76">
        <v>55</v>
      </c>
      <c r="C42" s="76"/>
      <c r="D42" s="76" t="s">
        <v>376</v>
      </c>
      <c r="E42" s="101">
        <f>E43+E44+E45+E46+E47+E48+E49+E50+E51</f>
        <v>0</v>
      </c>
      <c r="F42" s="101">
        <f t="shared" ref="F42:BE42" si="34">F43+F44+F45+F46+F47+F48+F49+F50+F51</f>
        <v>0</v>
      </c>
      <c r="G42" s="101">
        <f t="shared" si="34"/>
        <v>0</v>
      </c>
      <c r="H42" s="101">
        <f t="shared" si="34"/>
        <v>0</v>
      </c>
      <c r="I42" s="101">
        <f t="shared" si="34"/>
        <v>0</v>
      </c>
      <c r="J42" s="101">
        <f t="shared" si="34"/>
        <v>0</v>
      </c>
      <c r="K42" s="101">
        <f t="shared" si="34"/>
        <v>0</v>
      </c>
      <c r="L42" s="101">
        <f t="shared" si="34"/>
        <v>0</v>
      </c>
      <c r="M42" s="101">
        <f t="shared" si="34"/>
        <v>0</v>
      </c>
      <c r="N42" s="101">
        <f t="shared" si="34"/>
        <v>0</v>
      </c>
      <c r="O42" s="101">
        <f t="shared" si="34"/>
        <v>0</v>
      </c>
      <c r="P42" s="101">
        <f t="shared" si="34"/>
        <v>0</v>
      </c>
      <c r="Q42" s="101">
        <f t="shared" si="34"/>
        <v>0</v>
      </c>
      <c r="R42" s="101">
        <f t="shared" si="34"/>
        <v>0</v>
      </c>
      <c r="S42" s="101">
        <f t="shared" si="34"/>
        <v>0</v>
      </c>
      <c r="T42" s="101">
        <f t="shared" si="34"/>
        <v>0</v>
      </c>
      <c r="U42" s="101">
        <f t="shared" si="34"/>
        <v>0</v>
      </c>
      <c r="V42" s="101">
        <f t="shared" si="34"/>
        <v>0</v>
      </c>
      <c r="W42" s="101">
        <f t="shared" si="34"/>
        <v>0</v>
      </c>
      <c r="X42" s="101">
        <f t="shared" si="34"/>
        <v>0</v>
      </c>
      <c r="Y42" s="101">
        <f t="shared" si="34"/>
        <v>0</v>
      </c>
      <c r="Z42" s="101">
        <f t="shared" si="34"/>
        <v>0</v>
      </c>
      <c r="AA42" s="101">
        <f t="shared" si="34"/>
        <v>0</v>
      </c>
      <c r="AB42" s="101">
        <f t="shared" si="34"/>
        <v>0</v>
      </c>
      <c r="AC42" s="101">
        <f t="shared" si="34"/>
        <v>0</v>
      </c>
      <c r="AD42" s="101">
        <f t="shared" si="34"/>
        <v>0</v>
      </c>
      <c r="AE42" s="101">
        <f t="shared" si="34"/>
        <v>0</v>
      </c>
      <c r="AF42" s="101">
        <f t="shared" si="34"/>
        <v>0</v>
      </c>
      <c r="AG42" s="101">
        <f t="shared" si="34"/>
        <v>0</v>
      </c>
      <c r="AH42" s="101">
        <f t="shared" si="34"/>
        <v>0</v>
      </c>
      <c r="AI42" s="101">
        <f t="shared" si="34"/>
        <v>0</v>
      </c>
      <c r="AJ42" s="101">
        <f t="shared" si="34"/>
        <v>0</v>
      </c>
      <c r="AK42" s="101">
        <f t="shared" si="34"/>
        <v>0</v>
      </c>
      <c r="AL42" s="101">
        <f t="shared" si="34"/>
        <v>0</v>
      </c>
      <c r="AM42" s="101">
        <f t="shared" si="34"/>
        <v>0</v>
      </c>
      <c r="AN42" s="101">
        <f t="shared" si="34"/>
        <v>0</v>
      </c>
      <c r="AO42" s="101">
        <f t="shared" si="34"/>
        <v>0</v>
      </c>
      <c r="AP42" s="101">
        <f t="shared" si="34"/>
        <v>0</v>
      </c>
      <c r="AQ42" s="101">
        <f t="shared" si="34"/>
        <v>0</v>
      </c>
      <c r="AR42" s="101">
        <f t="shared" si="34"/>
        <v>0</v>
      </c>
      <c r="AS42" s="101">
        <f t="shared" si="34"/>
        <v>0</v>
      </c>
      <c r="AT42" s="101">
        <f t="shared" si="34"/>
        <v>0</v>
      </c>
      <c r="AU42" s="101">
        <f t="shared" si="34"/>
        <v>0</v>
      </c>
      <c r="AV42" s="101">
        <f t="shared" si="34"/>
        <v>0</v>
      </c>
      <c r="AW42" s="101">
        <f t="shared" si="34"/>
        <v>0</v>
      </c>
      <c r="AX42" s="101">
        <f t="shared" si="34"/>
        <v>0</v>
      </c>
      <c r="AY42" s="101">
        <f t="shared" si="34"/>
        <v>0</v>
      </c>
      <c r="AZ42" s="101">
        <f t="shared" si="34"/>
        <v>0</v>
      </c>
      <c r="BA42" s="101">
        <f t="shared" si="34"/>
        <v>0</v>
      </c>
      <c r="BB42" s="101">
        <f t="shared" si="34"/>
        <v>0</v>
      </c>
      <c r="BC42" s="101">
        <f t="shared" si="34"/>
        <v>0</v>
      </c>
      <c r="BD42" s="101">
        <f t="shared" si="34"/>
        <v>0</v>
      </c>
      <c r="BE42" s="101">
        <f t="shared" si="34"/>
        <v>0</v>
      </c>
      <c r="BF42" s="101">
        <f t="shared" ref="BF42" si="35">BF43+BF44+BF45+BF46+BF47+BF48+BF49+BF50+BF51</f>
        <v>0</v>
      </c>
      <c r="BG42" s="101">
        <f t="shared" ref="BG42" si="36">BG43+BG44+BG45+BG46+BG47+BG48+BG49+BG50+BG51</f>
        <v>0</v>
      </c>
      <c r="BH42" s="101">
        <f t="shared" ref="BH42" si="37">BH43+BH44+BH45+BH46+BH47+BH48+BH49+BH50+BH51</f>
        <v>0</v>
      </c>
      <c r="BI42" s="101">
        <f t="shared" ref="BI42" si="38">BI43+BI44+BI45+BI46+BI47+BI48+BI49+BI50+BI51</f>
        <v>0</v>
      </c>
    </row>
    <row r="43" spans="2:61" x14ac:dyDescent="0.25">
      <c r="C43" s="7">
        <v>550</v>
      </c>
      <c r="D43" s="7" t="s">
        <v>463</v>
      </c>
      <c r="E43" s="15">
        <v>0</v>
      </c>
      <c r="F43" s="15">
        <v>0</v>
      </c>
      <c r="G43" s="15">
        <v>0</v>
      </c>
      <c r="H43" s="15">
        <v>0</v>
      </c>
      <c r="I43" s="15">
        <v>0</v>
      </c>
      <c r="J43" s="15">
        <v>0</v>
      </c>
      <c r="K43" s="15">
        <v>0</v>
      </c>
      <c r="L43" s="15">
        <v>0</v>
      </c>
      <c r="M43" s="15">
        <v>0</v>
      </c>
      <c r="N43" s="15">
        <v>0</v>
      </c>
      <c r="O43" s="15">
        <v>0</v>
      </c>
      <c r="P43" s="15">
        <v>0</v>
      </c>
      <c r="Q43" s="15">
        <v>0</v>
      </c>
      <c r="R43" s="15">
        <v>0</v>
      </c>
      <c r="S43" s="15">
        <v>0</v>
      </c>
      <c r="T43" s="15">
        <v>0</v>
      </c>
      <c r="U43" s="15">
        <v>0</v>
      </c>
      <c r="V43" s="15">
        <v>0</v>
      </c>
      <c r="W43" s="15">
        <v>0</v>
      </c>
      <c r="X43" s="15">
        <v>0</v>
      </c>
      <c r="Y43" s="15">
        <v>0</v>
      </c>
      <c r="Z43" s="15">
        <v>0</v>
      </c>
      <c r="AA43" s="15">
        <v>0</v>
      </c>
      <c r="AB43" s="15">
        <v>0</v>
      </c>
      <c r="AC43" s="15">
        <v>0</v>
      </c>
      <c r="AD43" s="15">
        <v>0</v>
      </c>
      <c r="AE43" s="15">
        <v>0</v>
      </c>
      <c r="AF43" s="15">
        <v>0</v>
      </c>
      <c r="AG43" s="15">
        <v>0</v>
      </c>
      <c r="AH43" s="15">
        <v>0</v>
      </c>
      <c r="AI43" s="15">
        <v>0</v>
      </c>
      <c r="AJ43" s="15">
        <v>0</v>
      </c>
      <c r="AK43" s="15">
        <v>0</v>
      </c>
      <c r="AL43" s="15">
        <v>0</v>
      </c>
      <c r="AM43" s="15">
        <v>0</v>
      </c>
      <c r="AN43" s="15">
        <v>0</v>
      </c>
      <c r="AO43" s="15">
        <v>0</v>
      </c>
      <c r="AP43" s="15">
        <v>0</v>
      </c>
      <c r="AQ43" s="15">
        <v>0</v>
      </c>
      <c r="AR43" s="15">
        <v>0</v>
      </c>
      <c r="AS43" s="15">
        <v>0</v>
      </c>
      <c r="AT43" s="15">
        <v>0</v>
      </c>
      <c r="AU43" s="15">
        <v>0</v>
      </c>
      <c r="AV43" s="15">
        <v>0</v>
      </c>
      <c r="AW43" s="15">
        <v>0</v>
      </c>
      <c r="AX43" s="15">
        <v>0</v>
      </c>
      <c r="AY43" s="15">
        <v>0</v>
      </c>
      <c r="AZ43" s="15">
        <v>0</v>
      </c>
      <c r="BA43" s="15">
        <v>0</v>
      </c>
      <c r="BB43" s="15">
        <v>0</v>
      </c>
      <c r="BC43" s="15">
        <v>0</v>
      </c>
      <c r="BD43" s="15">
        <v>0</v>
      </c>
      <c r="BE43" s="15">
        <v>0</v>
      </c>
      <c r="BF43" s="15">
        <f t="shared" ref="BF43:BF51" si="39">SUM(E43:BE43)</f>
        <v>0</v>
      </c>
      <c r="BG43" s="15">
        <f t="shared" ref="BG43:BG51" si="40">SUM(E43:W43)</f>
        <v>0</v>
      </c>
      <c r="BH43" s="15">
        <f t="shared" ref="BH43:BH51" si="41">SUM(X43:AJ43)</f>
        <v>0</v>
      </c>
      <c r="BI43" s="15">
        <f t="shared" ref="BI43:BI51" si="42">SUM(AK43:BE43)</f>
        <v>0</v>
      </c>
    </row>
    <row r="44" spans="2:61" x14ac:dyDescent="0.25">
      <c r="C44" s="7">
        <v>551</v>
      </c>
      <c r="D44" s="7" t="s">
        <v>464</v>
      </c>
      <c r="E44" s="15">
        <v>0</v>
      </c>
      <c r="F44" s="15">
        <v>0</v>
      </c>
      <c r="G44" s="15">
        <v>0</v>
      </c>
      <c r="H44" s="15">
        <v>0</v>
      </c>
      <c r="I44" s="15">
        <v>0</v>
      </c>
      <c r="J44" s="15">
        <v>0</v>
      </c>
      <c r="K44" s="15">
        <v>0</v>
      </c>
      <c r="L44" s="15">
        <v>0</v>
      </c>
      <c r="M44" s="15">
        <v>0</v>
      </c>
      <c r="N44" s="15">
        <v>0</v>
      </c>
      <c r="O44" s="15">
        <v>0</v>
      </c>
      <c r="P44" s="15">
        <v>0</v>
      </c>
      <c r="Q44" s="15">
        <v>0</v>
      </c>
      <c r="R44" s="15">
        <v>0</v>
      </c>
      <c r="S44" s="15">
        <v>0</v>
      </c>
      <c r="T44" s="15">
        <v>0</v>
      </c>
      <c r="U44" s="15">
        <v>0</v>
      </c>
      <c r="V44" s="15">
        <v>0</v>
      </c>
      <c r="W44" s="15">
        <v>0</v>
      </c>
      <c r="X44" s="15">
        <v>0</v>
      </c>
      <c r="Y44" s="15">
        <v>0</v>
      </c>
      <c r="Z44" s="15">
        <v>0</v>
      </c>
      <c r="AA44" s="15">
        <v>0</v>
      </c>
      <c r="AB44" s="15">
        <v>0</v>
      </c>
      <c r="AC44" s="15">
        <v>0</v>
      </c>
      <c r="AD44" s="15">
        <v>0</v>
      </c>
      <c r="AE44" s="15">
        <v>0</v>
      </c>
      <c r="AF44" s="15">
        <v>0</v>
      </c>
      <c r="AG44" s="15">
        <v>0</v>
      </c>
      <c r="AH44" s="15">
        <v>0</v>
      </c>
      <c r="AI44" s="15">
        <v>0</v>
      </c>
      <c r="AJ44" s="15">
        <v>0</v>
      </c>
      <c r="AK44" s="15">
        <v>0</v>
      </c>
      <c r="AL44" s="15">
        <v>0</v>
      </c>
      <c r="AM44" s="15">
        <v>0</v>
      </c>
      <c r="AN44" s="15">
        <v>0</v>
      </c>
      <c r="AO44" s="15">
        <v>0</v>
      </c>
      <c r="AP44" s="15">
        <v>0</v>
      </c>
      <c r="AQ44" s="15">
        <v>0</v>
      </c>
      <c r="AR44" s="15">
        <v>0</v>
      </c>
      <c r="AS44" s="15">
        <v>0</v>
      </c>
      <c r="AT44" s="15">
        <v>0</v>
      </c>
      <c r="AU44" s="15">
        <v>0</v>
      </c>
      <c r="AV44" s="15">
        <v>0</v>
      </c>
      <c r="AW44" s="15">
        <v>0</v>
      </c>
      <c r="AX44" s="15">
        <v>0</v>
      </c>
      <c r="AY44" s="15">
        <v>0</v>
      </c>
      <c r="AZ44" s="15">
        <v>0</v>
      </c>
      <c r="BA44" s="15">
        <v>0</v>
      </c>
      <c r="BB44" s="15">
        <v>0</v>
      </c>
      <c r="BC44" s="15">
        <v>0</v>
      </c>
      <c r="BD44" s="15">
        <v>0</v>
      </c>
      <c r="BE44" s="15">
        <v>0</v>
      </c>
      <c r="BF44" s="15">
        <f t="shared" si="39"/>
        <v>0</v>
      </c>
      <c r="BG44" s="15">
        <f t="shared" si="40"/>
        <v>0</v>
      </c>
      <c r="BH44" s="15">
        <f t="shared" si="41"/>
        <v>0</v>
      </c>
      <c r="BI44" s="15">
        <f t="shared" si="42"/>
        <v>0</v>
      </c>
    </row>
    <row r="45" spans="2:61" x14ac:dyDescent="0.25">
      <c r="C45" s="7">
        <v>552</v>
      </c>
      <c r="D45" s="7" t="s">
        <v>465</v>
      </c>
      <c r="E45" s="15">
        <v>0</v>
      </c>
      <c r="F45" s="15">
        <v>0</v>
      </c>
      <c r="G45" s="15">
        <v>0</v>
      </c>
      <c r="H45" s="15">
        <v>0</v>
      </c>
      <c r="I45" s="15">
        <v>0</v>
      </c>
      <c r="J45" s="15">
        <v>0</v>
      </c>
      <c r="K45" s="15">
        <v>0</v>
      </c>
      <c r="L45" s="15">
        <v>0</v>
      </c>
      <c r="M45" s="15">
        <v>0</v>
      </c>
      <c r="N45" s="15">
        <v>0</v>
      </c>
      <c r="O45" s="15">
        <v>0</v>
      </c>
      <c r="P45" s="15">
        <v>0</v>
      </c>
      <c r="Q45" s="15">
        <v>0</v>
      </c>
      <c r="R45" s="15">
        <v>0</v>
      </c>
      <c r="S45" s="15">
        <v>0</v>
      </c>
      <c r="T45" s="15">
        <v>0</v>
      </c>
      <c r="U45" s="15">
        <v>0</v>
      </c>
      <c r="V45" s="15">
        <v>0</v>
      </c>
      <c r="W45" s="15">
        <v>0</v>
      </c>
      <c r="X45" s="15">
        <v>0</v>
      </c>
      <c r="Y45" s="15">
        <v>0</v>
      </c>
      <c r="Z45" s="15">
        <v>0</v>
      </c>
      <c r="AA45" s="15">
        <v>0</v>
      </c>
      <c r="AB45" s="15">
        <v>0</v>
      </c>
      <c r="AC45" s="15">
        <v>0</v>
      </c>
      <c r="AD45" s="15">
        <v>0</v>
      </c>
      <c r="AE45" s="15">
        <v>0</v>
      </c>
      <c r="AF45" s="15">
        <v>0</v>
      </c>
      <c r="AG45" s="15">
        <v>0</v>
      </c>
      <c r="AH45" s="15">
        <v>0</v>
      </c>
      <c r="AI45" s="15">
        <v>0</v>
      </c>
      <c r="AJ45" s="15">
        <v>0</v>
      </c>
      <c r="AK45" s="15">
        <v>0</v>
      </c>
      <c r="AL45" s="15">
        <v>0</v>
      </c>
      <c r="AM45" s="15">
        <v>0</v>
      </c>
      <c r="AN45" s="15">
        <v>0</v>
      </c>
      <c r="AO45" s="15">
        <v>0</v>
      </c>
      <c r="AP45" s="15">
        <v>0</v>
      </c>
      <c r="AQ45" s="15">
        <v>0</v>
      </c>
      <c r="AR45" s="15">
        <v>0</v>
      </c>
      <c r="AS45" s="15">
        <v>0</v>
      </c>
      <c r="AT45" s="15">
        <v>0</v>
      </c>
      <c r="AU45" s="15">
        <v>0</v>
      </c>
      <c r="AV45" s="15">
        <v>0</v>
      </c>
      <c r="AW45" s="15">
        <v>0</v>
      </c>
      <c r="AX45" s="15">
        <v>0</v>
      </c>
      <c r="AY45" s="15">
        <v>0</v>
      </c>
      <c r="AZ45" s="15">
        <v>0</v>
      </c>
      <c r="BA45" s="15">
        <v>0</v>
      </c>
      <c r="BB45" s="15">
        <v>0</v>
      </c>
      <c r="BC45" s="15">
        <v>0</v>
      </c>
      <c r="BD45" s="15">
        <v>0</v>
      </c>
      <c r="BE45" s="15">
        <v>0</v>
      </c>
      <c r="BF45" s="15">
        <f t="shared" si="39"/>
        <v>0</v>
      </c>
      <c r="BG45" s="15">
        <f t="shared" si="40"/>
        <v>0</v>
      </c>
      <c r="BH45" s="15">
        <f t="shared" si="41"/>
        <v>0</v>
      </c>
      <c r="BI45" s="15">
        <f t="shared" si="42"/>
        <v>0</v>
      </c>
    </row>
    <row r="46" spans="2:61" x14ac:dyDescent="0.25">
      <c r="C46" s="7">
        <v>553</v>
      </c>
      <c r="D46" s="7" t="s">
        <v>466</v>
      </c>
      <c r="E46" s="15">
        <v>0</v>
      </c>
      <c r="F46" s="15">
        <v>0</v>
      </c>
      <c r="G46" s="15">
        <v>0</v>
      </c>
      <c r="H46" s="15">
        <v>0</v>
      </c>
      <c r="I46" s="15">
        <v>0</v>
      </c>
      <c r="J46" s="15">
        <v>0</v>
      </c>
      <c r="K46" s="15">
        <v>0</v>
      </c>
      <c r="L46" s="15">
        <v>0</v>
      </c>
      <c r="M46" s="15">
        <v>0</v>
      </c>
      <c r="N46" s="15">
        <v>0</v>
      </c>
      <c r="O46" s="15">
        <v>0</v>
      </c>
      <c r="P46" s="15">
        <v>0</v>
      </c>
      <c r="Q46" s="15">
        <v>0</v>
      </c>
      <c r="R46" s="15">
        <v>0</v>
      </c>
      <c r="S46" s="15">
        <v>0</v>
      </c>
      <c r="T46" s="15">
        <v>0</v>
      </c>
      <c r="U46" s="15">
        <v>0</v>
      </c>
      <c r="V46" s="15">
        <v>0</v>
      </c>
      <c r="W46" s="15">
        <v>0</v>
      </c>
      <c r="X46" s="15">
        <v>0</v>
      </c>
      <c r="Y46" s="15">
        <v>0</v>
      </c>
      <c r="Z46" s="15">
        <v>0</v>
      </c>
      <c r="AA46" s="15">
        <v>0</v>
      </c>
      <c r="AB46" s="15">
        <v>0</v>
      </c>
      <c r="AC46" s="15">
        <v>0</v>
      </c>
      <c r="AD46" s="15">
        <v>0</v>
      </c>
      <c r="AE46" s="15">
        <v>0</v>
      </c>
      <c r="AF46" s="15">
        <v>0</v>
      </c>
      <c r="AG46" s="15">
        <v>0</v>
      </c>
      <c r="AH46" s="15">
        <v>0</v>
      </c>
      <c r="AI46" s="15">
        <v>0</v>
      </c>
      <c r="AJ46" s="15">
        <v>0</v>
      </c>
      <c r="AK46" s="15">
        <v>0</v>
      </c>
      <c r="AL46" s="15">
        <v>0</v>
      </c>
      <c r="AM46" s="15">
        <v>0</v>
      </c>
      <c r="AN46" s="15">
        <v>0</v>
      </c>
      <c r="AO46" s="15">
        <v>0</v>
      </c>
      <c r="AP46" s="15">
        <v>0</v>
      </c>
      <c r="AQ46" s="15">
        <v>0</v>
      </c>
      <c r="AR46" s="15">
        <v>0</v>
      </c>
      <c r="AS46" s="15">
        <v>0</v>
      </c>
      <c r="AT46" s="15">
        <v>0</v>
      </c>
      <c r="AU46" s="15">
        <v>0</v>
      </c>
      <c r="AV46" s="15">
        <v>0</v>
      </c>
      <c r="AW46" s="15">
        <v>0</v>
      </c>
      <c r="AX46" s="15">
        <v>0</v>
      </c>
      <c r="AY46" s="15">
        <v>0</v>
      </c>
      <c r="AZ46" s="15">
        <v>0</v>
      </c>
      <c r="BA46" s="15">
        <v>0</v>
      </c>
      <c r="BB46" s="15">
        <v>0</v>
      </c>
      <c r="BC46" s="15">
        <v>0</v>
      </c>
      <c r="BD46" s="15">
        <v>0</v>
      </c>
      <c r="BE46" s="15">
        <v>0</v>
      </c>
      <c r="BF46" s="15">
        <f t="shared" si="39"/>
        <v>0</v>
      </c>
      <c r="BG46" s="15">
        <f t="shared" si="40"/>
        <v>0</v>
      </c>
      <c r="BH46" s="15">
        <f t="shared" si="41"/>
        <v>0</v>
      </c>
      <c r="BI46" s="15">
        <f t="shared" si="42"/>
        <v>0</v>
      </c>
    </row>
    <row r="47" spans="2:61" x14ac:dyDescent="0.25">
      <c r="C47" s="7">
        <v>554</v>
      </c>
      <c r="D47" s="7" t="s">
        <v>467</v>
      </c>
      <c r="E47" s="15">
        <v>0</v>
      </c>
      <c r="F47" s="15">
        <v>0</v>
      </c>
      <c r="G47" s="15">
        <v>0</v>
      </c>
      <c r="H47" s="15">
        <v>0</v>
      </c>
      <c r="I47" s="15">
        <v>0</v>
      </c>
      <c r="J47" s="15">
        <v>0</v>
      </c>
      <c r="K47" s="15">
        <v>0</v>
      </c>
      <c r="L47" s="15">
        <v>0</v>
      </c>
      <c r="M47" s="15">
        <v>0</v>
      </c>
      <c r="N47" s="15">
        <v>0</v>
      </c>
      <c r="O47" s="15">
        <v>0</v>
      </c>
      <c r="P47" s="15">
        <v>0</v>
      </c>
      <c r="Q47" s="15">
        <v>0</v>
      </c>
      <c r="R47" s="15">
        <v>0</v>
      </c>
      <c r="S47" s="15">
        <v>0</v>
      </c>
      <c r="T47" s="15">
        <v>0</v>
      </c>
      <c r="U47" s="15">
        <v>0</v>
      </c>
      <c r="V47" s="15">
        <v>0</v>
      </c>
      <c r="W47" s="15">
        <v>0</v>
      </c>
      <c r="X47" s="15">
        <v>0</v>
      </c>
      <c r="Y47" s="15">
        <v>0</v>
      </c>
      <c r="Z47" s="15">
        <v>0</v>
      </c>
      <c r="AA47" s="15">
        <v>0</v>
      </c>
      <c r="AB47" s="15">
        <v>0</v>
      </c>
      <c r="AC47" s="15">
        <v>0</v>
      </c>
      <c r="AD47" s="15">
        <v>0</v>
      </c>
      <c r="AE47" s="15">
        <v>0</v>
      </c>
      <c r="AF47" s="15">
        <v>0</v>
      </c>
      <c r="AG47" s="15">
        <v>0</v>
      </c>
      <c r="AH47" s="15">
        <v>0</v>
      </c>
      <c r="AI47" s="15">
        <v>0</v>
      </c>
      <c r="AJ47" s="15">
        <v>0</v>
      </c>
      <c r="AK47" s="15">
        <v>0</v>
      </c>
      <c r="AL47" s="15">
        <v>0</v>
      </c>
      <c r="AM47" s="15">
        <v>0</v>
      </c>
      <c r="AN47" s="15">
        <v>0</v>
      </c>
      <c r="AO47" s="15">
        <v>0</v>
      </c>
      <c r="AP47" s="15">
        <v>0</v>
      </c>
      <c r="AQ47" s="15">
        <v>0</v>
      </c>
      <c r="AR47" s="15">
        <v>0</v>
      </c>
      <c r="AS47" s="15">
        <v>0</v>
      </c>
      <c r="AT47" s="15">
        <v>0</v>
      </c>
      <c r="AU47" s="15">
        <v>0</v>
      </c>
      <c r="AV47" s="15">
        <v>0</v>
      </c>
      <c r="AW47" s="15">
        <v>0</v>
      </c>
      <c r="AX47" s="15">
        <v>0</v>
      </c>
      <c r="AY47" s="15">
        <v>0</v>
      </c>
      <c r="AZ47" s="15">
        <v>0</v>
      </c>
      <c r="BA47" s="15">
        <v>0</v>
      </c>
      <c r="BB47" s="15">
        <v>0</v>
      </c>
      <c r="BC47" s="15">
        <v>0</v>
      </c>
      <c r="BD47" s="15">
        <v>0</v>
      </c>
      <c r="BE47" s="15">
        <v>0</v>
      </c>
      <c r="BF47" s="15">
        <f t="shared" si="39"/>
        <v>0</v>
      </c>
      <c r="BG47" s="15">
        <f t="shared" si="40"/>
        <v>0</v>
      </c>
      <c r="BH47" s="15">
        <f t="shared" si="41"/>
        <v>0</v>
      </c>
      <c r="BI47" s="15">
        <f t="shared" si="42"/>
        <v>0</v>
      </c>
    </row>
    <row r="48" spans="2:61" x14ac:dyDescent="0.25">
      <c r="C48" s="7">
        <v>555</v>
      </c>
      <c r="D48" s="7" t="s">
        <v>468</v>
      </c>
      <c r="E48" s="15">
        <v>0</v>
      </c>
      <c r="F48" s="15">
        <v>0</v>
      </c>
      <c r="G48" s="15">
        <v>0</v>
      </c>
      <c r="H48" s="15">
        <v>0</v>
      </c>
      <c r="I48" s="15">
        <v>0</v>
      </c>
      <c r="J48" s="15">
        <v>0</v>
      </c>
      <c r="K48" s="15">
        <v>0</v>
      </c>
      <c r="L48" s="15">
        <v>0</v>
      </c>
      <c r="M48" s="15">
        <v>0</v>
      </c>
      <c r="N48" s="15">
        <v>0</v>
      </c>
      <c r="O48" s="15">
        <v>0</v>
      </c>
      <c r="P48" s="15">
        <v>0</v>
      </c>
      <c r="Q48" s="15">
        <v>0</v>
      </c>
      <c r="R48" s="15">
        <v>0</v>
      </c>
      <c r="S48" s="15">
        <v>0</v>
      </c>
      <c r="T48" s="15">
        <v>0</v>
      </c>
      <c r="U48" s="15">
        <v>0</v>
      </c>
      <c r="V48" s="15">
        <v>0</v>
      </c>
      <c r="W48" s="15">
        <v>0</v>
      </c>
      <c r="X48" s="15">
        <v>0</v>
      </c>
      <c r="Y48" s="15">
        <v>0</v>
      </c>
      <c r="Z48" s="15">
        <v>0</v>
      </c>
      <c r="AA48" s="15">
        <v>0</v>
      </c>
      <c r="AB48" s="15">
        <v>0</v>
      </c>
      <c r="AC48" s="15">
        <v>0</v>
      </c>
      <c r="AD48" s="15">
        <v>0</v>
      </c>
      <c r="AE48" s="15">
        <v>0</v>
      </c>
      <c r="AF48" s="15">
        <v>0</v>
      </c>
      <c r="AG48" s="15">
        <v>0</v>
      </c>
      <c r="AH48" s="15">
        <v>0</v>
      </c>
      <c r="AI48" s="15">
        <v>0</v>
      </c>
      <c r="AJ48" s="15">
        <v>0</v>
      </c>
      <c r="AK48" s="15">
        <v>0</v>
      </c>
      <c r="AL48" s="15">
        <v>0</v>
      </c>
      <c r="AM48" s="15">
        <v>0</v>
      </c>
      <c r="AN48" s="15">
        <v>0</v>
      </c>
      <c r="AO48" s="15">
        <v>0</v>
      </c>
      <c r="AP48" s="15">
        <v>0</v>
      </c>
      <c r="AQ48" s="15">
        <v>0</v>
      </c>
      <c r="AR48" s="15">
        <v>0</v>
      </c>
      <c r="AS48" s="15">
        <v>0</v>
      </c>
      <c r="AT48" s="15">
        <v>0</v>
      </c>
      <c r="AU48" s="15">
        <v>0</v>
      </c>
      <c r="AV48" s="15">
        <v>0</v>
      </c>
      <c r="AW48" s="15">
        <v>0</v>
      </c>
      <c r="AX48" s="15">
        <v>0</v>
      </c>
      <c r="AY48" s="15">
        <v>0</v>
      </c>
      <c r="AZ48" s="15">
        <v>0</v>
      </c>
      <c r="BA48" s="15">
        <v>0</v>
      </c>
      <c r="BB48" s="15">
        <v>0</v>
      </c>
      <c r="BC48" s="15">
        <v>0</v>
      </c>
      <c r="BD48" s="15">
        <v>0</v>
      </c>
      <c r="BE48" s="15">
        <v>0</v>
      </c>
      <c r="BF48" s="15">
        <f t="shared" si="39"/>
        <v>0</v>
      </c>
      <c r="BG48" s="15">
        <f t="shared" si="40"/>
        <v>0</v>
      </c>
      <c r="BH48" s="15">
        <f t="shared" si="41"/>
        <v>0</v>
      </c>
      <c r="BI48" s="15">
        <f t="shared" si="42"/>
        <v>0</v>
      </c>
    </row>
    <row r="49" spans="2:61" x14ac:dyDescent="0.25">
      <c r="C49" s="7">
        <v>556</v>
      </c>
      <c r="D49" s="7" t="s">
        <v>469</v>
      </c>
      <c r="E49" s="15">
        <v>0</v>
      </c>
      <c r="F49" s="15">
        <v>0</v>
      </c>
      <c r="G49" s="15">
        <v>0</v>
      </c>
      <c r="H49" s="15">
        <v>0</v>
      </c>
      <c r="I49" s="15">
        <v>0</v>
      </c>
      <c r="J49" s="15">
        <v>0</v>
      </c>
      <c r="K49" s="15">
        <v>0</v>
      </c>
      <c r="L49" s="15">
        <v>0</v>
      </c>
      <c r="M49" s="15">
        <v>0</v>
      </c>
      <c r="N49" s="15">
        <v>0</v>
      </c>
      <c r="O49" s="15">
        <v>0</v>
      </c>
      <c r="P49" s="15">
        <v>0</v>
      </c>
      <c r="Q49" s="15">
        <v>0</v>
      </c>
      <c r="R49" s="15">
        <v>0</v>
      </c>
      <c r="S49" s="15">
        <v>0</v>
      </c>
      <c r="T49" s="15">
        <v>0</v>
      </c>
      <c r="U49" s="15">
        <v>0</v>
      </c>
      <c r="V49" s="15">
        <v>0</v>
      </c>
      <c r="W49" s="15">
        <v>0</v>
      </c>
      <c r="X49" s="15">
        <v>0</v>
      </c>
      <c r="Y49" s="15">
        <v>0</v>
      </c>
      <c r="Z49" s="15">
        <v>0</v>
      </c>
      <c r="AA49" s="15">
        <v>0</v>
      </c>
      <c r="AB49" s="15">
        <v>0</v>
      </c>
      <c r="AC49" s="15">
        <v>0</v>
      </c>
      <c r="AD49" s="15">
        <v>0</v>
      </c>
      <c r="AE49" s="15">
        <v>0</v>
      </c>
      <c r="AF49" s="15">
        <v>0</v>
      </c>
      <c r="AG49" s="15">
        <v>0</v>
      </c>
      <c r="AH49" s="15">
        <v>0</v>
      </c>
      <c r="AI49" s="15">
        <v>0</v>
      </c>
      <c r="AJ49" s="15">
        <v>0</v>
      </c>
      <c r="AK49" s="15">
        <v>0</v>
      </c>
      <c r="AL49" s="15">
        <v>0</v>
      </c>
      <c r="AM49" s="15">
        <v>0</v>
      </c>
      <c r="AN49" s="15">
        <v>0</v>
      </c>
      <c r="AO49" s="15">
        <v>0</v>
      </c>
      <c r="AP49" s="15">
        <v>0</v>
      </c>
      <c r="AQ49" s="15">
        <v>0</v>
      </c>
      <c r="AR49" s="15">
        <v>0</v>
      </c>
      <c r="AS49" s="15">
        <v>0</v>
      </c>
      <c r="AT49" s="15">
        <v>0</v>
      </c>
      <c r="AU49" s="15">
        <v>0</v>
      </c>
      <c r="AV49" s="15">
        <v>0</v>
      </c>
      <c r="AW49" s="15">
        <v>0</v>
      </c>
      <c r="AX49" s="15">
        <v>0</v>
      </c>
      <c r="AY49" s="15">
        <v>0</v>
      </c>
      <c r="AZ49" s="15">
        <v>0</v>
      </c>
      <c r="BA49" s="15">
        <v>0</v>
      </c>
      <c r="BB49" s="15">
        <v>0</v>
      </c>
      <c r="BC49" s="15">
        <v>0</v>
      </c>
      <c r="BD49" s="15">
        <v>0</v>
      </c>
      <c r="BE49" s="15">
        <v>0</v>
      </c>
      <c r="BF49" s="15">
        <f t="shared" si="39"/>
        <v>0</v>
      </c>
      <c r="BG49" s="15">
        <f t="shared" si="40"/>
        <v>0</v>
      </c>
      <c r="BH49" s="15">
        <f t="shared" si="41"/>
        <v>0</v>
      </c>
      <c r="BI49" s="15">
        <f t="shared" si="42"/>
        <v>0</v>
      </c>
    </row>
    <row r="50" spans="2:61" x14ac:dyDescent="0.25">
      <c r="C50" s="7">
        <v>557</v>
      </c>
      <c r="D50" s="7" t="s">
        <v>470</v>
      </c>
      <c r="E50" s="15">
        <v>0</v>
      </c>
      <c r="F50" s="15">
        <v>0</v>
      </c>
      <c r="G50" s="15">
        <v>0</v>
      </c>
      <c r="H50" s="15">
        <v>0</v>
      </c>
      <c r="I50" s="15">
        <v>0</v>
      </c>
      <c r="J50" s="15">
        <v>0</v>
      </c>
      <c r="K50" s="15">
        <v>0</v>
      </c>
      <c r="L50" s="15">
        <v>0</v>
      </c>
      <c r="M50" s="15">
        <v>0</v>
      </c>
      <c r="N50" s="15">
        <v>0</v>
      </c>
      <c r="O50" s="15">
        <v>0</v>
      </c>
      <c r="P50" s="15">
        <v>0</v>
      </c>
      <c r="Q50" s="15">
        <v>0</v>
      </c>
      <c r="R50" s="15">
        <v>0</v>
      </c>
      <c r="S50" s="15">
        <v>0</v>
      </c>
      <c r="T50" s="15">
        <v>0</v>
      </c>
      <c r="U50" s="15">
        <v>0</v>
      </c>
      <c r="V50" s="15">
        <v>0</v>
      </c>
      <c r="W50" s="15">
        <v>0</v>
      </c>
      <c r="X50" s="15">
        <v>0</v>
      </c>
      <c r="Y50" s="15">
        <v>0</v>
      </c>
      <c r="Z50" s="15">
        <v>0</v>
      </c>
      <c r="AA50" s="15">
        <v>0</v>
      </c>
      <c r="AB50" s="15">
        <v>0</v>
      </c>
      <c r="AC50" s="15">
        <v>0</v>
      </c>
      <c r="AD50" s="15">
        <v>0</v>
      </c>
      <c r="AE50" s="15">
        <v>0</v>
      </c>
      <c r="AF50" s="15">
        <v>0</v>
      </c>
      <c r="AG50" s="15">
        <v>0</v>
      </c>
      <c r="AH50" s="15">
        <v>0</v>
      </c>
      <c r="AI50" s="15">
        <v>0</v>
      </c>
      <c r="AJ50" s="15">
        <v>0</v>
      </c>
      <c r="AK50" s="15">
        <v>0</v>
      </c>
      <c r="AL50" s="15">
        <v>0</v>
      </c>
      <c r="AM50" s="15">
        <v>0</v>
      </c>
      <c r="AN50" s="15">
        <v>0</v>
      </c>
      <c r="AO50" s="15">
        <v>0</v>
      </c>
      <c r="AP50" s="15">
        <v>0</v>
      </c>
      <c r="AQ50" s="15">
        <v>0</v>
      </c>
      <c r="AR50" s="15">
        <v>0</v>
      </c>
      <c r="AS50" s="15">
        <v>0</v>
      </c>
      <c r="AT50" s="15">
        <v>0</v>
      </c>
      <c r="AU50" s="15">
        <v>0</v>
      </c>
      <c r="AV50" s="15">
        <v>0</v>
      </c>
      <c r="AW50" s="15">
        <v>0</v>
      </c>
      <c r="AX50" s="15">
        <v>0</v>
      </c>
      <c r="AY50" s="15">
        <v>0</v>
      </c>
      <c r="AZ50" s="15">
        <v>0</v>
      </c>
      <c r="BA50" s="15">
        <v>0</v>
      </c>
      <c r="BB50" s="15">
        <v>0</v>
      </c>
      <c r="BC50" s="15">
        <v>0</v>
      </c>
      <c r="BD50" s="15">
        <v>0</v>
      </c>
      <c r="BE50" s="15">
        <v>0</v>
      </c>
      <c r="BF50" s="15">
        <f t="shared" si="39"/>
        <v>0</v>
      </c>
      <c r="BG50" s="15">
        <f t="shared" si="40"/>
        <v>0</v>
      </c>
      <c r="BH50" s="15">
        <f t="shared" si="41"/>
        <v>0</v>
      </c>
      <c r="BI50" s="15">
        <f t="shared" si="42"/>
        <v>0</v>
      </c>
    </row>
    <row r="51" spans="2:61" x14ac:dyDescent="0.25">
      <c r="C51" s="7">
        <v>558</v>
      </c>
      <c r="D51" s="7" t="s">
        <v>471</v>
      </c>
      <c r="E51" s="15">
        <v>0</v>
      </c>
      <c r="F51" s="15">
        <v>0</v>
      </c>
      <c r="G51" s="15">
        <v>0</v>
      </c>
      <c r="H51" s="15">
        <v>0</v>
      </c>
      <c r="I51" s="15">
        <v>0</v>
      </c>
      <c r="J51" s="15">
        <v>0</v>
      </c>
      <c r="K51" s="15">
        <v>0</v>
      </c>
      <c r="L51" s="15">
        <v>0</v>
      </c>
      <c r="M51" s="15">
        <v>0</v>
      </c>
      <c r="N51" s="15">
        <v>0</v>
      </c>
      <c r="O51" s="15">
        <v>0</v>
      </c>
      <c r="P51" s="15">
        <v>0</v>
      </c>
      <c r="Q51" s="15">
        <v>0</v>
      </c>
      <c r="R51" s="15">
        <v>0</v>
      </c>
      <c r="S51" s="15">
        <v>0</v>
      </c>
      <c r="T51" s="15">
        <v>0</v>
      </c>
      <c r="U51" s="15">
        <v>0</v>
      </c>
      <c r="V51" s="15">
        <v>0</v>
      </c>
      <c r="W51" s="15">
        <v>0</v>
      </c>
      <c r="X51" s="15">
        <v>0</v>
      </c>
      <c r="Y51" s="15">
        <v>0</v>
      </c>
      <c r="Z51" s="15">
        <v>0</v>
      </c>
      <c r="AA51" s="15">
        <v>0</v>
      </c>
      <c r="AB51" s="15">
        <v>0</v>
      </c>
      <c r="AC51" s="15">
        <v>0</v>
      </c>
      <c r="AD51" s="15">
        <v>0</v>
      </c>
      <c r="AE51" s="15">
        <v>0</v>
      </c>
      <c r="AF51" s="15">
        <v>0</v>
      </c>
      <c r="AG51" s="15">
        <v>0</v>
      </c>
      <c r="AH51" s="15">
        <v>0</v>
      </c>
      <c r="AI51" s="15">
        <v>0</v>
      </c>
      <c r="AJ51" s="15">
        <v>0</v>
      </c>
      <c r="AK51" s="15">
        <v>0</v>
      </c>
      <c r="AL51" s="15">
        <v>0</v>
      </c>
      <c r="AM51" s="15">
        <v>0</v>
      </c>
      <c r="AN51" s="15">
        <v>0</v>
      </c>
      <c r="AO51" s="15">
        <v>0</v>
      </c>
      <c r="AP51" s="15">
        <v>0</v>
      </c>
      <c r="AQ51" s="15">
        <v>0</v>
      </c>
      <c r="AR51" s="15">
        <v>0</v>
      </c>
      <c r="AS51" s="15">
        <v>0</v>
      </c>
      <c r="AT51" s="15">
        <v>0</v>
      </c>
      <c r="AU51" s="15">
        <v>0</v>
      </c>
      <c r="AV51" s="15">
        <v>0</v>
      </c>
      <c r="AW51" s="15">
        <v>0</v>
      </c>
      <c r="AX51" s="15">
        <v>0</v>
      </c>
      <c r="AY51" s="15">
        <v>0</v>
      </c>
      <c r="AZ51" s="15">
        <v>0</v>
      </c>
      <c r="BA51" s="15">
        <v>0</v>
      </c>
      <c r="BB51" s="15">
        <v>0</v>
      </c>
      <c r="BC51" s="15">
        <v>0</v>
      </c>
      <c r="BD51" s="15">
        <v>0</v>
      </c>
      <c r="BE51" s="15">
        <v>0</v>
      </c>
      <c r="BF51" s="15">
        <f t="shared" si="39"/>
        <v>0</v>
      </c>
      <c r="BG51" s="15">
        <f t="shared" si="40"/>
        <v>0</v>
      </c>
      <c r="BH51" s="15">
        <f t="shared" si="41"/>
        <v>0</v>
      </c>
      <c r="BI51" s="15">
        <f t="shared" si="42"/>
        <v>0</v>
      </c>
    </row>
    <row r="52" spans="2:61" x14ac:dyDescent="0.2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row>
    <row r="53" spans="2:61" x14ac:dyDescent="0.25">
      <c r="B53" s="76">
        <v>56</v>
      </c>
      <c r="C53" s="76"/>
      <c r="D53" s="76" t="s">
        <v>472</v>
      </c>
      <c r="E53" s="101">
        <f>E54+E55+E56+E57+E58+E59+E60+E61+E62</f>
        <v>0</v>
      </c>
      <c r="F53" s="101">
        <f t="shared" ref="F53:BE53" si="43">F54+F55+F56+F57+F58+F59+F60+F61+F62</f>
        <v>0</v>
      </c>
      <c r="G53" s="101">
        <f t="shared" si="43"/>
        <v>0</v>
      </c>
      <c r="H53" s="101">
        <f t="shared" si="43"/>
        <v>0</v>
      </c>
      <c r="I53" s="101">
        <f t="shared" si="43"/>
        <v>0</v>
      </c>
      <c r="J53" s="101">
        <f t="shared" si="43"/>
        <v>0</v>
      </c>
      <c r="K53" s="101">
        <f t="shared" si="43"/>
        <v>0</v>
      </c>
      <c r="L53" s="101">
        <f t="shared" si="43"/>
        <v>0</v>
      </c>
      <c r="M53" s="101">
        <f t="shared" si="43"/>
        <v>0</v>
      </c>
      <c r="N53" s="101">
        <f t="shared" si="43"/>
        <v>0</v>
      </c>
      <c r="O53" s="101">
        <f t="shared" si="43"/>
        <v>0</v>
      </c>
      <c r="P53" s="101">
        <f t="shared" si="43"/>
        <v>0</v>
      </c>
      <c r="Q53" s="101">
        <f t="shared" si="43"/>
        <v>2188.15</v>
      </c>
      <c r="R53" s="101">
        <f t="shared" si="43"/>
        <v>0</v>
      </c>
      <c r="S53" s="101">
        <f t="shared" si="43"/>
        <v>0</v>
      </c>
      <c r="T53" s="101">
        <f t="shared" si="43"/>
        <v>0</v>
      </c>
      <c r="U53" s="101">
        <f t="shared" si="43"/>
        <v>0</v>
      </c>
      <c r="V53" s="101">
        <f t="shared" si="43"/>
        <v>0</v>
      </c>
      <c r="W53" s="101">
        <f t="shared" si="43"/>
        <v>0</v>
      </c>
      <c r="X53" s="101">
        <f t="shared" si="43"/>
        <v>0</v>
      </c>
      <c r="Y53" s="101">
        <f t="shared" si="43"/>
        <v>42021.9</v>
      </c>
      <c r="Z53" s="101">
        <f t="shared" si="43"/>
        <v>0</v>
      </c>
      <c r="AA53" s="101">
        <f t="shared" si="43"/>
        <v>0</v>
      </c>
      <c r="AB53" s="101">
        <f t="shared" si="43"/>
        <v>0</v>
      </c>
      <c r="AC53" s="101">
        <f t="shared" si="43"/>
        <v>0</v>
      </c>
      <c r="AD53" s="101">
        <f t="shared" si="43"/>
        <v>0</v>
      </c>
      <c r="AE53" s="101">
        <f t="shared" si="43"/>
        <v>0</v>
      </c>
      <c r="AF53" s="101">
        <f t="shared" si="43"/>
        <v>0</v>
      </c>
      <c r="AG53" s="101">
        <f t="shared" si="43"/>
        <v>0</v>
      </c>
      <c r="AH53" s="101">
        <f t="shared" si="43"/>
        <v>0</v>
      </c>
      <c r="AI53" s="101">
        <f t="shared" si="43"/>
        <v>0</v>
      </c>
      <c r="AJ53" s="101">
        <f t="shared" si="43"/>
        <v>0</v>
      </c>
      <c r="AK53" s="101">
        <f t="shared" si="43"/>
        <v>0</v>
      </c>
      <c r="AL53" s="101">
        <f t="shared" si="43"/>
        <v>0</v>
      </c>
      <c r="AM53" s="101">
        <f t="shared" si="43"/>
        <v>0</v>
      </c>
      <c r="AN53" s="101">
        <f t="shared" si="43"/>
        <v>0</v>
      </c>
      <c r="AO53" s="101">
        <f t="shared" si="43"/>
        <v>0</v>
      </c>
      <c r="AP53" s="101">
        <f t="shared" si="43"/>
        <v>0</v>
      </c>
      <c r="AQ53" s="101">
        <f t="shared" si="43"/>
        <v>0</v>
      </c>
      <c r="AR53" s="101">
        <f t="shared" si="43"/>
        <v>0</v>
      </c>
      <c r="AS53" s="101">
        <f t="shared" si="43"/>
        <v>0</v>
      </c>
      <c r="AT53" s="101">
        <f t="shared" si="43"/>
        <v>0</v>
      </c>
      <c r="AU53" s="101">
        <f t="shared" si="43"/>
        <v>0</v>
      </c>
      <c r="AV53" s="101">
        <f t="shared" si="43"/>
        <v>0</v>
      </c>
      <c r="AW53" s="101">
        <f t="shared" si="43"/>
        <v>0</v>
      </c>
      <c r="AX53" s="101">
        <f t="shared" si="43"/>
        <v>0</v>
      </c>
      <c r="AY53" s="101">
        <f t="shared" si="43"/>
        <v>0</v>
      </c>
      <c r="AZ53" s="101">
        <f t="shared" si="43"/>
        <v>0</v>
      </c>
      <c r="BA53" s="101">
        <f t="shared" si="43"/>
        <v>0</v>
      </c>
      <c r="BB53" s="101">
        <f t="shared" si="43"/>
        <v>0</v>
      </c>
      <c r="BC53" s="101">
        <f t="shared" si="43"/>
        <v>0</v>
      </c>
      <c r="BD53" s="101">
        <f t="shared" si="43"/>
        <v>0</v>
      </c>
      <c r="BE53" s="101">
        <f t="shared" si="43"/>
        <v>0</v>
      </c>
      <c r="BF53" s="101">
        <f t="shared" ref="BF53" si="44">BF54+BF55+BF56+BF57+BF58+BF59+BF60+BF61+BF62</f>
        <v>44210.05</v>
      </c>
      <c r="BG53" s="101">
        <f t="shared" ref="BG53" si="45">BG54+BG55+BG56+BG57+BG58+BG59+BG60+BG61+BG62</f>
        <v>2188.15</v>
      </c>
      <c r="BH53" s="101">
        <f t="shared" ref="BH53" si="46">BH54+BH55+BH56+BH57+BH58+BH59+BH60+BH61+BH62</f>
        <v>42021.9</v>
      </c>
      <c r="BI53" s="101">
        <f t="shared" ref="BI53" si="47">BI54+BI55+BI56+BI57+BI58+BI59+BI60+BI61+BI62</f>
        <v>0</v>
      </c>
    </row>
    <row r="54" spans="2:61" x14ac:dyDescent="0.25">
      <c r="C54" s="7">
        <v>560</v>
      </c>
      <c r="D54" s="7" t="s">
        <v>463</v>
      </c>
      <c r="E54" s="15">
        <v>0</v>
      </c>
      <c r="F54" s="15">
        <v>0</v>
      </c>
      <c r="G54" s="15">
        <v>0</v>
      </c>
      <c r="H54" s="15">
        <v>0</v>
      </c>
      <c r="I54" s="15">
        <v>0</v>
      </c>
      <c r="J54" s="15">
        <v>0</v>
      </c>
      <c r="K54" s="15">
        <v>0</v>
      </c>
      <c r="L54" s="15">
        <v>0</v>
      </c>
      <c r="M54" s="15">
        <v>0</v>
      </c>
      <c r="N54" s="15">
        <v>0</v>
      </c>
      <c r="O54" s="15">
        <v>0</v>
      </c>
      <c r="P54" s="15">
        <v>0</v>
      </c>
      <c r="Q54" s="15">
        <v>0</v>
      </c>
      <c r="R54" s="15">
        <v>0</v>
      </c>
      <c r="S54" s="15">
        <v>0</v>
      </c>
      <c r="T54" s="15">
        <v>0</v>
      </c>
      <c r="U54" s="15">
        <v>0</v>
      </c>
      <c r="V54" s="15">
        <v>0</v>
      </c>
      <c r="W54" s="15">
        <v>0</v>
      </c>
      <c r="X54" s="15">
        <v>0</v>
      </c>
      <c r="Y54" s="15">
        <v>0</v>
      </c>
      <c r="Z54" s="15">
        <v>0</v>
      </c>
      <c r="AA54" s="15">
        <v>0</v>
      </c>
      <c r="AB54" s="15">
        <v>0</v>
      </c>
      <c r="AC54" s="15">
        <v>0</v>
      </c>
      <c r="AD54" s="15">
        <v>0</v>
      </c>
      <c r="AE54" s="15">
        <v>0</v>
      </c>
      <c r="AF54" s="15">
        <v>0</v>
      </c>
      <c r="AG54" s="15">
        <v>0</v>
      </c>
      <c r="AH54" s="15">
        <v>0</v>
      </c>
      <c r="AI54" s="15">
        <v>0</v>
      </c>
      <c r="AJ54" s="15">
        <v>0</v>
      </c>
      <c r="AK54" s="15">
        <v>0</v>
      </c>
      <c r="AL54" s="15">
        <v>0</v>
      </c>
      <c r="AM54" s="15">
        <v>0</v>
      </c>
      <c r="AN54" s="15">
        <v>0</v>
      </c>
      <c r="AO54" s="15">
        <v>0</v>
      </c>
      <c r="AP54" s="15">
        <v>0</v>
      </c>
      <c r="AQ54" s="15">
        <v>0</v>
      </c>
      <c r="AR54" s="15">
        <v>0</v>
      </c>
      <c r="AS54" s="15">
        <v>0</v>
      </c>
      <c r="AT54" s="15">
        <v>0</v>
      </c>
      <c r="AU54" s="15">
        <v>0</v>
      </c>
      <c r="AV54" s="15">
        <v>0</v>
      </c>
      <c r="AW54" s="15">
        <v>0</v>
      </c>
      <c r="AX54" s="15">
        <v>0</v>
      </c>
      <c r="AY54" s="15">
        <v>0</v>
      </c>
      <c r="AZ54" s="15">
        <v>0</v>
      </c>
      <c r="BA54" s="15">
        <v>0</v>
      </c>
      <c r="BB54" s="15">
        <v>0</v>
      </c>
      <c r="BC54" s="15">
        <v>0</v>
      </c>
      <c r="BD54" s="15">
        <v>0</v>
      </c>
      <c r="BE54" s="15">
        <v>0</v>
      </c>
      <c r="BF54" s="15">
        <f t="shared" ref="BF54:BF62" si="48">SUM(E54:BE54)</f>
        <v>0</v>
      </c>
      <c r="BG54" s="15">
        <f t="shared" ref="BG54:BG62" si="49">SUM(E54:W54)</f>
        <v>0</v>
      </c>
      <c r="BH54" s="15">
        <f t="shared" ref="BH54:BH62" si="50">SUM(X54:AJ54)</f>
        <v>0</v>
      </c>
      <c r="BI54" s="15">
        <f t="shared" ref="BI54:BI62" si="51">SUM(AK54:BE54)</f>
        <v>0</v>
      </c>
    </row>
    <row r="55" spans="2:61" x14ac:dyDescent="0.25">
      <c r="C55" s="7">
        <v>561</v>
      </c>
      <c r="D55" s="7" t="s">
        <v>464</v>
      </c>
      <c r="E55" s="15">
        <v>0</v>
      </c>
      <c r="F55" s="15">
        <v>0</v>
      </c>
      <c r="G55" s="15">
        <v>0</v>
      </c>
      <c r="H55" s="15">
        <v>0</v>
      </c>
      <c r="I55" s="15">
        <v>0</v>
      </c>
      <c r="J55" s="15">
        <v>0</v>
      </c>
      <c r="K55" s="15">
        <v>0</v>
      </c>
      <c r="L55" s="15">
        <v>0</v>
      </c>
      <c r="M55" s="15">
        <v>0</v>
      </c>
      <c r="N55" s="15">
        <v>0</v>
      </c>
      <c r="O55" s="15">
        <v>0</v>
      </c>
      <c r="P55" s="15">
        <v>0</v>
      </c>
      <c r="Q55" s="15">
        <v>0</v>
      </c>
      <c r="R55" s="15">
        <v>0</v>
      </c>
      <c r="S55" s="15">
        <v>0</v>
      </c>
      <c r="T55" s="15">
        <v>0</v>
      </c>
      <c r="U55" s="15">
        <v>0</v>
      </c>
      <c r="V55" s="15">
        <v>0</v>
      </c>
      <c r="W55" s="15">
        <v>0</v>
      </c>
      <c r="X55" s="15">
        <v>0</v>
      </c>
      <c r="Y55" s="15">
        <v>0</v>
      </c>
      <c r="Z55" s="15">
        <v>0</v>
      </c>
      <c r="AA55" s="15">
        <v>0</v>
      </c>
      <c r="AB55" s="15">
        <v>0</v>
      </c>
      <c r="AC55" s="15">
        <v>0</v>
      </c>
      <c r="AD55" s="15">
        <v>0</v>
      </c>
      <c r="AE55" s="15">
        <v>0</v>
      </c>
      <c r="AF55" s="15">
        <v>0</v>
      </c>
      <c r="AG55" s="15">
        <v>0</v>
      </c>
      <c r="AH55" s="15">
        <v>0</v>
      </c>
      <c r="AI55" s="15">
        <v>0</v>
      </c>
      <c r="AJ55" s="15">
        <v>0</v>
      </c>
      <c r="AK55" s="15">
        <v>0</v>
      </c>
      <c r="AL55" s="15">
        <v>0</v>
      </c>
      <c r="AM55" s="15">
        <v>0</v>
      </c>
      <c r="AN55" s="15">
        <v>0</v>
      </c>
      <c r="AO55" s="15">
        <v>0</v>
      </c>
      <c r="AP55" s="15">
        <v>0</v>
      </c>
      <c r="AQ55" s="15">
        <v>0</v>
      </c>
      <c r="AR55" s="15">
        <v>0</v>
      </c>
      <c r="AS55" s="15">
        <v>0</v>
      </c>
      <c r="AT55" s="15">
        <v>0</v>
      </c>
      <c r="AU55" s="15">
        <v>0</v>
      </c>
      <c r="AV55" s="15">
        <v>0</v>
      </c>
      <c r="AW55" s="15">
        <v>0</v>
      </c>
      <c r="AX55" s="15">
        <v>0</v>
      </c>
      <c r="AY55" s="15">
        <v>0</v>
      </c>
      <c r="AZ55" s="15">
        <v>0</v>
      </c>
      <c r="BA55" s="15">
        <v>0</v>
      </c>
      <c r="BB55" s="15">
        <v>0</v>
      </c>
      <c r="BC55" s="15">
        <v>0</v>
      </c>
      <c r="BD55" s="15">
        <v>0</v>
      </c>
      <c r="BE55" s="15">
        <v>0</v>
      </c>
      <c r="BF55" s="15">
        <f t="shared" si="48"/>
        <v>0</v>
      </c>
      <c r="BG55" s="15">
        <f t="shared" si="49"/>
        <v>0</v>
      </c>
      <c r="BH55" s="15">
        <f t="shared" si="50"/>
        <v>0</v>
      </c>
      <c r="BI55" s="15">
        <f t="shared" si="51"/>
        <v>0</v>
      </c>
    </row>
    <row r="56" spans="2:61" x14ac:dyDescent="0.25">
      <c r="C56" s="7">
        <v>562</v>
      </c>
      <c r="D56" s="7" t="s">
        <v>465</v>
      </c>
      <c r="E56" s="15">
        <v>0</v>
      </c>
      <c r="F56" s="15">
        <v>0</v>
      </c>
      <c r="G56" s="15">
        <v>0</v>
      </c>
      <c r="H56" s="15">
        <v>0</v>
      </c>
      <c r="I56" s="15">
        <v>0</v>
      </c>
      <c r="J56" s="15">
        <v>0</v>
      </c>
      <c r="K56" s="15">
        <v>0</v>
      </c>
      <c r="L56" s="15">
        <v>0</v>
      </c>
      <c r="M56" s="15">
        <v>0</v>
      </c>
      <c r="N56" s="15">
        <v>0</v>
      </c>
      <c r="O56" s="15">
        <v>0</v>
      </c>
      <c r="P56" s="15">
        <v>0</v>
      </c>
      <c r="Q56" s="15">
        <v>2188.15</v>
      </c>
      <c r="R56" s="15">
        <v>0</v>
      </c>
      <c r="S56" s="15">
        <v>0</v>
      </c>
      <c r="T56" s="15">
        <v>0</v>
      </c>
      <c r="U56" s="15">
        <v>0</v>
      </c>
      <c r="V56" s="15">
        <v>0</v>
      </c>
      <c r="W56" s="15">
        <v>0</v>
      </c>
      <c r="X56" s="15">
        <v>0</v>
      </c>
      <c r="Y56" s="15">
        <v>0</v>
      </c>
      <c r="Z56" s="15">
        <v>0</v>
      </c>
      <c r="AA56" s="15">
        <v>0</v>
      </c>
      <c r="AB56" s="15">
        <v>0</v>
      </c>
      <c r="AC56" s="15">
        <v>0</v>
      </c>
      <c r="AD56" s="15">
        <v>0</v>
      </c>
      <c r="AE56" s="15">
        <v>0</v>
      </c>
      <c r="AF56" s="15">
        <v>0</v>
      </c>
      <c r="AG56" s="15">
        <v>0</v>
      </c>
      <c r="AH56" s="15">
        <v>0</v>
      </c>
      <c r="AI56" s="15">
        <v>0</v>
      </c>
      <c r="AJ56" s="15">
        <v>0</v>
      </c>
      <c r="AK56" s="15">
        <v>0</v>
      </c>
      <c r="AL56" s="15">
        <v>0</v>
      </c>
      <c r="AM56" s="15">
        <v>0</v>
      </c>
      <c r="AN56" s="15">
        <v>0</v>
      </c>
      <c r="AO56" s="15">
        <v>0</v>
      </c>
      <c r="AP56" s="15">
        <v>0</v>
      </c>
      <c r="AQ56" s="15">
        <v>0</v>
      </c>
      <c r="AR56" s="15">
        <v>0</v>
      </c>
      <c r="AS56" s="15">
        <v>0</v>
      </c>
      <c r="AT56" s="15">
        <v>0</v>
      </c>
      <c r="AU56" s="15">
        <v>0</v>
      </c>
      <c r="AV56" s="15">
        <v>0</v>
      </c>
      <c r="AW56" s="15">
        <v>0</v>
      </c>
      <c r="AX56" s="15">
        <v>0</v>
      </c>
      <c r="AY56" s="15">
        <v>0</v>
      </c>
      <c r="AZ56" s="15">
        <v>0</v>
      </c>
      <c r="BA56" s="15">
        <v>0</v>
      </c>
      <c r="BB56" s="15">
        <v>0</v>
      </c>
      <c r="BC56" s="15">
        <v>0</v>
      </c>
      <c r="BD56" s="15">
        <v>0</v>
      </c>
      <c r="BE56" s="15">
        <v>0</v>
      </c>
      <c r="BF56" s="15">
        <f t="shared" si="48"/>
        <v>2188.15</v>
      </c>
      <c r="BG56" s="15">
        <f t="shared" si="49"/>
        <v>2188.15</v>
      </c>
      <c r="BH56" s="15">
        <f t="shared" si="50"/>
        <v>0</v>
      </c>
      <c r="BI56" s="15">
        <f t="shared" si="51"/>
        <v>0</v>
      </c>
    </row>
    <row r="57" spans="2:61" x14ac:dyDescent="0.25">
      <c r="C57" s="7">
        <v>563</v>
      </c>
      <c r="D57" s="7" t="s">
        <v>466</v>
      </c>
      <c r="E57" s="15">
        <v>0</v>
      </c>
      <c r="F57" s="15">
        <v>0</v>
      </c>
      <c r="G57" s="15">
        <v>0</v>
      </c>
      <c r="H57" s="15">
        <v>0</v>
      </c>
      <c r="I57" s="15">
        <v>0</v>
      </c>
      <c r="J57" s="15">
        <v>0</v>
      </c>
      <c r="K57" s="15">
        <v>0</v>
      </c>
      <c r="L57" s="15">
        <v>0</v>
      </c>
      <c r="M57" s="15">
        <v>0</v>
      </c>
      <c r="N57" s="15">
        <v>0</v>
      </c>
      <c r="O57" s="15">
        <v>0</v>
      </c>
      <c r="P57" s="15">
        <v>0</v>
      </c>
      <c r="Q57" s="15">
        <v>0</v>
      </c>
      <c r="R57" s="15">
        <v>0</v>
      </c>
      <c r="S57" s="15">
        <v>0</v>
      </c>
      <c r="T57" s="15">
        <v>0</v>
      </c>
      <c r="U57" s="15">
        <v>0</v>
      </c>
      <c r="V57" s="15">
        <v>0</v>
      </c>
      <c r="W57" s="15">
        <v>0</v>
      </c>
      <c r="X57" s="15">
        <v>0</v>
      </c>
      <c r="Y57" s="15">
        <v>0</v>
      </c>
      <c r="Z57" s="15">
        <v>0</v>
      </c>
      <c r="AA57" s="15">
        <v>0</v>
      </c>
      <c r="AB57" s="15">
        <v>0</v>
      </c>
      <c r="AC57" s="15">
        <v>0</v>
      </c>
      <c r="AD57" s="15">
        <v>0</v>
      </c>
      <c r="AE57" s="15">
        <v>0</v>
      </c>
      <c r="AF57" s="15">
        <v>0</v>
      </c>
      <c r="AG57" s="15">
        <v>0</v>
      </c>
      <c r="AH57" s="15">
        <v>0</v>
      </c>
      <c r="AI57" s="15">
        <v>0</v>
      </c>
      <c r="AJ57" s="15">
        <v>0</v>
      </c>
      <c r="AK57" s="15">
        <v>0</v>
      </c>
      <c r="AL57" s="15">
        <v>0</v>
      </c>
      <c r="AM57" s="15">
        <v>0</v>
      </c>
      <c r="AN57" s="15">
        <v>0</v>
      </c>
      <c r="AO57" s="15">
        <v>0</v>
      </c>
      <c r="AP57" s="15">
        <v>0</v>
      </c>
      <c r="AQ57" s="15">
        <v>0</v>
      </c>
      <c r="AR57" s="15">
        <v>0</v>
      </c>
      <c r="AS57" s="15">
        <v>0</v>
      </c>
      <c r="AT57" s="15">
        <v>0</v>
      </c>
      <c r="AU57" s="15">
        <v>0</v>
      </c>
      <c r="AV57" s="15">
        <v>0</v>
      </c>
      <c r="AW57" s="15">
        <v>0</v>
      </c>
      <c r="AX57" s="15">
        <v>0</v>
      </c>
      <c r="AY57" s="15">
        <v>0</v>
      </c>
      <c r="AZ57" s="15">
        <v>0</v>
      </c>
      <c r="BA57" s="15">
        <v>0</v>
      </c>
      <c r="BB57" s="15">
        <v>0</v>
      </c>
      <c r="BC57" s="15">
        <v>0</v>
      </c>
      <c r="BD57" s="15">
        <v>0</v>
      </c>
      <c r="BE57" s="15">
        <v>0</v>
      </c>
      <c r="BF57" s="15">
        <f t="shared" si="48"/>
        <v>0</v>
      </c>
      <c r="BG57" s="15">
        <f t="shared" si="49"/>
        <v>0</v>
      </c>
      <c r="BH57" s="15">
        <f t="shared" si="50"/>
        <v>0</v>
      </c>
      <c r="BI57" s="15">
        <f t="shared" si="51"/>
        <v>0</v>
      </c>
    </row>
    <row r="58" spans="2:61" x14ac:dyDescent="0.25">
      <c r="C58" s="7">
        <v>564</v>
      </c>
      <c r="D58" s="7" t="s">
        <v>467</v>
      </c>
      <c r="E58" s="15">
        <v>0</v>
      </c>
      <c r="F58" s="15">
        <v>0</v>
      </c>
      <c r="G58" s="15">
        <v>0</v>
      </c>
      <c r="H58" s="15">
        <v>0</v>
      </c>
      <c r="I58" s="15">
        <v>0</v>
      </c>
      <c r="J58" s="15">
        <v>0</v>
      </c>
      <c r="K58" s="15">
        <v>0</v>
      </c>
      <c r="L58" s="15">
        <v>0</v>
      </c>
      <c r="M58" s="15">
        <v>0</v>
      </c>
      <c r="N58" s="15">
        <v>0</v>
      </c>
      <c r="O58" s="15">
        <v>0</v>
      </c>
      <c r="P58" s="15">
        <v>0</v>
      </c>
      <c r="Q58" s="15">
        <v>0</v>
      </c>
      <c r="R58" s="15">
        <v>0</v>
      </c>
      <c r="S58" s="15">
        <v>0</v>
      </c>
      <c r="T58" s="15">
        <v>0</v>
      </c>
      <c r="U58" s="15">
        <v>0</v>
      </c>
      <c r="V58" s="15">
        <v>0</v>
      </c>
      <c r="W58" s="15">
        <v>0</v>
      </c>
      <c r="X58" s="15">
        <v>0</v>
      </c>
      <c r="Y58" s="15">
        <v>0</v>
      </c>
      <c r="Z58" s="15">
        <v>0</v>
      </c>
      <c r="AA58" s="15">
        <v>0</v>
      </c>
      <c r="AB58" s="15">
        <v>0</v>
      </c>
      <c r="AC58" s="15">
        <v>0</v>
      </c>
      <c r="AD58" s="15">
        <v>0</v>
      </c>
      <c r="AE58" s="15">
        <v>0</v>
      </c>
      <c r="AF58" s="15">
        <v>0</v>
      </c>
      <c r="AG58" s="15">
        <v>0</v>
      </c>
      <c r="AH58" s="15">
        <v>0</v>
      </c>
      <c r="AI58" s="15">
        <v>0</v>
      </c>
      <c r="AJ58" s="15">
        <v>0</v>
      </c>
      <c r="AK58" s="15">
        <v>0</v>
      </c>
      <c r="AL58" s="15">
        <v>0</v>
      </c>
      <c r="AM58" s="15">
        <v>0</v>
      </c>
      <c r="AN58" s="15">
        <v>0</v>
      </c>
      <c r="AO58" s="15">
        <v>0</v>
      </c>
      <c r="AP58" s="15">
        <v>0</v>
      </c>
      <c r="AQ58" s="15">
        <v>0</v>
      </c>
      <c r="AR58" s="15">
        <v>0</v>
      </c>
      <c r="AS58" s="15">
        <v>0</v>
      </c>
      <c r="AT58" s="15">
        <v>0</v>
      </c>
      <c r="AU58" s="15">
        <v>0</v>
      </c>
      <c r="AV58" s="15">
        <v>0</v>
      </c>
      <c r="AW58" s="15">
        <v>0</v>
      </c>
      <c r="AX58" s="15">
        <v>0</v>
      </c>
      <c r="AY58" s="15">
        <v>0</v>
      </c>
      <c r="AZ58" s="15">
        <v>0</v>
      </c>
      <c r="BA58" s="15">
        <v>0</v>
      </c>
      <c r="BB58" s="15">
        <v>0</v>
      </c>
      <c r="BC58" s="15">
        <v>0</v>
      </c>
      <c r="BD58" s="15">
        <v>0</v>
      </c>
      <c r="BE58" s="15">
        <v>0</v>
      </c>
      <c r="BF58" s="15">
        <f t="shared" si="48"/>
        <v>0</v>
      </c>
      <c r="BG58" s="15">
        <f t="shared" si="49"/>
        <v>0</v>
      </c>
      <c r="BH58" s="15">
        <f t="shared" si="50"/>
        <v>0</v>
      </c>
      <c r="BI58" s="15">
        <f t="shared" si="51"/>
        <v>0</v>
      </c>
    </row>
    <row r="59" spans="2:61" x14ac:dyDescent="0.25">
      <c r="C59" s="7">
        <v>565</v>
      </c>
      <c r="D59" s="7" t="s">
        <v>468</v>
      </c>
      <c r="E59" s="15">
        <v>0</v>
      </c>
      <c r="F59" s="15">
        <v>0</v>
      </c>
      <c r="G59" s="15">
        <v>0</v>
      </c>
      <c r="H59" s="15">
        <v>0</v>
      </c>
      <c r="I59" s="15">
        <v>0</v>
      </c>
      <c r="J59" s="15">
        <v>0</v>
      </c>
      <c r="K59" s="15">
        <v>0</v>
      </c>
      <c r="L59" s="15">
        <v>0</v>
      </c>
      <c r="M59" s="15">
        <v>0</v>
      </c>
      <c r="N59" s="15">
        <v>0</v>
      </c>
      <c r="O59" s="15">
        <v>0</v>
      </c>
      <c r="P59" s="15">
        <v>0</v>
      </c>
      <c r="Q59" s="15">
        <v>0</v>
      </c>
      <c r="R59" s="15">
        <v>0</v>
      </c>
      <c r="S59" s="15">
        <v>0</v>
      </c>
      <c r="T59" s="15">
        <v>0</v>
      </c>
      <c r="U59" s="15">
        <v>0</v>
      </c>
      <c r="V59" s="15">
        <v>0</v>
      </c>
      <c r="W59" s="15">
        <v>0</v>
      </c>
      <c r="X59" s="15">
        <v>0</v>
      </c>
      <c r="Y59" s="15">
        <v>0</v>
      </c>
      <c r="Z59" s="15">
        <v>0</v>
      </c>
      <c r="AA59" s="15">
        <v>0</v>
      </c>
      <c r="AB59" s="15">
        <v>0</v>
      </c>
      <c r="AC59" s="15">
        <v>0</v>
      </c>
      <c r="AD59" s="15">
        <v>0</v>
      </c>
      <c r="AE59" s="15">
        <v>0</v>
      </c>
      <c r="AF59" s="15">
        <v>0</v>
      </c>
      <c r="AG59" s="15">
        <v>0</v>
      </c>
      <c r="AH59" s="15">
        <v>0</v>
      </c>
      <c r="AI59" s="15">
        <v>0</v>
      </c>
      <c r="AJ59" s="15">
        <v>0</v>
      </c>
      <c r="AK59" s="15">
        <v>0</v>
      </c>
      <c r="AL59" s="15">
        <v>0</v>
      </c>
      <c r="AM59" s="15">
        <v>0</v>
      </c>
      <c r="AN59" s="15">
        <v>0</v>
      </c>
      <c r="AO59" s="15">
        <v>0</v>
      </c>
      <c r="AP59" s="15">
        <v>0</v>
      </c>
      <c r="AQ59" s="15">
        <v>0</v>
      </c>
      <c r="AR59" s="15">
        <v>0</v>
      </c>
      <c r="AS59" s="15">
        <v>0</v>
      </c>
      <c r="AT59" s="15">
        <v>0</v>
      </c>
      <c r="AU59" s="15">
        <v>0</v>
      </c>
      <c r="AV59" s="15">
        <v>0</v>
      </c>
      <c r="AW59" s="15">
        <v>0</v>
      </c>
      <c r="AX59" s="15">
        <v>0</v>
      </c>
      <c r="AY59" s="15">
        <v>0</v>
      </c>
      <c r="AZ59" s="15">
        <v>0</v>
      </c>
      <c r="BA59" s="15">
        <v>0</v>
      </c>
      <c r="BB59" s="15">
        <v>0</v>
      </c>
      <c r="BC59" s="15">
        <v>0</v>
      </c>
      <c r="BD59" s="15">
        <v>0</v>
      </c>
      <c r="BE59" s="15">
        <v>0</v>
      </c>
      <c r="BF59" s="15">
        <f t="shared" si="48"/>
        <v>0</v>
      </c>
      <c r="BG59" s="15">
        <f t="shared" si="49"/>
        <v>0</v>
      </c>
      <c r="BH59" s="15">
        <f t="shared" si="50"/>
        <v>0</v>
      </c>
      <c r="BI59" s="15">
        <f t="shared" si="51"/>
        <v>0</v>
      </c>
    </row>
    <row r="60" spans="2:61" x14ac:dyDescent="0.25">
      <c r="C60" s="7">
        <v>566</v>
      </c>
      <c r="D60" s="7" t="s">
        <v>469</v>
      </c>
      <c r="E60" s="15">
        <v>0</v>
      </c>
      <c r="F60" s="15">
        <v>0</v>
      </c>
      <c r="G60" s="15">
        <v>0</v>
      </c>
      <c r="H60" s="15">
        <v>0</v>
      </c>
      <c r="I60" s="15">
        <v>0</v>
      </c>
      <c r="J60" s="15">
        <v>0</v>
      </c>
      <c r="K60" s="15">
        <v>0</v>
      </c>
      <c r="L60" s="15">
        <v>0</v>
      </c>
      <c r="M60" s="15">
        <v>0</v>
      </c>
      <c r="N60" s="15">
        <v>0</v>
      </c>
      <c r="O60" s="15">
        <v>0</v>
      </c>
      <c r="P60" s="15">
        <v>0</v>
      </c>
      <c r="Q60" s="15">
        <v>0</v>
      </c>
      <c r="R60" s="15">
        <v>0</v>
      </c>
      <c r="S60" s="15">
        <v>0</v>
      </c>
      <c r="T60" s="15">
        <v>0</v>
      </c>
      <c r="U60" s="15">
        <v>0</v>
      </c>
      <c r="V60" s="15">
        <v>0</v>
      </c>
      <c r="W60" s="15">
        <v>0</v>
      </c>
      <c r="X60" s="15">
        <v>0</v>
      </c>
      <c r="Y60" s="15">
        <v>0</v>
      </c>
      <c r="Z60" s="15">
        <v>0</v>
      </c>
      <c r="AA60" s="15">
        <v>0</v>
      </c>
      <c r="AB60" s="15">
        <v>0</v>
      </c>
      <c r="AC60" s="15">
        <v>0</v>
      </c>
      <c r="AD60" s="15">
        <v>0</v>
      </c>
      <c r="AE60" s="15">
        <v>0</v>
      </c>
      <c r="AF60" s="15">
        <v>0</v>
      </c>
      <c r="AG60" s="15">
        <v>0</v>
      </c>
      <c r="AH60" s="15">
        <v>0</v>
      </c>
      <c r="AI60" s="15">
        <v>0</v>
      </c>
      <c r="AJ60" s="15">
        <v>0</v>
      </c>
      <c r="AK60" s="15">
        <v>0</v>
      </c>
      <c r="AL60" s="15">
        <v>0</v>
      </c>
      <c r="AM60" s="15">
        <v>0</v>
      </c>
      <c r="AN60" s="15">
        <v>0</v>
      </c>
      <c r="AO60" s="15">
        <v>0</v>
      </c>
      <c r="AP60" s="15">
        <v>0</v>
      </c>
      <c r="AQ60" s="15">
        <v>0</v>
      </c>
      <c r="AR60" s="15">
        <v>0</v>
      </c>
      <c r="AS60" s="15">
        <v>0</v>
      </c>
      <c r="AT60" s="15">
        <v>0</v>
      </c>
      <c r="AU60" s="15">
        <v>0</v>
      </c>
      <c r="AV60" s="15">
        <v>0</v>
      </c>
      <c r="AW60" s="15">
        <v>0</v>
      </c>
      <c r="AX60" s="15">
        <v>0</v>
      </c>
      <c r="AY60" s="15">
        <v>0</v>
      </c>
      <c r="AZ60" s="15">
        <v>0</v>
      </c>
      <c r="BA60" s="15">
        <v>0</v>
      </c>
      <c r="BB60" s="15">
        <v>0</v>
      </c>
      <c r="BC60" s="15">
        <v>0</v>
      </c>
      <c r="BD60" s="15">
        <v>0</v>
      </c>
      <c r="BE60" s="15">
        <v>0</v>
      </c>
      <c r="BF60" s="15">
        <f t="shared" si="48"/>
        <v>0</v>
      </c>
      <c r="BG60" s="15">
        <f t="shared" si="49"/>
        <v>0</v>
      </c>
      <c r="BH60" s="15">
        <f t="shared" si="50"/>
        <v>0</v>
      </c>
      <c r="BI60" s="15">
        <f t="shared" si="51"/>
        <v>0</v>
      </c>
    </row>
    <row r="61" spans="2:61" x14ac:dyDescent="0.25">
      <c r="C61" s="7">
        <v>567</v>
      </c>
      <c r="D61" s="7" t="s">
        <v>470</v>
      </c>
      <c r="E61" s="15">
        <v>0</v>
      </c>
      <c r="F61" s="15">
        <v>0</v>
      </c>
      <c r="G61" s="15">
        <v>0</v>
      </c>
      <c r="H61" s="15">
        <v>0</v>
      </c>
      <c r="I61" s="15">
        <v>0</v>
      </c>
      <c r="J61" s="15">
        <v>0</v>
      </c>
      <c r="K61" s="15">
        <v>0</v>
      </c>
      <c r="L61" s="15">
        <v>0</v>
      </c>
      <c r="M61" s="15">
        <v>0</v>
      </c>
      <c r="N61" s="15">
        <v>0</v>
      </c>
      <c r="O61" s="15">
        <v>0</v>
      </c>
      <c r="P61" s="15">
        <v>0</v>
      </c>
      <c r="Q61" s="15">
        <v>0</v>
      </c>
      <c r="R61" s="15">
        <v>0</v>
      </c>
      <c r="S61" s="15">
        <v>0</v>
      </c>
      <c r="T61" s="15">
        <v>0</v>
      </c>
      <c r="U61" s="15">
        <v>0</v>
      </c>
      <c r="V61" s="15">
        <v>0</v>
      </c>
      <c r="W61" s="15">
        <v>0</v>
      </c>
      <c r="X61" s="15">
        <v>0</v>
      </c>
      <c r="Y61" s="15">
        <v>42021.9</v>
      </c>
      <c r="Z61" s="15">
        <v>0</v>
      </c>
      <c r="AA61" s="15">
        <v>0</v>
      </c>
      <c r="AB61" s="15">
        <v>0</v>
      </c>
      <c r="AC61" s="15">
        <v>0</v>
      </c>
      <c r="AD61" s="15">
        <v>0</v>
      </c>
      <c r="AE61" s="15">
        <v>0</v>
      </c>
      <c r="AF61" s="15">
        <v>0</v>
      </c>
      <c r="AG61" s="15">
        <v>0</v>
      </c>
      <c r="AH61" s="15">
        <v>0</v>
      </c>
      <c r="AI61" s="15">
        <v>0</v>
      </c>
      <c r="AJ61" s="15">
        <v>0</v>
      </c>
      <c r="AK61" s="15">
        <v>0</v>
      </c>
      <c r="AL61" s="15">
        <v>0</v>
      </c>
      <c r="AM61" s="15">
        <v>0</v>
      </c>
      <c r="AN61" s="15">
        <v>0</v>
      </c>
      <c r="AO61" s="15">
        <v>0</v>
      </c>
      <c r="AP61" s="15">
        <v>0</v>
      </c>
      <c r="AQ61" s="15">
        <v>0</v>
      </c>
      <c r="AR61" s="15">
        <v>0</v>
      </c>
      <c r="AS61" s="15">
        <v>0</v>
      </c>
      <c r="AT61" s="15">
        <v>0</v>
      </c>
      <c r="AU61" s="15">
        <v>0</v>
      </c>
      <c r="AV61" s="15">
        <v>0</v>
      </c>
      <c r="AW61" s="15">
        <v>0</v>
      </c>
      <c r="AX61" s="15">
        <v>0</v>
      </c>
      <c r="AY61" s="15">
        <v>0</v>
      </c>
      <c r="AZ61" s="15">
        <v>0</v>
      </c>
      <c r="BA61" s="15">
        <v>0</v>
      </c>
      <c r="BB61" s="15">
        <v>0</v>
      </c>
      <c r="BC61" s="15">
        <v>0</v>
      </c>
      <c r="BD61" s="15">
        <v>0</v>
      </c>
      <c r="BE61" s="15">
        <v>0</v>
      </c>
      <c r="BF61" s="15">
        <f t="shared" si="48"/>
        <v>42021.9</v>
      </c>
      <c r="BG61" s="15">
        <f t="shared" si="49"/>
        <v>0</v>
      </c>
      <c r="BH61" s="15">
        <f t="shared" si="50"/>
        <v>42021.9</v>
      </c>
      <c r="BI61" s="15">
        <f t="shared" si="51"/>
        <v>0</v>
      </c>
    </row>
    <row r="62" spans="2:61" x14ac:dyDescent="0.25">
      <c r="C62" s="7">
        <v>568</v>
      </c>
      <c r="D62" s="7" t="s">
        <v>471</v>
      </c>
      <c r="E62" s="15">
        <v>0</v>
      </c>
      <c r="F62" s="15">
        <v>0</v>
      </c>
      <c r="G62" s="15">
        <v>0</v>
      </c>
      <c r="H62" s="15">
        <v>0</v>
      </c>
      <c r="I62" s="15">
        <v>0</v>
      </c>
      <c r="J62" s="15">
        <v>0</v>
      </c>
      <c r="K62" s="15">
        <v>0</v>
      </c>
      <c r="L62" s="15">
        <v>0</v>
      </c>
      <c r="M62" s="15">
        <v>0</v>
      </c>
      <c r="N62" s="15">
        <v>0</v>
      </c>
      <c r="O62" s="15">
        <v>0</v>
      </c>
      <c r="P62" s="15">
        <v>0</v>
      </c>
      <c r="Q62" s="15">
        <v>0</v>
      </c>
      <c r="R62" s="15">
        <v>0</v>
      </c>
      <c r="S62" s="15">
        <v>0</v>
      </c>
      <c r="T62" s="15">
        <v>0</v>
      </c>
      <c r="U62" s="15">
        <v>0</v>
      </c>
      <c r="V62" s="15">
        <v>0</v>
      </c>
      <c r="W62" s="15">
        <v>0</v>
      </c>
      <c r="X62" s="15">
        <v>0</v>
      </c>
      <c r="Y62" s="15">
        <v>0</v>
      </c>
      <c r="Z62" s="15">
        <v>0</v>
      </c>
      <c r="AA62" s="15">
        <v>0</v>
      </c>
      <c r="AB62" s="15">
        <v>0</v>
      </c>
      <c r="AC62" s="15">
        <v>0</v>
      </c>
      <c r="AD62" s="15">
        <v>0</v>
      </c>
      <c r="AE62" s="15">
        <v>0</v>
      </c>
      <c r="AF62" s="15">
        <v>0</v>
      </c>
      <c r="AG62" s="15">
        <v>0</v>
      </c>
      <c r="AH62" s="15">
        <v>0</v>
      </c>
      <c r="AI62" s="15">
        <v>0</v>
      </c>
      <c r="AJ62" s="15">
        <v>0</v>
      </c>
      <c r="AK62" s="15">
        <v>0</v>
      </c>
      <c r="AL62" s="15">
        <v>0</v>
      </c>
      <c r="AM62" s="15">
        <v>0</v>
      </c>
      <c r="AN62" s="15">
        <v>0</v>
      </c>
      <c r="AO62" s="15">
        <v>0</v>
      </c>
      <c r="AP62" s="15">
        <v>0</v>
      </c>
      <c r="AQ62" s="15">
        <v>0</v>
      </c>
      <c r="AR62" s="15">
        <v>0</v>
      </c>
      <c r="AS62" s="15">
        <v>0</v>
      </c>
      <c r="AT62" s="15">
        <v>0</v>
      </c>
      <c r="AU62" s="15">
        <v>0</v>
      </c>
      <c r="AV62" s="15">
        <v>0</v>
      </c>
      <c r="AW62" s="15">
        <v>0</v>
      </c>
      <c r="AX62" s="15">
        <v>0</v>
      </c>
      <c r="AY62" s="15">
        <v>0</v>
      </c>
      <c r="AZ62" s="15">
        <v>0</v>
      </c>
      <c r="BA62" s="15">
        <v>0</v>
      </c>
      <c r="BB62" s="15">
        <v>0</v>
      </c>
      <c r="BC62" s="15">
        <v>0</v>
      </c>
      <c r="BD62" s="15">
        <v>0</v>
      </c>
      <c r="BE62" s="15">
        <v>0</v>
      </c>
      <c r="BF62" s="15">
        <f t="shared" si="48"/>
        <v>0</v>
      </c>
      <c r="BG62" s="15">
        <f t="shared" si="49"/>
        <v>0</v>
      </c>
      <c r="BH62" s="15">
        <f t="shared" si="50"/>
        <v>0</v>
      </c>
      <c r="BI62" s="15">
        <f t="shared" si="51"/>
        <v>0</v>
      </c>
    </row>
    <row r="63" spans="2:61" x14ac:dyDescent="0.2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row>
    <row r="64" spans="2:61" x14ac:dyDescent="0.25">
      <c r="B64" s="76">
        <v>57</v>
      </c>
      <c r="C64" s="76"/>
      <c r="D64" s="76" t="s">
        <v>473</v>
      </c>
      <c r="E64" s="101">
        <f>E65+E66+E67+E68+E69+E70+E71+E72+E73</f>
        <v>0</v>
      </c>
      <c r="F64" s="101">
        <f t="shared" ref="F64:BE64" si="52">F65+F66+F67+F68+F69+F70+F71+F72+F73</f>
        <v>0</v>
      </c>
      <c r="G64" s="101">
        <f t="shared" si="52"/>
        <v>0</v>
      </c>
      <c r="H64" s="101">
        <f t="shared" si="52"/>
        <v>0</v>
      </c>
      <c r="I64" s="101">
        <f t="shared" si="52"/>
        <v>0</v>
      </c>
      <c r="J64" s="101">
        <f t="shared" si="52"/>
        <v>0</v>
      </c>
      <c r="K64" s="101">
        <f t="shared" si="52"/>
        <v>0</v>
      </c>
      <c r="L64" s="101">
        <f t="shared" si="52"/>
        <v>0</v>
      </c>
      <c r="M64" s="101">
        <f t="shared" si="52"/>
        <v>0</v>
      </c>
      <c r="N64" s="101">
        <f t="shared" si="52"/>
        <v>0</v>
      </c>
      <c r="O64" s="101">
        <f t="shared" si="52"/>
        <v>0</v>
      </c>
      <c r="P64" s="101">
        <f t="shared" si="52"/>
        <v>0</v>
      </c>
      <c r="Q64" s="101">
        <f t="shared" si="52"/>
        <v>0</v>
      </c>
      <c r="R64" s="101">
        <f t="shared" si="52"/>
        <v>0</v>
      </c>
      <c r="S64" s="101">
        <f t="shared" si="52"/>
        <v>0</v>
      </c>
      <c r="T64" s="101">
        <f t="shared" si="52"/>
        <v>0</v>
      </c>
      <c r="U64" s="101">
        <f t="shared" si="52"/>
        <v>0</v>
      </c>
      <c r="V64" s="101">
        <f t="shared" si="52"/>
        <v>0</v>
      </c>
      <c r="W64" s="101">
        <f t="shared" si="52"/>
        <v>0</v>
      </c>
      <c r="X64" s="101">
        <f t="shared" si="52"/>
        <v>0</v>
      </c>
      <c r="Y64" s="101">
        <f t="shared" si="52"/>
        <v>0</v>
      </c>
      <c r="Z64" s="101">
        <f t="shared" si="52"/>
        <v>0</v>
      </c>
      <c r="AA64" s="101">
        <f t="shared" si="52"/>
        <v>0</v>
      </c>
      <c r="AB64" s="101">
        <f t="shared" si="52"/>
        <v>0</v>
      </c>
      <c r="AC64" s="101">
        <f t="shared" si="52"/>
        <v>0</v>
      </c>
      <c r="AD64" s="101">
        <f t="shared" si="52"/>
        <v>0</v>
      </c>
      <c r="AE64" s="101">
        <f t="shared" si="52"/>
        <v>0</v>
      </c>
      <c r="AF64" s="101">
        <f t="shared" si="52"/>
        <v>0</v>
      </c>
      <c r="AG64" s="101">
        <f t="shared" si="52"/>
        <v>0</v>
      </c>
      <c r="AH64" s="101">
        <f t="shared" si="52"/>
        <v>0</v>
      </c>
      <c r="AI64" s="101">
        <f t="shared" si="52"/>
        <v>0</v>
      </c>
      <c r="AJ64" s="101">
        <f t="shared" si="52"/>
        <v>0</v>
      </c>
      <c r="AK64" s="101">
        <f t="shared" si="52"/>
        <v>0</v>
      </c>
      <c r="AL64" s="101">
        <f t="shared" si="52"/>
        <v>0</v>
      </c>
      <c r="AM64" s="101">
        <f t="shared" si="52"/>
        <v>0</v>
      </c>
      <c r="AN64" s="101">
        <f t="shared" si="52"/>
        <v>0</v>
      </c>
      <c r="AO64" s="101">
        <f t="shared" si="52"/>
        <v>0</v>
      </c>
      <c r="AP64" s="101">
        <f t="shared" si="52"/>
        <v>0</v>
      </c>
      <c r="AQ64" s="101">
        <f t="shared" si="52"/>
        <v>0</v>
      </c>
      <c r="AR64" s="101">
        <f t="shared" si="52"/>
        <v>0</v>
      </c>
      <c r="AS64" s="101">
        <f t="shared" si="52"/>
        <v>0</v>
      </c>
      <c r="AT64" s="101">
        <f t="shared" si="52"/>
        <v>0</v>
      </c>
      <c r="AU64" s="101">
        <f t="shared" si="52"/>
        <v>0</v>
      </c>
      <c r="AV64" s="101">
        <f t="shared" si="52"/>
        <v>0</v>
      </c>
      <c r="AW64" s="101">
        <f t="shared" si="52"/>
        <v>0</v>
      </c>
      <c r="AX64" s="101">
        <f t="shared" si="52"/>
        <v>0</v>
      </c>
      <c r="AY64" s="101">
        <f t="shared" si="52"/>
        <v>0</v>
      </c>
      <c r="AZ64" s="101">
        <f t="shared" si="52"/>
        <v>0</v>
      </c>
      <c r="BA64" s="101">
        <f t="shared" si="52"/>
        <v>0</v>
      </c>
      <c r="BB64" s="101">
        <f t="shared" si="52"/>
        <v>0</v>
      </c>
      <c r="BC64" s="101">
        <f t="shared" si="52"/>
        <v>0</v>
      </c>
      <c r="BD64" s="101">
        <f t="shared" si="52"/>
        <v>0</v>
      </c>
      <c r="BE64" s="101">
        <f t="shared" si="52"/>
        <v>0</v>
      </c>
      <c r="BF64" s="101">
        <f t="shared" ref="BF64" si="53">BF65+BF66+BF67+BF68+BF69+BF70+BF71+BF72+BF73</f>
        <v>0</v>
      </c>
      <c r="BG64" s="101">
        <f t="shared" ref="BG64" si="54">BG65+BG66+BG67+BG68+BG69+BG70+BG71+BG72+BG73</f>
        <v>0</v>
      </c>
      <c r="BH64" s="101">
        <f t="shared" ref="BH64" si="55">BH65+BH66+BH67+BH68+BH69+BH70+BH71+BH72+BH73</f>
        <v>0</v>
      </c>
      <c r="BI64" s="101">
        <f t="shared" ref="BI64" si="56">BI65+BI66+BI67+BI68+BI69+BI70+BI71+BI72+BI73</f>
        <v>0</v>
      </c>
    </row>
    <row r="65" spans="2:61" x14ac:dyDescent="0.25">
      <c r="C65" s="7">
        <v>570</v>
      </c>
      <c r="D65" s="7" t="s">
        <v>463</v>
      </c>
      <c r="E65" s="15">
        <v>0</v>
      </c>
      <c r="F65" s="15">
        <v>0</v>
      </c>
      <c r="G65" s="15">
        <v>0</v>
      </c>
      <c r="H65" s="15">
        <v>0</v>
      </c>
      <c r="I65" s="15">
        <v>0</v>
      </c>
      <c r="J65" s="15">
        <v>0</v>
      </c>
      <c r="K65" s="15">
        <v>0</v>
      </c>
      <c r="L65" s="15">
        <v>0</v>
      </c>
      <c r="M65" s="15">
        <v>0</v>
      </c>
      <c r="N65" s="15">
        <v>0</v>
      </c>
      <c r="O65" s="15">
        <v>0</v>
      </c>
      <c r="P65" s="15">
        <v>0</v>
      </c>
      <c r="Q65" s="15">
        <v>0</v>
      </c>
      <c r="R65" s="15">
        <v>0</v>
      </c>
      <c r="S65" s="15">
        <v>0</v>
      </c>
      <c r="T65" s="15">
        <v>0</v>
      </c>
      <c r="U65" s="15">
        <v>0</v>
      </c>
      <c r="V65" s="15">
        <v>0</v>
      </c>
      <c r="W65" s="15">
        <v>0</v>
      </c>
      <c r="X65" s="15">
        <v>0</v>
      </c>
      <c r="Y65" s="15">
        <v>0</v>
      </c>
      <c r="Z65" s="15">
        <v>0</v>
      </c>
      <c r="AA65" s="15">
        <v>0</v>
      </c>
      <c r="AB65" s="15">
        <v>0</v>
      </c>
      <c r="AC65" s="15">
        <v>0</v>
      </c>
      <c r="AD65" s="15">
        <v>0</v>
      </c>
      <c r="AE65" s="15">
        <v>0</v>
      </c>
      <c r="AF65" s="15">
        <v>0</v>
      </c>
      <c r="AG65" s="15">
        <v>0</v>
      </c>
      <c r="AH65" s="15">
        <v>0</v>
      </c>
      <c r="AI65" s="15">
        <v>0</v>
      </c>
      <c r="AJ65" s="15">
        <v>0</v>
      </c>
      <c r="AK65" s="15">
        <v>0</v>
      </c>
      <c r="AL65" s="15">
        <v>0</v>
      </c>
      <c r="AM65" s="15">
        <v>0</v>
      </c>
      <c r="AN65" s="15">
        <v>0</v>
      </c>
      <c r="AO65" s="15">
        <v>0</v>
      </c>
      <c r="AP65" s="15">
        <v>0</v>
      </c>
      <c r="AQ65" s="15">
        <v>0</v>
      </c>
      <c r="AR65" s="15">
        <v>0</v>
      </c>
      <c r="AS65" s="15">
        <v>0</v>
      </c>
      <c r="AT65" s="15">
        <v>0</v>
      </c>
      <c r="AU65" s="15">
        <v>0</v>
      </c>
      <c r="AV65" s="15">
        <v>0</v>
      </c>
      <c r="AW65" s="15">
        <v>0</v>
      </c>
      <c r="AX65" s="15">
        <v>0</v>
      </c>
      <c r="AY65" s="15">
        <v>0</v>
      </c>
      <c r="AZ65" s="15">
        <v>0</v>
      </c>
      <c r="BA65" s="15">
        <v>0</v>
      </c>
      <c r="BB65" s="15">
        <v>0</v>
      </c>
      <c r="BC65" s="15">
        <v>0</v>
      </c>
      <c r="BD65" s="15">
        <v>0</v>
      </c>
      <c r="BE65" s="15">
        <v>0</v>
      </c>
      <c r="BF65" s="15">
        <f t="shared" ref="BF65:BF73" si="57">SUM(E65:BE65)</f>
        <v>0</v>
      </c>
      <c r="BG65" s="15">
        <f t="shared" ref="BG65:BG73" si="58">SUM(E65:W65)</f>
        <v>0</v>
      </c>
      <c r="BH65" s="15">
        <f t="shared" ref="BH65:BH73" si="59">SUM(X65:AJ65)</f>
        <v>0</v>
      </c>
      <c r="BI65" s="15">
        <f t="shared" ref="BI65:BI73" si="60">SUM(AK65:BE65)</f>
        <v>0</v>
      </c>
    </row>
    <row r="66" spans="2:61" x14ac:dyDescent="0.25">
      <c r="C66" s="7">
        <v>571</v>
      </c>
      <c r="D66" s="7" t="s">
        <v>464</v>
      </c>
      <c r="E66" s="15">
        <v>0</v>
      </c>
      <c r="F66" s="15">
        <v>0</v>
      </c>
      <c r="G66" s="15">
        <v>0</v>
      </c>
      <c r="H66" s="15">
        <v>0</v>
      </c>
      <c r="I66" s="15">
        <v>0</v>
      </c>
      <c r="J66" s="15">
        <v>0</v>
      </c>
      <c r="K66" s="15">
        <v>0</v>
      </c>
      <c r="L66" s="15">
        <v>0</v>
      </c>
      <c r="M66" s="15">
        <v>0</v>
      </c>
      <c r="N66" s="15">
        <v>0</v>
      </c>
      <c r="O66" s="15">
        <v>0</v>
      </c>
      <c r="P66" s="15">
        <v>0</v>
      </c>
      <c r="Q66" s="15">
        <v>0</v>
      </c>
      <c r="R66" s="15">
        <v>0</v>
      </c>
      <c r="S66" s="15">
        <v>0</v>
      </c>
      <c r="T66" s="15">
        <v>0</v>
      </c>
      <c r="U66" s="15">
        <v>0</v>
      </c>
      <c r="V66" s="15">
        <v>0</v>
      </c>
      <c r="W66" s="15">
        <v>0</v>
      </c>
      <c r="X66" s="15">
        <v>0</v>
      </c>
      <c r="Y66" s="15">
        <v>0</v>
      </c>
      <c r="Z66" s="15">
        <v>0</v>
      </c>
      <c r="AA66" s="15">
        <v>0</v>
      </c>
      <c r="AB66" s="15">
        <v>0</v>
      </c>
      <c r="AC66" s="15">
        <v>0</v>
      </c>
      <c r="AD66" s="15">
        <v>0</v>
      </c>
      <c r="AE66" s="15">
        <v>0</v>
      </c>
      <c r="AF66" s="15">
        <v>0</v>
      </c>
      <c r="AG66" s="15">
        <v>0</v>
      </c>
      <c r="AH66" s="15">
        <v>0</v>
      </c>
      <c r="AI66" s="15">
        <v>0</v>
      </c>
      <c r="AJ66" s="15">
        <v>0</v>
      </c>
      <c r="AK66" s="15">
        <v>0</v>
      </c>
      <c r="AL66" s="15">
        <v>0</v>
      </c>
      <c r="AM66" s="15">
        <v>0</v>
      </c>
      <c r="AN66" s="15">
        <v>0</v>
      </c>
      <c r="AO66" s="15">
        <v>0</v>
      </c>
      <c r="AP66" s="15">
        <v>0</v>
      </c>
      <c r="AQ66" s="15">
        <v>0</v>
      </c>
      <c r="AR66" s="15">
        <v>0</v>
      </c>
      <c r="AS66" s="15">
        <v>0</v>
      </c>
      <c r="AT66" s="15">
        <v>0</v>
      </c>
      <c r="AU66" s="15">
        <v>0</v>
      </c>
      <c r="AV66" s="15">
        <v>0</v>
      </c>
      <c r="AW66" s="15">
        <v>0</v>
      </c>
      <c r="AX66" s="15">
        <v>0</v>
      </c>
      <c r="AY66" s="15">
        <v>0</v>
      </c>
      <c r="AZ66" s="15">
        <v>0</v>
      </c>
      <c r="BA66" s="15">
        <v>0</v>
      </c>
      <c r="BB66" s="15">
        <v>0</v>
      </c>
      <c r="BC66" s="15">
        <v>0</v>
      </c>
      <c r="BD66" s="15">
        <v>0</v>
      </c>
      <c r="BE66" s="15">
        <v>0</v>
      </c>
      <c r="BF66" s="15">
        <f t="shared" si="57"/>
        <v>0</v>
      </c>
      <c r="BG66" s="15">
        <f t="shared" si="58"/>
        <v>0</v>
      </c>
      <c r="BH66" s="15">
        <f t="shared" si="59"/>
        <v>0</v>
      </c>
      <c r="BI66" s="15">
        <f t="shared" si="60"/>
        <v>0</v>
      </c>
    </row>
    <row r="67" spans="2:61" x14ac:dyDescent="0.25">
      <c r="C67" s="7">
        <v>572</v>
      </c>
      <c r="D67" s="7" t="s">
        <v>465</v>
      </c>
      <c r="E67" s="15">
        <v>0</v>
      </c>
      <c r="F67" s="15">
        <v>0</v>
      </c>
      <c r="G67" s="15">
        <v>0</v>
      </c>
      <c r="H67" s="15">
        <v>0</v>
      </c>
      <c r="I67" s="15">
        <v>0</v>
      </c>
      <c r="J67" s="15">
        <v>0</v>
      </c>
      <c r="K67" s="15">
        <v>0</v>
      </c>
      <c r="L67" s="15">
        <v>0</v>
      </c>
      <c r="M67" s="15">
        <v>0</v>
      </c>
      <c r="N67" s="15">
        <v>0</v>
      </c>
      <c r="O67" s="15">
        <v>0</v>
      </c>
      <c r="P67" s="15">
        <v>0</v>
      </c>
      <c r="Q67" s="15">
        <v>0</v>
      </c>
      <c r="R67" s="15">
        <v>0</v>
      </c>
      <c r="S67" s="15">
        <v>0</v>
      </c>
      <c r="T67" s="15">
        <v>0</v>
      </c>
      <c r="U67" s="15">
        <v>0</v>
      </c>
      <c r="V67" s="15">
        <v>0</v>
      </c>
      <c r="W67" s="15">
        <v>0</v>
      </c>
      <c r="X67" s="15">
        <v>0</v>
      </c>
      <c r="Y67" s="15">
        <v>0</v>
      </c>
      <c r="Z67" s="15">
        <v>0</v>
      </c>
      <c r="AA67" s="15">
        <v>0</v>
      </c>
      <c r="AB67" s="15">
        <v>0</v>
      </c>
      <c r="AC67" s="15">
        <v>0</v>
      </c>
      <c r="AD67" s="15">
        <v>0</v>
      </c>
      <c r="AE67" s="15">
        <v>0</v>
      </c>
      <c r="AF67" s="15">
        <v>0</v>
      </c>
      <c r="AG67" s="15">
        <v>0</v>
      </c>
      <c r="AH67" s="15">
        <v>0</v>
      </c>
      <c r="AI67" s="15">
        <v>0</v>
      </c>
      <c r="AJ67" s="15">
        <v>0</v>
      </c>
      <c r="AK67" s="15">
        <v>0</v>
      </c>
      <c r="AL67" s="15">
        <v>0</v>
      </c>
      <c r="AM67" s="15">
        <v>0</v>
      </c>
      <c r="AN67" s="15">
        <v>0</v>
      </c>
      <c r="AO67" s="15">
        <v>0</v>
      </c>
      <c r="AP67" s="15">
        <v>0</v>
      </c>
      <c r="AQ67" s="15">
        <v>0</v>
      </c>
      <c r="AR67" s="15">
        <v>0</v>
      </c>
      <c r="AS67" s="15">
        <v>0</v>
      </c>
      <c r="AT67" s="15">
        <v>0</v>
      </c>
      <c r="AU67" s="15">
        <v>0</v>
      </c>
      <c r="AV67" s="15">
        <v>0</v>
      </c>
      <c r="AW67" s="15">
        <v>0</v>
      </c>
      <c r="AX67" s="15">
        <v>0</v>
      </c>
      <c r="AY67" s="15">
        <v>0</v>
      </c>
      <c r="AZ67" s="15">
        <v>0</v>
      </c>
      <c r="BA67" s="15">
        <v>0</v>
      </c>
      <c r="BB67" s="15">
        <v>0</v>
      </c>
      <c r="BC67" s="15">
        <v>0</v>
      </c>
      <c r="BD67" s="15">
        <v>0</v>
      </c>
      <c r="BE67" s="15">
        <v>0</v>
      </c>
      <c r="BF67" s="15">
        <f t="shared" si="57"/>
        <v>0</v>
      </c>
      <c r="BG67" s="15">
        <f t="shared" si="58"/>
        <v>0</v>
      </c>
      <c r="BH67" s="15">
        <f t="shared" si="59"/>
        <v>0</v>
      </c>
      <c r="BI67" s="15">
        <f t="shared" si="60"/>
        <v>0</v>
      </c>
    </row>
    <row r="68" spans="2:61" x14ac:dyDescent="0.25">
      <c r="C68" s="7">
        <v>573</v>
      </c>
      <c r="D68" s="7" t="s">
        <v>466</v>
      </c>
      <c r="E68" s="15">
        <v>0</v>
      </c>
      <c r="F68" s="15">
        <v>0</v>
      </c>
      <c r="G68" s="15">
        <v>0</v>
      </c>
      <c r="H68" s="15">
        <v>0</v>
      </c>
      <c r="I68" s="15">
        <v>0</v>
      </c>
      <c r="J68" s="15">
        <v>0</v>
      </c>
      <c r="K68" s="15">
        <v>0</v>
      </c>
      <c r="L68" s="15">
        <v>0</v>
      </c>
      <c r="M68" s="15">
        <v>0</v>
      </c>
      <c r="N68" s="15">
        <v>0</v>
      </c>
      <c r="O68" s="15">
        <v>0</v>
      </c>
      <c r="P68" s="15">
        <v>0</v>
      </c>
      <c r="Q68" s="15">
        <v>0</v>
      </c>
      <c r="R68" s="15">
        <v>0</v>
      </c>
      <c r="S68" s="15">
        <v>0</v>
      </c>
      <c r="T68" s="15">
        <v>0</v>
      </c>
      <c r="U68" s="15">
        <v>0</v>
      </c>
      <c r="V68" s="15">
        <v>0</v>
      </c>
      <c r="W68" s="15">
        <v>0</v>
      </c>
      <c r="X68" s="15">
        <v>0</v>
      </c>
      <c r="Y68" s="15">
        <v>0</v>
      </c>
      <c r="Z68" s="15">
        <v>0</v>
      </c>
      <c r="AA68" s="15">
        <v>0</v>
      </c>
      <c r="AB68" s="15">
        <v>0</v>
      </c>
      <c r="AC68" s="15">
        <v>0</v>
      </c>
      <c r="AD68" s="15">
        <v>0</v>
      </c>
      <c r="AE68" s="15">
        <v>0</v>
      </c>
      <c r="AF68" s="15">
        <v>0</v>
      </c>
      <c r="AG68" s="15">
        <v>0</v>
      </c>
      <c r="AH68" s="15">
        <v>0</v>
      </c>
      <c r="AI68" s="15">
        <v>0</v>
      </c>
      <c r="AJ68" s="15">
        <v>0</v>
      </c>
      <c r="AK68" s="15">
        <v>0</v>
      </c>
      <c r="AL68" s="15">
        <v>0</v>
      </c>
      <c r="AM68" s="15">
        <v>0</v>
      </c>
      <c r="AN68" s="15">
        <v>0</v>
      </c>
      <c r="AO68" s="15">
        <v>0</v>
      </c>
      <c r="AP68" s="15">
        <v>0</v>
      </c>
      <c r="AQ68" s="15">
        <v>0</v>
      </c>
      <c r="AR68" s="15">
        <v>0</v>
      </c>
      <c r="AS68" s="15">
        <v>0</v>
      </c>
      <c r="AT68" s="15">
        <v>0</v>
      </c>
      <c r="AU68" s="15">
        <v>0</v>
      </c>
      <c r="AV68" s="15">
        <v>0</v>
      </c>
      <c r="AW68" s="15">
        <v>0</v>
      </c>
      <c r="AX68" s="15">
        <v>0</v>
      </c>
      <c r="AY68" s="15">
        <v>0</v>
      </c>
      <c r="AZ68" s="15">
        <v>0</v>
      </c>
      <c r="BA68" s="15">
        <v>0</v>
      </c>
      <c r="BB68" s="15">
        <v>0</v>
      </c>
      <c r="BC68" s="15">
        <v>0</v>
      </c>
      <c r="BD68" s="15">
        <v>0</v>
      </c>
      <c r="BE68" s="15">
        <v>0</v>
      </c>
      <c r="BF68" s="15">
        <f t="shared" si="57"/>
        <v>0</v>
      </c>
      <c r="BG68" s="15">
        <f t="shared" si="58"/>
        <v>0</v>
      </c>
      <c r="BH68" s="15">
        <f t="shared" si="59"/>
        <v>0</v>
      </c>
      <c r="BI68" s="15">
        <f t="shared" si="60"/>
        <v>0</v>
      </c>
    </row>
    <row r="69" spans="2:61" x14ac:dyDescent="0.25">
      <c r="C69" s="7">
        <v>574</v>
      </c>
      <c r="D69" s="7" t="s">
        <v>467</v>
      </c>
      <c r="E69" s="15">
        <v>0</v>
      </c>
      <c r="F69" s="15">
        <v>0</v>
      </c>
      <c r="G69" s="15">
        <v>0</v>
      </c>
      <c r="H69" s="15">
        <v>0</v>
      </c>
      <c r="I69" s="15">
        <v>0</v>
      </c>
      <c r="J69" s="15">
        <v>0</v>
      </c>
      <c r="K69" s="15">
        <v>0</v>
      </c>
      <c r="L69" s="15">
        <v>0</v>
      </c>
      <c r="M69" s="15">
        <v>0</v>
      </c>
      <c r="N69" s="15">
        <v>0</v>
      </c>
      <c r="O69" s="15">
        <v>0</v>
      </c>
      <c r="P69" s="15">
        <v>0</v>
      </c>
      <c r="Q69" s="15">
        <v>0</v>
      </c>
      <c r="R69" s="15">
        <v>0</v>
      </c>
      <c r="S69" s="15">
        <v>0</v>
      </c>
      <c r="T69" s="15">
        <v>0</v>
      </c>
      <c r="U69" s="15">
        <v>0</v>
      </c>
      <c r="V69" s="15">
        <v>0</v>
      </c>
      <c r="W69" s="15">
        <v>0</v>
      </c>
      <c r="X69" s="15">
        <v>0</v>
      </c>
      <c r="Y69" s="15">
        <v>0</v>
      </c>
      <c r="Z69" s="15">
        <v>0</v>
      </c>
      <c r="AA69" s="15">
        <v>0</v>
      </c>
      <c r="AB69" s="15">
        <v>0</v>
      </c>
      <c r="AC69" s="15">
        <v>0</v>
      </c>
      <c r="AD69" s="15">
        <v>0</v>
      </c>
      <c r="AE69" s="15">
        <v>0</v>
      </c>
      <c r="AF69" s="15">
        <v>0</v>
      </c>
      <c r="AG69" s="15">
        <v>0</v>
      </c>
      <c r="AH69" s="15">
        <v>0</v>
      </c>
      <c r="AI69" s="15">
        <v>0</v>
      </c>
      <c r="AJ69" s="15">
        <v>0</v>
      </c>
      <c r="AK69" s="15">
        <v>0</v>
      </c>
      <c r="AL69" s="15">
        <v>0</v>
      </c>
      <c r="AM69" s="15">
        <v>0</v>
      </c>
      <c r="AN69" s="15">
        <v>0</v>
      </c>
      <c r="AO69" s="15">
        <v>0</v>
      </c>
      <c r="AP69" s="15">
        <v>0</v>
      </c>
      <c r="AQ69" s="15">
        <v>0</v>
      </c>
      <c r="AR69" s="15">
        <v>0</v>
      </c>
      <c r="AS69" s="15">
        <v>0</v>
      </c>
      <c r="AT69" s="15">
        <v>0</v>
      </c>
      <c r="AU69" s="15">
        <v>0</v>
      </c>
      <c r="AV69" s="15">
        <v>0</v>
      </c>
      <c r="AW69" s="15">
        <v>0</v>
      </c>
      <c r="AX69" s="15">
        <v>0</v>
      </c>
      <c r="AY69" s="15">
        <v>0</v>
      </c>
      <c r="AZ69" s="15">
        <v>0</v>
      </c>
      <c r="BA69" s="15">
        <v>0</v>
      </c>
      <c r="BB69" s="15">
        <v>0</v>
      </c>
      <c r="BC69" s="15">
        <v>0</v>
      </c>
      <c r="BD69" s="15">
        <v>0</v>
      </c>
      <c r="BE69" s="15">
        <v>0</v>
      </c>
      <c r="BF69" s="15">
        <f t="shared" si="57"/>
        <v>0</v>
      </c>
      <c r="BG69" s="15">
        <f t="shared" si="58"/>
        <v>0</v>
      </c>
      <c r="BH69" s="15">
        <f t="shared" si="59"/>
        <v>0</v>
      </c>
      <c r="BI69" s="15">
        <f t="shared" si="60"/>
        <v>0</v>
      </c>
    </row>
    <row r="70" spans="2:61" x14ac:dyDescent="0.25">
      <c r="C70" s="7">
        <v>575</v>
      </c>
      <c r="D70" s="7" t="s">
        <v>468</v>
      </c>
      <c r="E70" s="15">
        <v>0</v>
      </c>
      <c r="F70" s="15">
        <v>0</v>
      </c>
      <c r="G70" s="15">
        <v>0</v>
      </c>
      <c r="H70" s="15">
        <v>0</v>
      </c>
      <c r="I70" s="15">
        <v>0</v>
      </c>
      <c r="J70" s="15">
        <v>0</v>
      </c>
      <c r="K70" s="15">
        <v>0</v>
      </c>
      <c r="L70" s="15">
        <v>0</v>
      </c>
      <c r="M70" s="15">
        <v>0</v>
      </c>
      <c r="N70" s="15">
        <v>0</v>
      </c>
      <c r="O70" s="15">
        <v>0</v>
      </c>
      <c r="P70" s="15">
        <v>0</v>
      </c>
      <c r="Q70" s="15">
        <v>0</v>
      </c>
      <c r="R70" s="15">
        <v>0</v>
      </c>
      <c r="S70" s="15">
        <v>0</v>
      </c>
      <c r="T70" s="15">
        <v>0</v>
      </c>
      <c r="U70" s="15">
        <v>0</v>
      </c>
      <c r="V70" s="15">
        <v>0</v>
      </c>
      <c r="W70" s="15">
        <v>0</v>
      </c>
      <c r="X70" s="15">
        <v>0</v>
      </c>
      <c r="Y70" s="15">
        <v>0</v>
      </c>
      <c r="Z70" s="15">
        <v>0</v>
      </c>
      <c r="AA70" s="15">
        <v>0</v>
      </c>
      <c r="AB70" s="15">
        <v>0</v>
      </c>
      <c r="AC70" s="15">
        <v>0</v>
      </c>
      <c r="AD70" s="15">
        <v>0</v>
      </c>
      <c r="AE70" s="15">
        <v>0</v>
      </c>
      <c r="AF70" s="15">
        <v>0</v>
      </c>
      <c r="AG70" s="15">
        <v>0</v>
      </c>
      <c r="AH70" s="15">
        <v>0</v>
      </c>
      <c r="AI70" s="15">
        <v>0</v>
      </c>
      <c r="AJ70" s="15">
        <v>0</v>
      </c>
      <c r="AK70" s="15">
        <v>0</v>
      </c>
      <c r="AL70" s="15">
        <v>0</v>
      </c>
      <c r="AM70" s="15">
        <v>0</v>
      </c>
      <c r="AN70" s="15">
        <v>0</v>
      </c>
      <c r="AO70" s="15">
        <v>0</v>
      </c>
      <c r="AP70" s="15">
        <v>0</v>
      </c>
      <c r="AQ70" s="15">
        <v>0</v>
      </c>
      <c r="AR70" s="15">
        <v>0</v>
      </c>
      <c r="AS70" s="15">
        <v>0</v>
      </c>
      <c r="AT70" s="15">
        <v>0</v>
      </c>
      <c r="AU70" s="15">
        <v>0</v>
      </c>
      <c r="AV70" s="15">
        <v>0</v>
      </c>
      <c r="AW70" s="15">
        <v>0</v>
      </c>
      <c r="AX70" s="15">
        <v>0</v>
      </c>
      <c r="AY70" s="15">
        <v>0</v>
      </c>
      <c r="AZ70" s="15">
        <v>0</v>
      </c>
      <c r="BA70" s="15">
        <v>0</v>
      </c>
      <c r="BB70" s="15">
        <v>0</v>
      </c>
      <c r="BC70" s="15">
        <v>0</v>
      </c>
      <c r="BD70" s="15">
        <v>0</v>
      </c>
      <c r="BE70" s="15">
        <v>0</v>
      </c>
      <c r="BF70" s="15">
        <f t="shared" si="57"/>
        <v>0</v>
      </c>
      <c r="BG70" s="15">
        <f t="shared" si="58"/>
        <v>0</v>
      </c>
      <c r="BH70" s="15">
        <f t="shared" si="59"/>
        <v>0</v>
      </c>
      <c r="BI70" s="15">
        <f t="shared" si="60"/>
        <v>0</v>
      </c>
    </row>
    <row r="71" spans="2:61" x14ac:dyDescent="0.25">
      <c r="C71" s="7">
        <v>576</v>
      </c>
      <c r="D71" s="7" t="s">
        <v>469</v>
      </c>
      <c r="E71" s="15">
        <v>0</v>
      </c>
      <c r="F71" s="15">
        <v>0</v>
      </c>
      <c r="G71" s="15">
        <v>0</v>
      </c>
      <c r="H71" s="15">
        <v>0</v>
      </c>
      <c r="I71" s="15">
        <v>0</v>
      </c>
      <c r="J71" s="15">
        <v>0</v>
      </c>
      <c r="K71" s="15">
        <v>0</v>
      </c>
      <c r="L71" s="15">
        <v>0</v>
      </c>
      <c r="M71" s="15">
        <v>0</v>
      </c>
      <c r="N71" s="15">
        <v>0</v>
      </c>
      <c r="O71" s="15">
        <v>0</v>
      </c>
      <c r="P71" s="15">
        <v>0</v>
      </c>
      <c r="Q71" s="15">
        <v>0</v>
      </c>
      <c r="R71" s="15">
        <v>0</v>
      </c>
      <c r="S71" s="15">
        <v>0</v>
      </c>
      <c r="T71" s="15">
        <v>0</v>
      </c>
      <c r="U71" s="15">
        <v>0</v>
      </c>
      <c r="V71" s="15">
        <v>0</v>
      </c>
      <c r="W71" s="15">
        <v>0</v>
      </c>
      <c r="X71" s="15">
        <v>0</v>
      </c>
      <c r="Y71" s="15">
        <v>0</v>
      </c>
      <c r="Z71" s="15">
        <v>0</v>
      </c>
      <c r="AA71" s="15">
        <v>0</v>
      </c>
      <c r="AB71" s="15">
        <v>0</v>
      </c>
      <c r="AC71" s="15">
        <v>0</v>
      </c>
      <c r="AD71" s="15">
        <v>0</v>
      </c>
      <c r="AE71" s="15">
        <v>0</v>
      </c>
      <c r="AF71" s="15">
        <v>0</v>
      </c>
      <c r="AG71" s="15">
        <v>0</v>
      </c>
      <c r="AH71" s="15">
        <v>0</v>
      </c>
      <c r="AI71" s="15">
        <v>0</v>
      </c>
      <c r="AJ71" s="15">
        <v>0</v>
      </c>
      <c r="AK71" s="15">
        <v>0</v>
      </c>
      <c r="AL71" s="15">
        <v>0</v>
      </c>
      <c r="AM71" s="15">
        <v>0</v>
      </c>
      <c r="AN71" s="15">
        <v>0</v>
      </c>
      <c r="AO71" s="15">
        <v>0</v>
      </c>
      <c r="AP71" s="15">
        <v>0</v>
      </c>
      <c r="AQ71" s="15">
        <v>0</v>
      </c>
      <c r="AR71" s="15">
        <v>0</v>
      </c>
      <c r="AS71" s="15">
        <v>0</v>
      </c>
      <c r="AT71" s="15">
        <v>0</v>
      </c>
      <c r="AU71" s="15">
        <v>0</v>
      </c>
      <c r="AV71" s="15">
        <v>0</v>
      </c>
      <c r="AW71" s="15">
        <v>0</v>
      </c>
      <c r="AX71" s="15">
        <v>0</v>
      </c>
      <c r="AY71" s="15">
        <v>0</v>
      </c>
      <c r="AZ71" s="15">
        <v>0</v>
      </c>
      <c r="BA71" s="15">
        <v>0</v>
      </c>
      <c r="BB71" s="15">
        <v>0</v>
      </c>
      <c r="BC71" s="15">
        <v>0</v>
      </c>
      <c r="BD71" s="15">
        <v>0</v>
      </c>
      <c r="BE71" s="15">
        <v>0</v>
      </c>
      <c r="BF71" s="15">
        <f t="shared" si="57"/>
        <v>0</v>
      </c>
      <c r="BG71" s="15">
        <f t="shared" si="58"/>
        <v>0</v>
      </c>
      <c r="BH71" s="15">
        <f t="shared" si="59"/>
        <v>0</v>
      </c>
      <c r="BI71" s="15">
        <f t="shared" si="60"/>
        <v>0</v>
      </c>
    </row>
    <row r="72" spans="2:61" x14ac:dyDescent="0.25">
      <c r="C72" s="7">
        <v>577</v>
      </c>
      <c r="D72" s="7" t="s">
        <v>470</v>
      </c>
      <c r="E72" s="15">
        <v>0</v>
      </c>
      <c r="F72" s="15">
        <v>0</v>
      </c>
      <c r="G72" s="15">
        <v>0</v>
      </c>
      <c r="H72" s="15">
        <v>0</v>
      </c>
      <c r="I72" s="15">
        <v>0</v>
      </c>
      <c r="J72" s="15">
        <v>0</v>
      </c>
      <c r="K72" s="15">
        <v>0</v>
      </c>
      <c r="L72" s="15">
        <v>0</v>
      </c>
      <c r="M72" s="15">
        <v>0</v>
      </c>
      <c r="N72" s="15">
        <v>0</v>
      </c>
      <c r="O72" s="15">
        <v>0</v>
      </c>
      <c r="P72" s="15">
        <v>0</v>
      </c>
      <c r="Q72" s="15">
        <v>0</v>
      </c>
      <c r="R72" s="15">
        <v>0</v>
      </c>
      <c r="S72" s="15">
        <v>0</v>
      </c>
      <c r="T72" s="15">
        <v>0</v>
      </c>
      <c r="U72" s="15">
        <v>0</v>
      </c>
      <c r="V72" s="15">
        <v>0</v>
      </c>
      <c r="W72" s="15">
        <v>0</v>
      </c>
      <c r="X72" s="15">
        <v>0</v>
      </c>
      <c r="Y72" s="15">
        <v>0</v>
      </c>
      <c r="Z72" s="15">
        <v>0</v>
      </c>
      <c r="AA72" s="15">
        <v>0</v>
      </c>
      <c r="AB72" s="15">
        <v>0</v>
      </c>
      <c r="AC72" s="15">
        <v>0</v>
      </c>
      <c r="AD72" s="15">
        <v>0</v>
      </c>
      <c r="AE72" s="15">
        <v>0</v>
      </c>
      <c r="AF72" s="15">
        <v>0</v>
      </c>
      <c r="AG72" s="15">
        <v>0</v>
      </c>
      <c r="AH72" s="15">
        <v>0</v>
      </c>
      <c r="AI72" s="15">
        <v>0</v>
      </c>
      <c r="AJ72" s="15">
        <v>0</v>
      </c>
      <c r="AK72" s="15">
        <v>0</v>
      </c>
      <c r="AL72" s="15">
        <v>0</v>
      </c>
      <c r="AM72" s="15">
        <v>0</v>
      </c>
      <c r="AN72" s="15">
        <v>0</v>
      </c>
      <c r="AO72" s="15">
        <v>0</v>
      </c>
      <c r="AP72" s="15">
        <v>0</v>
      </c>
      <c r="AQ72" s="15">
        <v>0</v>
      </c>
      <c r="AR72" s="15">
        <v>0</v>
      </c>
      <c r="AS72" s="15">
        <v>0</v>
      </c>
      <c r="AT72" s="15">
        <v>0</v>
      </c>
      <c r="AU72" s="15">
        <v>0</v>
      </c>
      <c r="AV72" s="15">
        <v>0</v>
      </c>
      <c r="AW72" s="15">
        <v>0</v>
      </c>
      <c r="AX72" s="15">
        <v>0</v>
      </c>
      <c r="AY72" s="15">
        <v>0</v>
      </c>
      <c r="AZ72" s="15">
        <v>0</v>
      </c>
      <c r="BA72" s="15">
        <v>0</v>
      </c>
      <c r="BB72" s="15">
        <v>0</v>
      </c>
      <c r="BC72" s="15">
        <v>0</v>
      </c>
      <c r="BD72" s="15">
        <v>0</v>
      </c>
      <c r="BE72" s="15">
        <v>0</v>
      </c>
      <c r="BF72" s="15">
        <f t="shared" si="57"/>
        <v>0</v>
      </c>
      <c r="BG72" s="15">
        <f t="shared" si="58"/>
        <v>0</v>
      </c>
      <c r="BH72" s="15">
        <f t="shared" si="59"/>
        <v>0</v>
      </c>
      <c r="BI72" s="15">
        <f t="shared" si="60"/>
        <v>0</v>
      </c>
    </row>
    <row r="73" spans="2:61" x14ac:dyDescent="0.25">
      <c r="C73" s="7">
        <v>578</v>
      </c>
      <c r="D73" s="7" t="s">
        <v>471</v>
      </c>
      <c r="E73" s="15">
        <v>0</v>
      </c>
      <c r="F73" s="15">
        <v>0</v>
      </c>
      <c r="G73" s="15">
        <v>0</v>
      </c>
      <c r="H73" s="15">
        <v>0</v>
      </c>
      <c r="I73" s="15">
        <v>0</v>
      </c>
      <c r="J73" s="15">
        <v>0</v>
      </c>
      <c r="K73" s="15">
        <v>0</v>
      </c>
      <c r="L73" s="15">
        <v>0</v>
      </c>
      <c r="M73" s="15">
        <v>0</v>
      </c>
      <c r="N73" s="15">
        <v>0</v>
      </c>
      <c r="O73" s="15">
        <v>0</v>
      </c>
      <c r="P73" s="15">
        <v>0</v>
      </c>
      <c r="Q73" s="15">
        <v>0</v>
      </c>
      <c r="R73" s="15">
        <v>0</v>
      </c>
      <c r="S73" s="15">
        <v>0</v>
      </c>
      <c r="T73" s="15">
        <v>0</v>
      </c>
      <c r="U73" s="15">
        <v>0</v>
      </c>
      <c r="V73" s="15">
        <v>0</v>
      </c>
      <c r="W73" s="15">
        <v>0</v>
      </c>
      <c r="X73" s="15">
        <v>0</v>
      </c>
      <c r="Y73" s="15">
        <v>0</v>
      </c>
      <c r="Z73" s="15">
        <v>0</v>
      </c>
      <c r="AA73" s="15">
        <v>0</v>
      </c>
      <c r="AB73" s="15">
        <v>0</v>
      </c>
      <c r="AC73" s="15">
        <v>0</v>
      </c>
      <c r="AD73" s="15">
        <v>0</v>
      </c>
      <c r="AE73" s="15">
        <v>0</v>
      </c>
      <c r="AF73" s="15">
        <v>0</v>
      </c>
      <c r="AG73" s="15">
        <v>0</v>
      </c>
      <c r="AH73" s="15">
        <v>0</v>
      </c>
      <c r="AI73" s="15">
        <v>0</v>
      </c>
      <c r="AJ73" s="15">
        <v>0</v>
      </c>
      <c r="AK73" s="15">
        <v>0</v>
      </c>
      <c r="AL73" s="15">
        <v>0</v>
      </c>
      <c r="AM73" s="15">
        <v>0</v>
      </c>
      <c r="AN73" s="15">
        <v>0</v>
      </c>
      <c r="AO73" s="15">
        <v>0</v>
      </c>
      <c r="AP73" s="15">
        <v>0</v>
      </c>
      <c r="AQ73" s="15">
        <v>0</v>
      </c>
      <c r="AR73" s="15">
        <v>0</v>
      </c>
      <c r="AS73" s="15">
        <v>0</v>
      </c>
      <c r="AT73" s="15">
        <v>0</v>
      </c>
      <c r="AU73" s="15">
        <v>0</v>
      </c>
      <c r="AV73" s="15">
        <v>0</v>
      </c>
      <c r="AW73" s="15">
        <v>0</v>
      </c>
      <c r="AX73" s="15">
        <v>0</v>
      </c>
      <c r="AY73" s="15">
        <v>0</v>
      </c>
      <c r="AZ73" s="15">
        <v>0</v>
      </c>
      <c r="BA73" s="15">
        <v>0</v>
      </c>
      <c r="BB73" s="15">
        <v>0</v>
      </c>
      <c r="BC73" s="15">
        <v>0</v>
      </c>
      <c r="BD73" s="15">
        <v>0</v>
      </c>
      <c r="BE73" s="15">
        <v>0</v>
      </c>
      <c r="BF73" s="15">
        <f t="shared" si="57"/>
        <v>0</v>
      </c>
      <c r="BG73" s="15">
        <f t="shared" si="58"/>
        <v>0</v>
      </c>
      <c r="BH73" s="15">
        <f t="shared" si="59"/>
        <v>0</v>
      </c>
      <c r="BI73" s="15">
        <f t="shared" si="60"/>
        <v>0</v>
      </c>
    </row>
    <row r="74" spans="2:61" x14ac:dyDescent="0.2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row>
    <row r="75" spans="2:61" x14ac:dyDescent="0.25">
      <c r="B75" s="76">
        <v>58</v>
      </c>
      <c r="C75" s="76"/>
      <c r="D75" s="76" t="s">
        <v>474</v>
      </c>
      <c r="E75" s="101">
        <f>E76+E77+E78+E79+E80+E81</f>
        <v>0</v>
      </c>
      <c r="F75" s="101">
        <f t="shared" ref="F75:BE75" si="61">F76+F77+F78+F79+F80+F81</f>
        <v>0</v>
      </c>
      <c r="G75" s="101">
        <f t="shared" si="61"/>
        <v>0</v>
      </c>
      <c r="H75" s="101">
        <f t="shared" si="61"/>
        <v>0</v>
      </c>
      <c r="I75" s="101">
        <f t="shared" si="61"/>
        <v>0</v>
      </c>
      <c r="J75" s="101">
        <f t="shared" si="61"/>
        <v>0</v>
      </c>
      <c r="K75" s="101">
        <f t="shared" si="61"/>
        <v>0</v>
      </c>
      <c r="L75" s="101">
        <f t="shared" si="61"/>
        <v>35096.199999999997</v>
      </c>
      <c r="M75" s="101">
        <f t="shared" si="61"/>
        <v>0</v>
      </c>
      <c r="N75" s="101">
        <f t="shared" si="61"/>
        <v>0</v>
      </c>
      <c r="O75" s="101">
        <f t="shared" si="61"/>
        <v>0</v>
      </c>
      <c r="P75" s="101">
        <f t="shared" si="61"/>
        <v>0</v>
      </c>
      <c r="Q75" s="101">
        <f t="shared" si="61"/>
        <v>0</v>
      </c>
      <c r="R75" s="101">
        <f t="shared" si="61"/>
        <v>0</v>
      </c>
      <c r="S75" s="101">
        <f t="shared" si="61"/>
        <v>0</v>
      </c>
      <c r="T75" s="101">
        <f t="shared" si="61"/>
        <v>0</v>
      </c>
      <c r="U75" s="101">
        <f t="shared" si="61"/>
        <v>0</v>
      </c>
      <c r="V75" s="101">
        <f t="shared" si="61"/>
        <v>0</v>
      </c>
      <c r="W75" s="101">
        <f t="shared" si="61"/>
        <v>0</v>
      </c>
      <c r="X75" s="101">
        <f t="shared" si="61"/>
        <v>0</v>
      </c>
      <c r="Y75" s="101">
        <f t="shared" si="61"/>
        <v>0</v>
      </c>
      <c r="Z75" s="101">
        <f t="shared" si="61"/>
        <v>0</v>
      </c>
      <c r="AA75" s="101">
        <f t="shared" si="61"/>
        <v>0</v>
      </c>
      <c r="AB75" s="101">
        <f t="shared" si="61"/>
        <v>0</v>
      </c>
      <c r="AC75" s="101">
        <f t="shared" si="61"/>
        <v>0</v>
      </c>
      <c r="AD75" s="101">
        <f t="shared" si="61"/>
        <v>13746.64</v>
      </c>
      <c r="AE75" s="101">
        <f t="shared" si="61"/>
        <v>0</v>
      </c>
      <c r="AF75" s="101">
        <f t="shared" si="61"/>
        <v>0</v>
      </c>
      <c r="AG75" s="101">
        <f t="shared" si="61"/>
        <v>0</v>
      </c>
      <c r="AH75" s="101">
        <f t="shared" si="61"/>
        <v>0</v>
      </c>
      <c r="AI75" s="101">
        <f t="shared" si="61"/>
        <v>0</v>
      </c>
      <c r="AJ75" s="101">
        <f t="shared" si="61"/>
        <v>0</v>
      </c>
      <c r="AK75" s="101">
        <f t="shared" si="61"/>
        <v>0</v>
      </c>
      <c r="AL75" s="101">
        <f t="shared" si="61"/>
        <v>0</v>
      </c>
      <c r="AM75" s="101">
        <f t="shared" si="61"/>
        <v>0</v>
      </c>
      <c r="AN75" s="101">
        <f t="shared" si="61"/>
        <v>0</v>
      </c>
      <c r="AO75" s="101">
        <f t="shared" si="61"/>
        <v>0</v>
      </c>
      <c r="AP75" s="101">
        <f t="shared" si="61"/>
        <v>0</v>
      </c>
      <c r="AQ75" s="101">
        <f t="shared" si="61"/>
        <v>0</v>
      </c>
      <c r="AR75" s="101">
        <f t="shared" si="61"/>
        <v>0</v>
      </c>
      <c r="AS75" s="101">
        <f t="shared" si="61"/>
        <v>29394.95</v>
      </c>
      <c r="AT75" s="101">
        <f t="shared" si="61"/>
        <v>101793.55</v>
      </c>
      <c r="AU75" s="101">
        <f t="shared" si="61"/>
        <v>0</v>
      </c>
      <c r="AV75" s="101">
        <f t="shared" si="61"/>
        <v>0</v>
      </c>
      <c r="AW75" s="101">
        <f t="shared" si="61"/>
        <v>0</v>
      </c>
      <c r="AX75" s="101">
        <f t="shared" si="61"/>
        <v>0</v>
      </c>
      <c r="AY75" s="101">
        <f t="shared" si="61"/>
        <v>0</v>
      </c>
      <c r="AZ75" s="101">
        <f t="shared" si="61"/>
        <v>0</v>
      </c>
      <c r="BA75" s="101">
        <f t="shared" si="61"/>
        <v>0</v>
      </c>
      <c r="BB75" s="101">
        <f t="shared" si="61"/>
        <v>0</v>
      </c>
      <c r="BC75" s="101">
        <f t="shared" si="61"/>
        <v>0</v>
      </c>
      <c r="BD75" s="101">
        <f t="shared" si="61"/>
        <v>0</v>
      </c>
      <c r="BE75" s="101">
        <f t="shared" si="61"/>
        <v>0</v>
      </c>
      <c r="BF75" s="101">
        <f t="shared" ref="BF75" si="62">BF76+BF77+BF78+BF79+BF80+BF81</f>
        <v>180031.34</v>
      </c>
      <c r="BG75" s="101">
        <f t="shared" ref="BG75" si="63">BG76+BG77+BG78+BG79+BG80+BG81</f>
        <v>35096.199999999997</v>
      </c>
      <c r="BH75" s="101">
        <f t="shared" ref="BH75" si="64">BH76+BH77+BH78+BH79+BH80+BH81</f>
        <v>13746.64</v>
      </c>
      <c r="BI75" s="101">
        <f t="shared" ref="BI75" si="65">BI76+BI77+BI78+BI79+BI80+BI81</f>
        <v>131188.5</v>
      </c>
    </row>
    <row r="76" spans="2:61" x14ac:dyDescent="0.25">
      <c r="C76" s="7">
        <v>580</v>
      </c>
      <c r="D76" s="7" t="s">
        <v>451</v>
      </c>
      <c r="E76" s="15">
        <v>0</v>
      </c>
      <c r="F76" s="15">
        <v>0</v>
      </c>
      <c r="G76" s="15">
        <v>0</v>
      </c>
      <c r="H76" s="15">
        <v>0</v>
      </c>
      <c r="I76" s="15">
        <v>0</v>
      </c>
      <c r="J76" s="15">
        <v>0</v>
      </c>
      <c r="K76" s="15">
        <v>0</v>
      </c>
      <c r="L76" s="15">
        <v>0</v>
      </c>
      <c r="M76" s="15">
        <v>0</v>
      </c>
      <c r="N76" s="15">
        <v>0</v>
      </c>
      <c r="O76" s="15">
        <v>0</v>
      </c>
      <c r="P76" s="15">
        <v>0</v>
      </c>
      <c r="Q76" s="15">
        <v>0</v>
      </c>
      <c r="R76" s="15">
        <v>0</v>
      </c>
      <c r="S76" s="15">
        <v>0</v>
      </c>
      <c r="T76" s="15">
        <v>0</v>
      </c>
      <c r="U76" s="15">
        <v>0</v>
      </c>
      <c r="V76" s="15">
        <v>0</v>
      </c>
      <c r="W76" s="15">
        <v>0</v>
      </c>
      <c r="X76" s="15">
        <v>0</v>
      </c>
      <c r="Y76" s="15">
        <v>0</v>
      </c>
      <c r="Z76" s="15">
        <v>0</v>
      </c>
      <c r="AA76" s="15">
        <v>0</v>
      </c>
      <c r="AB76" s="15">
        <v>0</v>
      </c>
      <c r="AC76" s="15">
        <v>0</v>
      </c>
      <c r="AD76" s="15">
        <v>13746.64</v>
      </c>
      <c r="AE76" s="15">
        <v>0</v>
      </c>
      <c r="AF76" s="15">
        <v>0</v>
      </c>
      <c r="AG76" s="15">
        <v>0</v>
      </c>
      <c r="AH76" s="15">
        <v>0</v>
      </c>
      <c r="AI76" s="15">
        <v>0</v>
      </c>
      <c r="AJ76" s="15">
        <v>0</v>
      </c>
      <c r="AK76" s="15">
        <v>0</v>
      </c>
      <c r="AL76" s="15">
        <v>0</v>
      </c>
      <c r="AM76" s="15">
        <v>0</v>
      </c>
      <c r="AN76" s="15">
        <v>0</v>
      </c>
      <c r="AO76" s="15">
        <v>0</v>
      </c>
      <c r="AP76" s="15">
        <v>0</v>
      </c>
      <c r="AQ76" s="15">
        <v>0</v>
      </c>
      <c r="AR76" s="15">
        <v>0</v>
      </c>
      <c r="AS76" s="15">
        <v>29394.95</v>
      </c>
      <c r="AT76" s="15">
        <v>7646</v>
      </c>
      <c r="AU76" s="15">
        <v>0</v>
      </c>
      <c r="AV76" s="15">
        <v>0</v>
      </c>
      <c r="AW76" s="15">
        <v>0</v>
      </c>
      <c r="AX76" s="15">
        <v>0</v>
      </c>
      <c r="AY76" s="15">
        <v>0</v>
      </c>
      <c r="AZ76" s="15">
        <v>0</v>
      </c>
      <c r="BA76" s="15">
        <v>0</v>
      </c>
      <c r="BB76" s="15">
        <v>0</v>
      </c>
      <c r="BC76" s="15">
        <v>0</v>
      </c>
      <c r="BD76" s="15">
        <v>0</v>
      </c>
      <c r="BE76" s="15">
        <v>0</v>
      </c>
      <c r="BF76" s="15">
        <f t="shared" ref="BF76:BF81" si="66">SUM(E76:BE76)</f>
        <v>50787.59</v>
      </c>
      <c r="BG76" s="15">
        <f t="shared" ref="BG76:BG81" si="67">SUM(E76:W76)</f>
        <v>0</v>
      </c>
      <c r="BH76" s="15">
        <f t="shared" ref="BH76:BH81" si="68">SUM(X76:AJ76)</f>
        <v>13746.64</v>
      </c>
      <c r="BI76" s="15">
        <f t="shared" ref="BI76:BI81" si="69">SUM(AK76:BE76)</f>
        <v>37040.949999999997</v>
      </c>
    </row>
    <row r="77" spans="2:61" x14ac:dyDescent="0.25">
      <c r="C77" s="7">
        <v>582</v>
      </c>
      <c r="D77" s="7" t="s">
        <v>461</v>
      </c>
      <c r="E77" s="15">
        <v>0</v>
      </c>
      <c r="F77" s="15">
        <v>0</v>
      </c>
      <c r="G77" s="15">
        <v>0</v>
      </c>
      <c r="H77" s="15">
        <v>0</v>
      </c>
      <c r="I77" s="15">
        <v>0</v>
      </c>
      <c r="J77" s="15">
        <v>0</v>
      </c>
      <c r="K77" s="15">
        <v>0</v>
      </c>
      <c r="L77" s="15">
        <v>35096.199999999997</v>
      </c>
      <c r="M77" s="15">
        <v>0</v>
      </c>
      <c r="N77" s="15">
        <v>0</v>
      </c>
      <c r="O77" s="15">
        <v>0</v>
      </c>
      <c r="P77" s="15">
        <v>0</v>
      </c>
      <c r="Q77" s="15">
        <v>0</v>
      </c>
      <c r="R77" s="15">
        <v>0</v>
      </c>
      <c r="S77" s="15">
        <v>0</v>
      </c>
      <c r="T77" s="15">
        <v>0</v>
      </c>
      <c r="U77" s="15">
        <v>0</v>
      </c>
      <c r="V77" s="15">
        <v>0</v>
      </c>
      <c r="W77" s="15">
        <v>0</v>
      </c>
      <c r="X77" s="15">
        <v>0</v>
      </c>
      <c r="Y77" s="15">
        <v>0</v>
      </c>
      <c r="Z77" s="15">
        <v>0</v>
      </c>
      <c r="AA77" s="15">
        <v>0</v>
      </c>
      <c r="AB77" s="15">
        <v>0</v>
      </c>
      <c r="AC77" s="15">
        <v>0</v>
      </c>
      <c r="AD77" s="15">
        <v>0</v>
      </c>
      <c r="AE77" s="15">
        <v>0</v>
      </c>
      <c r="AF77" s="15">
        <v>0</v>
      </c>
      <c r="AG77" s="15">
        <v>0</v>
      </c>
      <c r="AH77" s="15">
        <v>0</v>
      </c>
      <c r="AI77" s="15">
        <v>0</v>
      </c>
      <c r="AJ77" s="15">
        <v>0</v>
      </c>
      <c r="AK77" s="15">
        <v>0</v>
      </c>
      <c r="AL77" s="15">
        <v>0</v>
      </c>
      <c r="AM77" s="15">
        <v>0</v>
      </c>
      <c r="AN77" s="15">
        <v>0</v>
      </c>
      <c r="AO77" s="15">
        <v>0</v>
      </c>
      <c r="AP77" s="15">
        <v>0</v>
      </c>
      <c r="AQ77" s="15">
        <v>0</v>
      </c>
      <c r="AR77" s="15">
        <v>0</v>
      </c>
      <c r="AS77" s="15">
        <v>0</v>
      </c>
      <c r="AT77" s="15">
        <v>94147.55</v>
      </c>
      <c r="AU77" s="15">
        <v>0</v>
      </c>
      <c r="AV77" s="15">
        <v>0</v>
      </c>
      <c r="AW77" s="15">
        <v>0</v>
      </c>
      <c r="AX77" s="15">
        <v>0</v>
      </c>
      <c r="AY77" s="15">
        <v>0</v>
      </c>
      <c r="AZ77" s="15">
        <v>0</v>
      </c>
      <c r="BA77" s="15">
        <v>0</v>
      </c>
      <c r="BB77" s="15">
        <v>0</v>
      </c>
      <c r="BC77" s="15">
        <v>0</v>
      </c>
      <c r="BD77" s="15">
        <v>0</v>
      </c>
      <c r="BE77" s="15">
        <v>0</v>
      </c>
      <c r="BF77" s="15">
        <f t="shared" si="66"/>
        <v>129243.75</v>
      </c>
      <c r="BG77" s="15">
        <f t="shared" si="67"/>
        <v>35096.199999999997</v>
      </c>
      <c r="BH77" s="15">
        <f t="shared" si="68"/>
        <v>0</v>
      </c>
      <c r="BI77" s="15">
        <f t="shared" si="69"/>
        <v>94147.55</v>
      </c>
    </row>
    <row r="78" spans="2:61" x14ac:dyDescent="0.25">
      <c r="C78" s="7">
        <v>584</v>
      </c>
      <c r="D78" s="7" t="s">
        <v>249</v>
      </c>
      <c r="E78" s="15">
        <v>0</v>
      </c>
      <c r="F78" s="15">
        <v>0</v>
      </c>
      <c r="G78" s="15">
        <v>0</v>
      </c>
      <c r="H78" s="15">
        <v>0</v>
      </c>
      <c r="I78" s="15">
        <v>0</v>
      </c>
      <c r="J78" s="15">
        <v>0</v>
      </c>
      <c r="K78" s="15">
        <v>0</v>
      </c>
      <c r="L78" s="15">
        <v>0</v>
      </c>
      <c r="M78" s="15">
        <v>0</v>
      </c>
      <c r="N78" s="15">
        <v>0</v>
      </c>
      <c r="O78" s="15">
        <v>0</v>
      </c>
      <c r="P78" s="15">
        <v>0</v>
      </c>
      <c r="Q78" s="15">
        <v>0</v>
      </c>
      <c r="R78" s="15">
        <v>0</v>
      </c>
      <c r="S78" s="15">
        <v>0</v>
      </c>
      <c r="T78" s="15">
        <v>0</v>
      </c>
      <c r="U78" s="15">
        <v>0</v>
      </c>
      <c r="V78" s="15">
        <v>0</v>
      </c>
      <c r="W78" s="15">
        <v>0</v>
      </c>
      <c r="X78" s="15">
        <v>0</v>
      </c>
      <c r="Y78" s="15">
        <v>0</v>
      </c>
      <c r="Z78" s="15">
        <v>0</v>
      </c>
      <c r="AA78" s="15">
        <v>0</v>
      </c>
      <c r="AB78" s="15">
        <v>0</v>
      </c>
      <c r="AC78" s="15">
        <v>0</v>
      </c>
      <c r="AD78" s="15">
        <v>0</v>
      </c>
      <c r="AE78" s="15">
        <v>0</v>
      </c>
      <c r="AF78" s="15">
        <v>0</v>
      </c>
      <c r="AG78" s="15">
        <v>0</v>
      </c>
      <c r="AH78" s="15">
        <v>0</v>
      </c>
      <c r="AI78" s="15">
        <v>0</v>
      </c>
      <c r="AJ78" s="15">
        <v>0</v>
      </c>
      <c r="AK78" s="15">
        <v>0</v>
      </c>
      <c r="AL78" s="15">
        <v>0</v>
      </c>
      <c r="AM78" s="15">
        <v>0</v>
      </c>
      <c r="AN78" s="15">
        <v>0</v>
      </c>
      <c r="AO78" s="15">
        <v>0</v>
      </c>
      <c r="AP78" s="15">
        <v>0</v>
      </c>
      <c r="AQ78" s="15">
        <v>0</v>
      </c>
      <c r="AR78" s="15">
        <v>0</v>
      </c>
      <c r="AS78" s="15">
        <v>0</v>
      </c>
      <c r="AT78" s="15">
        <v>0</v>
      </c>
      <c r="AU78" s="15">
        <v>0</v>
      </c>
      <c r="AV78" s="15">
        <v>0</v>
      </c>
      <c r="AW78" s="15">
        <v>0</v>
      </c>
      <c r="AX78" s="15">
        <v>0</v>
      </c>
      <c r="AY78" s="15">
        <v>0</v>
      </c>
      <c r="AZ78" s="15">
        <v>0</v>
      </c>
      <c r="BA78" s="15">
        <v>0</v>
      </c>
      <c r="BB78" s="15">
        <v>0</v>
      </c>
      <c r="BC78" s="15">
        <v>0</v>
      </c>
      <c r="BD78" s="15">
        <v>0</v>
      </c>
      <c r="BE78" s="15">
        <v>0</v>
      </c>
      <c r="BF78" s="15">
        <f t="shared" si="66"/>
        <v>0</v>
      </c>
      <c r="BG78" s="15">
        <f t="shared" si="67"/>
        <v>0</v>
      </c>
      <c r="BH78" s="15">
        <f t="shared" si="68"/>
        <v>0</v>
      </c>
      <c r="BI78" s="15">
        <f t="shared" si="69"/>
        <v>0</v>
      </c>
    </row>
    <row r="79" spans="2:61" x14ac:dyDescent="0.25">
      <c r="C79" s="7">
        <v>585</v>
      </c>
      <c r="D79" s="7" t="s">
        <v>376</v>
      </c>
      <c r="E79" s="15">
        <v>0</v>
      </c>
      <c r="F79" s="15">
        <v>0</v>
      </c>
      <c r="G79" s="15">
        <v>0</v>
      </c>
      <c r="H79" s="15">
        <v>0</v>
      </c>
      <c r="I79" s="15">
        <v>0</v>
      </c>
      <c r="J79" s="15">
        <v>0</v>
      </c>
      <c r="K79" s="15">
        <v>0</v>
      </c>
      <c r="L79" s="15">
        <v>0</v>
      </c>
      <c r="M79" s="15">
        <v>0</v>
      </c>
      <c r="N79" s="15">
        <v>0</v>
      </c>
      <c r="O79" s="15">
        <v>0</v>
      </c>
      <c r="P79" s="15">
        <v>0</v>
      </c>
      <c r="Q79" s="15">
        <v>0</v>
      </c>
      <c r="R79" s="15">
        <v>0</v>
      </c>
      <c r="S79" s="15">
        <v>0</v>
      </c>
      <c r="T79" s="15">
        <v>0</v>
      </c>
      <c r="U79" s="15">
        <v>0</v>
      </c>
      <c r="V79" s="15">
        <v>0</v>
      </c>
      <c r="W79" s="15">
        <v>0</v>
      </c>
      <c r="X79" s="15">
        <v>0</v>
      </c>
      <c r="Y79" s="15">
        <v>0</v>
      </c>
      <c r="Z79" s="15">
        <v>0</v>
      </c>
      <c r="AA79" s="15">
        <v>0</v>
      </c>
      <c r="AB79" s="15">
        <v>0</v>
      </c>
      <c r="AC79" s="15">
        <v>0</v>
      </c>
      <c r="AD79" s="15">
        <v>0</v>
      </c>
      <c r="AE79" s="15">
        <v>0</v>
      </c>
      <c r="AF79" s="15">
        <v>0</v>
      </c>
      <c r="AG79" s="15">
        <v>0</v>
      </c>
      <c r="AH79" s="15">
        <v>0</v>
      </c>
      <c r="AI79" s="15">
        <v>0</v>
      </c>
      <c r="AJ79" s="15">
        <v>0</v>
      </c>
      <c r="AK79" s="15">
        <v>0</v>
      </c>
      <c r="AL79" s="15">
        <v>0</v>
      </c>
      <c r="AM79" s="15">
        <v>0</v>
      </c>
      <c r="AN79" s="15">
        <v>0</v>
      </c>
      <c r="AO79" s="15">
        <v>0</v>
      </c>
      <c r="AP79" s="15">
        <v>0</v>
      </c>
      <c r="AQ79" s="15">
        <v>0</v>
      </c>
      <c r="AR79" s="15">
        <v>0</v>
      </c>
      <c r="AS79" s="15">
        <v>0</v>
      </c>
      <c r="AT79" s="15">
        <v>0</v>
      </c>
      <c r="AU79" s="15">
        <v>0</v>
      </c>
      <c r="AV79" s="15">
        <v>0</v>
      </c>
      <c r="AW79" s="15">
        <v>0</v>
      </c>
      <c r="AX79" s="15">
        <v>0</v>
      </c>
      <c r="AY79" s="15">
        <v>0</v>
      </c>
      <c r="AZ79" s="15">
        <v>0</v>
      </c>
      <c r="BA79" s="15">
        <v>0</v>
      </c>
      <c r="BB79" s="15">
        <v>0</v>
      </c>
      <c r="BC79" s="15">
        <v>0</v>
      </c>
      <c r="BD79" s="15">
        <v>0</v>
      </c>
      <c r="BE79" s="15">
        <v>0</v>
      </c>
      <c r="BF79" s="15">
        <f t="shared" si="66"/>
        <v>0</v>
      </c>
      <c r="BG79" s="15">
        <f t="shared" si="67"/>
        <v>0</v>
      </c>
      <c r="BH79" s="15">
        <f t="shared" si="68"/>
        <v>0</v>
      </c>
      <c r="BI79" s="15">
        <f t="shared" si="69"/>
        <v>0</v>
      </c>
    </row>
    <row r="80" spans="2:61" x14ac:dyDescent="0.25">
      <c r="C80" s="7">
        <v>586</v>
      </c>
      <c r="D80" s="7" t="s">
        <v>475</v>
      </c>
      <c r="E80" s="15">
        <v>0</v>
      </c>
      <c r="F80" s="15">
        <v>0</v>
      </c>
      <c r="G80" s="15">
        <v>0</v>
      </c>
      <c r="H80" s="15">
        <v>0</v>
      </c>
      <c r="I80" s="15">
        <v>0</v>
      </c>
      <c r="J80" s="15">
        <v>0</v>
      </c>
      <c r="K80" s="15">
        <v>0</v>
      </c>
      <c r="L80" s="15">
        <v>0</v>
      </c>
      <c r="M80" s="15">
        <v>0</v>
      </c>
      <c r="N80" s="15">
        <v>0</v>
      </c>
      <c r="O80" s="15">
        <v>0</v>
      </c>
      <c r="P80" s="15">
        <v>0</v>
      </c>
      <c r="Q80" s="15">
        <v>0</v>
      </c>
      <c r="R80" s="15">
        <v>0</v>
      </c>
      <c r="S80" s="15">
        <v>0</v>
      </c>
      <c r="T80" s="15">
        <v>0</v>
      </c>
      <c r="U80" s="15">
        <v>0</v>
      </c>
      <c r="V80" s="15">
        <v>0</v>
      </c>
      <c r="W80" s="15">
        <v>0</v>
      </c>
      <c r="X80" s="15">
        <v>0</v>
      </c>
      <c r="Y80" s="15">
        <v>0</v>
      </c>
      <c r="Z80" s="15">
        <v>0</v>
      </c>
      <c r="AA80" s="15">
        <v>0</v>
      </c>
      <c r="AB80" s="15">
        <v>0</v>
      </c>
      <c r="AC80" s="15">
        <v>0</v>
      </c>
      <c r="AD80" s="15">
        <v>0</v>
      </c>
      <c r="AE80" s="15">
        <v>0</v>
      </c>
      <c r="AF80" s="15">
        <v>0</v>
      </c>
      <c r="AG80" s="15">
        <v>0</v>
      </c>
      <c r="AH80" s="15">
        <v>0</v>
      </c>
      <c r="AI80" s="15">
        <v>0</v>
      </c>
      <c r="AJ80" s="15">
        <v>0</v>
      </c>
      <c r="AK80" s="15">
        <v>0</v>
      </c>
      <c r="AL80" s="15">
        <v>0</v>
      </c>
      <c r="AM80" s="15">
        <v>0</v>
      </c>
      <c r="AN80" s="15">
        <v>0</v>
      </c>
      <c r="AO80" s="15">
        <v>0</v>
      </c>
      <c r="AP80" s="15">
        <v>0</v>
      </c>
      <c r="AQ80" s="15">
        <v>0</v>
      </c>
      <c r="AR80" s="15">
        <v>0</v>
      </c>
      <c r="AS80" s="15">
        <v>0</v>
      </c>
      <c r="AT80" s="15">
        <v>0</v>
      </c>
      <c r="AU80" s="15">
        <v>0</v>
      </c>
      <c r="AV80" s="15">
        <v>0</v>
      </c>
      <c r="AW80" s="15">
        <v>0</v>
      </c>
      <c r="AX80" s="15">
        <v>0</v>
      </c>
      <c r="AY80" s="15">
        <v>0</v>
      </c>
      <c r="AZ80" s="15">
        <v>0</v>
      </c>
      <c r="BA80" s="15">
        <v>0</v>
      </c>
      <c r="BB80" s="15">
        <v>0</v>
      </c>
      <c r="BC80" s="15">
        <v>0</v>
      </c>
      <c r="BD80" s="15">
        <v>0</v>
      </c>
      <c r="BE80" s="15">
        <v>0</v>
      </c>
      <c r="BF80" s="15">
        <f t="shared" si="66"/>
        <v>0</v>
      </c>
      <c r="BG80" s="15">
        <f t="shared" si="67"/>
        <v>0</v>
      </c>
      <c r="BH80" s="15">
        <f t="shared" si="68"/>
        <v>0</v>
      </c>
      <c r="BI80" s="15">
        <f t="shared" si="69"/>
        <v>0</v>
      </c>
    </row>
    <row r="81" spans="1:61" x14ac:dyDescent="0.25">
      <c r="C81" s="7">
        <v>589</v>
      </c>
      <c r="D81" s="7" t="s">
        <v>476</v>
      </c>
      <c r="E81" s="15">
        <v>0</v>
      </c>
      <c r="F81" s="15">
        <v>0</v>
      </c>
      <c r="G81" s="15">
        <v>0</v>
      </c>
      <c r="H81" s="15">
        <v>0</v>
      </c>
      <c r="I81" s="15">
        <v>0</v>
      </c>
      <c r="J81" s="15">
        <v>0</v>
      </c>
      <c r="K81" s="15">
        <v>0</v>
      </c>
      <c r="L81" s="15">
        <v>0</v>
      </c>
      <c r="M81" s="15">
        <v>0</v>
      </c>
      <c r="N81" s="15">
        <v>0</v>
      </c>
      <c r="O81" s="15">
        <v>0</v>
      </c>
      <c r="P81" s="15">
        <v>0</v>
      </c>
      <c r="Q81" s="15">
        <v>0</v>
      </c>
      <c r="R81" s="15">
        <v>0</v>
      </c>
      <c r="S81" s="15">
        <v>0</v>
      </c>
      <c r="T81" s="15">
        <v>0</v>
      </c>
      <c r="U81" s="15">
        <v>0</v>
      </c>
      <c r="V81" s="15">
        <v>0</v>
      </c>
      <c r="W81" s="15">
        <v>0</v>
      </c>
      <c r="X81" s="15">
        <v>0</v>
      </c>
      <c r="Y81" s="15">
        <v>0</v>
      </c>
      <c r="Z81" s="15">
        <v>0</v>
      </c>
      <c r="AA81" s="15">
        <v>0</v>
      </c>
      <c r="AB81" s="15">
        <v>0</v>
      </c>
      <c r="AC81" s="15">
        <v>0</v>
      </c>
      <c r="AD81" s="15">
        <v>0</v>
      </c>
      <c r="AE81" s="15">
        <v>0</v>
      </c>
      <c r="AF81" s="15">
        <v>0</v>
      </c>
      <c r="AG81" s="15">
        <v>0</v>
      </c>
      <c r="AH81" s="15">
        <v>0</v>
      </c>
      <c r="AI81" s="15">
        <v>0</v>
      </c>
      <c r="AJ81" s="15">
        <v>0</v>
      </c>
      <c r="AK81" s="15">
        <v>0</v>
      </c>
      <c r="AL81" s="15">
        <v>0</v>
      </c>
      <c r="AM81" s="15">
        <v>0</v>
      </c>
      <c r="AN81" s="15">
        <v>0</v>
      </c>
      <c r="AO81" s="15">
        <v>0</v>
      </c>
      <c r="AP81" s="15">
        <v>0</v>
      </c>
      <c r="AQ81" s="15">
        <v>0</v>
      </c>
      <c r="AR81" s="15">
        <v>0</v>
      </c>
      <c r="AS81" s="15">
        <v>0</v>
      </c>
      <c r="AT81" s="15">
        <v>0</v>
      </c>
      <c r="AU81" s="15">
        <v>0</v>
      </c>
      <c r="AV81" s="15">
        <v>0</v>
      </c>
      <c r="AW81" s="15">
        <v>0</v>
      </c>
      <c r="AX81" s="15">
        <v>0</v>
      </c>
      <c r="AY81" s="15">
        <v>0</v>
      </c>
      <c r="AZ81" s="15">
        <v>0</v>
      </c>
      <c r="BA81" s="15">
        <v>0</v>
      </c>
      <c r="BB81" s="15">
        <v>0</v>
      </c>
      <c r="BC81" s="15">
        <v>0</v>
      </c>
      <c r="BD81" s="15">
        <v>0</v>
      </c>
      <c r="BE81" s="15">
        <v>0</v>
      </c>
      <c r="BF81" s="15">
        <f t="shared" si="66"/>
        <v>0</v>
      </c>
      <c r="BG81" s="15">
        <f t="shared" si="67"/>
        <v>0</v>
      </c>
      <c r="BH81" s="15">
        <f t="shared" si="68"/>
        <v>0</v>
      </c>
      <c r="BI81" s="15">
        <f t="shared" si="69"/>
        <v>0</v>
      </c>
    </row>
    <row r="82" spans="1:61" x14ac:dyDescent="0.2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row>
    <row r="83" spans="1:61" x14ac:dyDescent="0.25">
      <c r="B83" s="76">
        <v>59</v>
      </c>
      <c r="C83" s="76"/>
      <c r="D83" s="76" t="s">
        <v>477</v>
      </c>
      <c r="E83" s="101">
        <f>E84</f>
        <v>0</v>
      </c>
      <c r="F83" s="101">
        <f t="shared" ref="F83:BE83" si="70">F84</f>
        <v>5829.7</v>
      </c>
      <c r="G83" s="101">
        <f t="shared" si="70"/>
        <v>64996</v>
      </c>
      <c r="H83" s="101">
        <f t="shared" si="70"/>
        <v>194100</v>
      </c>
      <c r="I83" s="101">
        <f t="shared" si="70"/>
        <v>213899</v>
      </c>
      <c r="J83" s="101">
        <f t="shared" si="70"/>
        <v>671572.4</v>
      </c>
      <c r="K83" s="101">
        <f t="shared" si="70"/>
        <v>364783.8</v>
      </c>
      <c r="L83" s="101">
        <f t="shared" si="70"/>
        <v>1458029</v>
      </c>
      <c r="M83" s="101">
        <f t="shared" si="70"/>
        <v>975441.8</v>
      </c>
      <c r="N83" s="101">
        <f t="shared" si="70"/>
        <v>0</v>
      </c>
      <c r="O83" s="101">
        <f t="shared" si="70"/>
        <v>926847.45</v>
      </c>
      <c r="P83" s="101">
        <f t="shared" si="70"/>
        <v>182690.4</v>
      </c>
      <c r="Q83" s="101">
        <f t="shared" si="70"/>
        <v>0</v>
      </c>
      <c r="R83" s="101">
        <f t="shared" si="70"/>
        <v>707.45</v>
      </c>
      <c r="S83" s="101">
        <f t="shared" si="70"/>
        <v>221400</v>
      </c>
      <c r="T83" s="101">
        <f t="shared" si="70"/>
        <v>48700</v>
      </c>
      <c r="U83" s="101">
        <f t="shared" si="70"/>
        <v>3802.9</v>
      </c>
      <c r="V83" s="101">
        <f t="shared" si="70"/>
        <v>3884</v>
      </c>
      <c r="W83" s="101">
        <f t="shared" si="70"/>
        <v>2362720.15</v>
      </c>
      <c r="X83" s="101">
        <f t="shared" si="70"/>
        <v>3000</v>
      </c>
      <c r="Y83" s="101">
        <f t="shared" si="70"/>
        <v>129671.2</v>
      </c>
      <c r="Z83" s="101">
        <f t="shared" si="70"/>
        <v>97701.8</v>
      </c>
      <c r="AA83" s="101">
        <f t="shared" si="70"/>
        <v>0</v>
      </c>
      <c r="AB83" s="101">
        <f t="shared" si="70"/>
        <v>0</v>
      </c>
      <c r="AC83" s="101">
        <f t="shared" si="70"/>
        <v>69100</v>
      </c>
      <c r="AD83" s="101">
        <f t="shared" si="70"/>
        <v>158561.54999999999</v>
      </c>
      <c r="AE83" s="101">
        <f t="shared" si="70"/>
        <v>0</v>
      </c>
      <c r="AF83" s="101">
        <f t="shared" si="70"/>
        <v>61998</v>
      </c>
      <c r="AG83" s="101">
        <f t="shared" si="70"/>
        <v>44859.1</v>
      </c>
      <c r="AH83" s="101">
        <f t="shared" si="70"/>
        <v>706607.6</v>
      </c>
      <c r="AI83" s="101">
        <f t="shared" si="70"/>
        <v>4600</v>
      </c>
      <c r="AJ83" s="101">
        <f t="shared" si="70"/>
        <v>9250</v>
      </c>
      <c r="AK83" s="101">
        <f t="shared" si="70"/>
        <v>454939.4</v>
      </c>
      <c r="AL83" s="101">
        <f t="shared" si="70"/>
        <v>99916.05</v>
      </c>
      <c r="AM83" s="101">
        <f t="shared" si="70"/>
        <v>97387.9</v>
      </c>
      <c r="AN83" s="101">
        <f t="shared" si="70"/>
        <v>0</v>
      </c>
      <c r="AO83" s="101">
        <f t="shared" si="70"/>
        <v>194820.35</v>
      </c>
      <c r="AP83" s="101">
        <f t="shared" si="70"/>
        <v>3823.75</v>
      </c>
      <c r="AQ83" s="101">
        <f t="shared" si="70"/>
        <v>74742.350000000006</v>
      </c>
      <c r="AR83" s="101">
        <f t="shared" si="70"/>
        <v>751289.62</v>
      </c>
      <c r="AS83" s="101">
        <f t="shared" si="70"/>
        <v>77000</v>
      </c>
      <c r="AT83" s="101">
        <f t="shared" si="70"/>
        <v>90000.05</v>
      </c>
      <c r="AU83" s="101">
        <f t="shared" si="70"/>
        <v>53027.5</v>
      </c>
      <c r="AV83" s="101">
        <f t="shared" si="70"/>
        <v>142427.79999999999</v>
      </c>
      <c r="AW83" s="101">
        <f t="shared" si="70"/>
        <v>16355</v>
      </c>
      <c r="AX83" s="101">
        <f t="shared" si="70"/>
        <v>0</v>
      </c>
      <c r="AY83" s="101">
        <f t="shared" si="70"/>
        <v>0</v>
      </c>
      <c r="AZ83" s="101">
        <f t="shared" si="70"/>
        <v>0</v>
      </c>
      <c r="BA83" s="101">
        <f t="shared" si="70"/>
        <v>173814.15</v>
      </c>
      <c r="BB83" s="101">
        <f t="shared" si="70"/>
        <v>106328</v>
      </c>
      <c r="BC83" s="101">
        <f t="shared" si="70"/>
        <v>203366</v>
      </c>
      <c r="BD83" s="101">
        <f t="shared" si="70"/>
        <v>1234923.95</v>
      </c>
      <c r="BE83" s="101">
        <f t="shared" si="70"/>
        <v>61957</v>
      </c>
      <c r="BF83" s="101">
        <f t="shared" ref="BF83" si="71">BF84</f>
        <v>12820872.170000002</v>
      </c>
      <c r="BG83" s="101">
        <f t="shared" ref="BG83" si="72">BG84</f>
        <v>7699404.0500000007</v>
      </c>
      <c r="BH83" s="101">
        <f t="shared" ref="BH83" si="73">BH84</f>
        <v>1285349.25</v>
      </c>
      <c r="BI83" s="101">
        <f t="shared" ref="BI83" si="74">BI84</f>
        <v>3836118.87</v>
      </c>
    </row>
    <row r="84" spans="1:61" x14ac:dyDescent="0.25">
      <c r="C84" s="7">
        <v>590</v>
      </c>
      <c r="D84" s="7" t="s">
        <v>477</v>
      </c>
      <c r="E84" s="15">
        <v>0</v>
      </c>
      <c r="F84" s="15">
        <v>5829.7</v>
      </c>
      <c r="G84" s="15">
        <v>64996</v>
      </c>
      <c r="H84" s="15">
        <v>194100</v>
      </c>
      <c r="I84" s="15">
        <v>213899</v>
      </c>
      <c r="J84" s="15">
        <v>671572.4</v>
      </c>
      <c r="K84" s="15">
        <v>364783.8</v>
      </c>
      <c r="L84" s="15">
        <v>1458029</v>
      </c>
      <c r="M84" s="15">
        <v>975441.8</v>
      </c>
      <c r="N84" s="15">
        <v>0</v>
      </c>
      <c r="O84" s="15">
        <v>926847.45</v>
      </c>
      <c r="P84" s="15">
        <v>182690.4</v>
      </c>
      <c r="Q84" s="15">
        <v>0</v>
      </c>
      <c r="R84" s="15">
        <v>707.45</v>
      </c>
      <c r="S84" s="15">
        <v>221400</v>
      </c>
      <c r="T84" s="15">
        <v>48700</v>
      </c>
      <c r="U84" s="15">
        <v>3802.9</v>
      </c>
      <c r="V84" s="15">
        <v>3884</v>
      </c>
      <c r="W84" s="15">
        <v>2362720.15</v>
      </c>
      <c r="X84" s="15">
        <v>3000</v>
      </c>
      <c r="Y84" s="15">
        <v>129671.2</v>
      </c>
      <c r="Z84" s="15">
        <v>97701.8</v>
      </c>
      <c r="AA84" s="15">
        <v>0</v>
      </c>
      <c r="AB84" s="15">
        <v>0</v>
      </c>
      <c r="AC84" s="15">
        <v>69100</v>
      </c>
      <c r="AD84" s="15">
        <v>158561.54999999999</v>
      </c>
      <c r="AE84" s="15">
        <v>0</v>
      </c>
      <c r="AF84" s="15">
        <v>61998</v>
      </c>
      <c r="AG84" s="15">
        <v>44859.1</v>
      </c>
      <c r="AH84" s="15">
        <v>706607.6</v>
      </c>
      <c r="AI84" s="15">
        <v>4600</v>
      </c>
      <c r="AJ84" s="15">
        <v>9250</v>
      </c>
      <c r="AK84" s="15">
        <v>454939.4</v>
      </c>
      <c r="AL84" s="15">
        <v>99916.05</v>
      </c>
      <c r="AM84" s="15">
        <v>97387.9</v>
      </c>
      <c r="AN84" s="15">
        <v>0</v>
      </c>
      <c r="AO84" s="15">
        <v>194820.35</v>
      </c>
      <c r="AP84" s="15">
        <v>3823.75</v>
      </c>
      <c r="AQ84" s="15">
        <v>74742.350000000006</v>
      </c>
      <c r="AR84" s="15">
        <v>751289.62</v>
      </c>
      <c r="AS84" s="15">
        <v>77000</v>
      </c>
      <c r="AT84" s="15">
        <v>90000.05</v>
      </c>
      <c r="AU84" s="15">
        <v>53027.5</v>
      </c>
      <c r="AV84" s="15">
        <v>142427.79999999999</v>
      </c>
      <c r="AW84" s="15">
        <v>16355</v>
      </c>
      <c r="AX84" s="15">
        <v>0</v>
      </c>
      <c r="AY84" s="15">
        <v>0</v>
      </c>
      <c r="AZ84" s="15">
        <v>0</v>
      </c>
      <c r="BA84" s="15">
        <v>173814.15</v>
      </c>
      <c r="BB84" s="15">
        <v>106328</v>
      </c>
      <c r="BC84" s="15">
        <v>203366</v>
      </c>
      <c r="BD84" s="15">
        <v>1234923.95</v>
      </c>
      <c r="BE84" s="15">
        <v>61957</v>
      </c>
      <c r="BF84" s="15">
        <f t="shared" ref="BF84" si="75">SUM(E84:BE84)</f>
        <v>12820872.170000002</v>
      </c>
      <c r="BG84" s="15">
        <f t="shared" ref="BG84" si="76">SUM(E84:W84)</f>
        <v>7699404.0500000007</v>
      </c>
      <c r="BH84" s="15">
        <f t="shared" ref="BH84" si="77">SUM(X84:AJ84)</f>
        <v>1285349.25</v>
      </c>
      <c r="BI84" s="15">
        <f t="shared" ref="BI84" si="78">SUM(AK84:BE84)</f>
        <v>3836118.87</v>
      </c>
    </row>
    <row r="85" spans="1:61" x14ac:dyDescent="0.2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row>
    <row r="86" spans="1:61" x14ac:dyDescent="0.2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row>
    <row r="87" spans="1:61" x14ac:dyDescent="0.2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row>
    <row r="88" spans="1:61" ht="21" x14ac:dyDescent="0.4">
      <c r="A88" s="127">
        <v>6</v>
      </c>
      <c r="B88" s="127"/>
      <c r="C88" s="127"/>
      <c r="D88" s="127" t="s">
        <v>478</v>
      </c>
      <c r="E88" s="174">
        <f>E89+E99+E109+E114+E125+E136+E147+E158+E169</f>
        <v>0</v>
      </c>
      <c r="F88" s="174">
        <f t="shared" ref="F88:BI88" si="79">F89+F99+F109+F114+F125+F136+F147+F158+F169</f>
        <v>5829.7</v>
      </c>
      <c r="G88" s="174">
        <f t="shared" si="79"/>
        <v>64996</v>
      </c>
      <c r="H88" s="174">
        <f t="shared" si="79"/>
        <v>194100</v>
      </c>
      <c r="I88" s="174">
        <f t="shared" si="79"/>
        <v>213899</v>
      </c>
      <c r="J88" s="174">
        <f t="shared" si="79"/>
        <v>671572.4</v>
      </c>
      <c r="K88" s="174">
        <f t="shared" si="79"/>
        <v>364783.8</v>
      </c>
      <c r="L88" s="174">
        <f t="shared" si="79"/>
        <v>1458029</v>
      </c>
      <c r="M88" s="174">
        <f t="shared" si="79"/>
        <v>975441.8</v>
      </c>
      <c r="N88" s="174">
        <f t="shared" si="79"/>
        <v>0</v>
      </c>
      <c r="O88" s="174">
        <f t="shared" si="79"/>
        <v>926847.45</v>
      </c>
      <c r="P88" s="174">
        <f t="shared" si="79"/>
        <v>182690.4</v>
      </c>
      <c r="Q88" s="174">
        <f t="shared" si="79"/>
        <v>0</v>
      </c>
      <c r="R88" s="174">
        <f t="shared" si="79"/>
        <v>707.45</v>
      </c>
      <c r="S88" s="174">
        <f t="shared" si="79"/>
        <v>221400</v>
      </c>
      <c r="T88" s="174">
        <f t="shared" si="79"/>
        <v>48700</v>
      </c>
      <c r="U88" s="174">
        <f t="shared" si="79"/>
        <v>3802.9</v>
      </c>
      <c r="V88" s="174">
        <f t="shared" si="79"/>
        <v>3884</v>
      </c>
      <c r="W88" s="174">
        <f t="shared" si="79"/>
        <v>2362720.1500000004</v>
      </c>
      <c r="X88" s="174">
        <f t="shared" si="79"/>
        <v>3000</v>
      </c>
      <c r="Y88" s="174">
        <f t="shared" si="79"/>
        <v>129671.20000000001</v>
      </c>
      <c r="Z88" s="174">
        <f t="shared" si="79"/>
        <v>97701.8</v>
      </c>
      <c r="AA88" s="174">
        <f t="shared" si="79"/>
        <v>0</v>
      </c>
      <c r="AB88" s="174">
        <f t="shared" si="79"/>
        <v>0</v>
      </c>
      <c r="AC88" s="174">
        <f t="shared" si="79"/>
        <v>69100</v>
      </c>
      <c r="AD88" s="174">
        <f t="shared" si="79"/>
        <v>158561.54999999999</v>
      </c>
      <c r="AE88" s="174">
        <f t="shared" si="79"/>
        <v>0</v>
      </c>
      <c r="AF88" s="174">
        <f t="shared" si="79"/>
        <v>61998</v>
      </c>
      <c r="AG88" s="174">
        <f t="shared" si="79"/>
        <v>44859.1</v>
      </c>
      <c r="AH88" s="174">
        <f t="shared" si="79"/>
        <v>706607.6</v>
      </c>
      <c r="AI88" s="174">
        <f t="shared" si="79"/>
        <v>4600</v>
      </c>
      <c r="AJ88" s="174">
        <f t="shared" si="79"/>
        <v>9250</v>
      </c>
      <c r="AK88" s="174">
        <f t="shared" si="79"/>
        <v>454939.4</v>
      </c>
      <c r="AL88" s="174">
        <f t="shared" si="79"/>
        <v>99916.05</v>
      </c>
      <c r="AM88" s="174">
        <f t="shared" si="79"/>
        <v>97387.9</v>
      </c>
      <c r="AN88" s="174">
        <f t="shared" si="79"/>
        <v>0</v>
      </c>
      <c r="AO88" s="174">
        <f t="shared" si="79"/>
        <v>194820.34999999998</v>
      </c>
      <c r="AP88" s="174">
        <f t="shared" si="79"/>
        <v>3823.75</v>
      </c>
      <c r="AQ88" s="174">
        <f t="shared" si="79"/>
        <v>74742.349999999991</v>
      </c>
      <c r="AR88" s="174">
        <f t="shared" si="79"/>
        <v>751289.62</v>
      </c>
      <c r="AS88" s="174">
        <f t="shared" si="79"/>
        <v>77000</v>
      </c>
      <c r="AT88" s="174">
        <f t="shared" si="79"/>
        <v>90000.05</v>
      </c>
      <c r="AU88" s="174">
        <f t="shared" si="79"/>
        <v>53027.5</v>
      </c>
      <c r="AV88" s="174">
        <f t="shared" si="79"/>
        <v>142427.79999999999</v>
      </c>
      <c r="AW88" s="174">
        <f t="shared" si="79"/>
        <v>16355</v>
      </c>
      <c r="AX88" s="174">
        <f t="shared" si="79"/>
        <v>0</v>
      </c>
      <c r="AY88" s="174">
        <f t="shared" si="79"/>
        <v>0</v>
      </c>
      <c r="AZ88" s="174">
        <f t="shared" si="79"/>
        <v>0</v>
      </c>
      <c r="BA88" s="174">
        <f t="shared" si="79"/>
        <v>173814.15</v>
      </c>
      <c r="BB88" s="174">
        <f t="shared" si="79"/>
        <v>106328</v>
      </c>
      <c r="BC88" s="174">
        <f t="shared" si="79"/>
        <v>203366</v>
      </c>
      <c r="BD88" s="174">
        <f t="shared" si="79"/>
        <v>1234923.95</v>
      </c>
      <c r="BE88" s="174">
        <f t="shared" si="79"/>
        <v>61957</v>
      </c>
      <c r="BF88" s="174">
        <f t="shared" si="79"/>
        <v>12820872.17</v>
      </c>
      <c r="BG88" s="174">
        <f t="shared" si="79"/>
        <v>7699404.0499999998</v>
      </c>
      <c r="BH88" s="174">
        <f t="shared" si="79"/>
        <v>1285349.25</v>
      </c>
      <c r="BI88" s="174">
        <f t="shared" si="79"/>
        <v>3836118.87</v>
      </c>
    </row>
    <row r="89" spans="1:61" x14ac:dyDescent="0.25">
      <c r="A89" s="6"/>
      <c r="B89" s="128">
        <v>60</v>
      </c>
      <c r="C89" s="128"/>
      <c r="D89" s="128" t="s">
        <v>479</v>
      </c>
      <c r="E89" s="175">
        <f>E90+E91+E92+E93+E94+E95+E96+E97</f>
        <v>0</v>
      </c>
      <c r="F89" s="175">
        <f t="shared" ref="F89:BI89" si="80">F90+F91+F92+F93+F94+F95+F96+F97</f>
        <v>0</v>
      </c>
      <c r="G89" s="175">
        <f t="shared" si="80"/>
        <v>0</v>
      </c>
      <c r="H89" s="175">
        <f t="shared" si="80"/>
        <v>0</v>
      </c>
      <c r="I89" s="175">
        <f t="shared" si="80"/>
        <v>0</v>
      </c>
      <c r="J89" s="175">
        <f t="shared" si="80"/>
        <v>0</v>
      </c>
      <c r="K89" s="175">
        <f t="shared" si="80"/>
        <v>0</v>
      </c>
      <c r="L89" s="175">
        <f t="shared" si="80"/>
        <v>0</v>
      </c>
      <c r="M89" s="175">
        <f t="shared" si="80"/>
        <v>0</v>
      </c>
      <c r="N89" s="175">
        <f t="shared" si="80"/>
        <v>0</v>
      </c>
      <c r="O89" s="175">
        <f t="shared" si="80"/>
        <v>0</v>
      </c>
      <c r="P89" s="175">
        <f t="shared" si="80"/>
        <v>182690.4</v>
      </c>
      <c r="Q89" s="175">
        <f t="shared" si="80"/>
        <v>0</v>
      </c>
      <c r="R89" s="175">
        <f t="shared" si="80"/>
        <v>707.45</v>
      </c>
      <c r="S89" s="175">
        <f t="shared" si="80"/>
        <v>221400</v>
      </c>
      <c r="T89" s="175">
        <f t="shared" si="80"/>
        <v>0</v>
      </c>
      <c r="U89" s="175">
        <f t="shared" si="80"/>
        <v>0</v>
      </c>
      <c r="V89" s="175">
        <f t="shared" si="80"/>
        <v>0</v>
      </c>
      <c r="W89" s="175">
        <f t="shared" si="80"/>
        <v>0</v>
      </c>
      <c r="X89" s="175">
        <f t="shared" si="80"/>
        <v>0</v>
      </c>
      <c r="Y89" s="175">
        <f t="shared" si="80"/>
        <v>0</v>
      </c>
      <c r="Z89" s="175">
        <f t="shared" si="80"/>
        <v>0</v>
      </c>
      <c r="AA89" s="175">
        <f t="shared" si="80"/>
        <v>0</v>
      </c>
      <c r="AB89" s="175">
        <f t="shared" si="80"/>
        <v>0</v>
      </c>
      <c r="AC89" s="175">
        <f t="shared" si="80"/>
        <v>69100</v>
      </c>
      <c r="AD89" s="175">
        <f t="shared" si="80"/>
        <v>81536</v>
      </c>
      <c r="AE89" s="175">
        <f t="shared" si="80"/>
        <v>0</v>
      </c>
      <c r="AF89" s="175">
        <f t="shared" si="80"/>
        <v>0</v>
      </c>
      <c r="AG89" s="175">
        <f t="shared" si="80"/>
        <v>0</v>
      </c>
      <c r="AH89" s="175">
        <f t="shared" si="80"/>
        <v>0</v>
      </c>
      <c r="AI89" s="175">
        <f t="shared" si="80"/>
        <v>0</v>
      </c>
      <c r="AJ89" s="175">
        <f t="shared" si="80"/>
        <v>9250</v>
      </c>
      <c r="AK89" s="175">
        <f t="shared" si="80"/>
        <v>0</v>
      </c>
      <c r="AL89" s="175">
        <f t="shared" si="80"/>
        <v>83565.45</v>
      </c>
      <c r="AM89" s="175">
        <f t="shared" si="80"/>
        <v>0</v>
      </c>
      <c r="AN89" s="175">
        <f t="shared" si="80"/>
        <v>0</v>
      </c>
      <c r="AO89" s="175">
        <f t="shared" si="80"/>
        <v>0</v>
      </c>
      <c r="AP89" s="175">
        <f t="shared" si="80"/>
        <v>0</v>
      </c>
      <c r="AQ89" s="175">
        <f t="shared" si="80"/>
        <v>2737.7</v>
      </c>
      <c r="AR89" s="175">
        <f t="shared" si="80"/>
        <v>0</v>
      </c>
      <c r="AS89" s="175">
        <f t="shared" si="80"/>
        <v>0</v>
      </c>
      <c r="AT89" s="175">
        <f t="shared" si="80"/>
        <v>90000.05</v>
      </c>
      <c r="AU89" s="175">
        <f t="shared" si="80"/>
        <v>0</v>
      </c>
      <c r="AV89" s="175">
        <f t="shared" si="80"/>
        <v>0</v>
      </c>
      <c r="AW89" s="175">
        <f t="shared" si="80"/>
        <v>0</v>
      </c>
      <c r="AX89" s="175">
        <f t="shared" si="80"/>
        <v>0</v>
      </c>
      <c r="AY89" s="175">
        <f t="shared" si="80"/>
        <v>0</v>
      </c>
      <c r="AZ89" s="175">
        <f t="shared" si="80"/>
        <v>0</v>
      </c>
      <c r="BA89" s="175">
        <f t="shared" si="80"/>
        <v>0</v>
      </c>
      <c r="BB89" s="175">
        <f t="shared" si="80"/>
        <v>0</v>
      </c>
      <c r="BC89" s="175">
        <f t="shared" si="80"/>
        <v>0</v>
      </c>
      <c r="BD89" s="175">
        <f t="shared" si="80"/>
        <v>692435</v>
      </c>
      <c r="BE89" s="175">
        <f t="shared" si="80"/>
        <v>0</v>
      </c>
      <c r="BF89" s="175">
        <f t="shared" si="80"/>
        <v>1433422.05</v>
      </c>
      <c r="BG89" s="175">
        <f t="shared" si="80"/>
        <v>404797.85</v>
      </c>
      <c r="BH89" s="175">
        <f t="shared" si="80"/>
        <v>159886</v>
      </c>
      <c r="BI89" s="175">
        <f t="shared" si="80"/>
        <v>868738.20000000007</v>
      </c>
    </row>
    <row r="90" spans="1:61" x14ac:dyDescent="0.25">
      <c r="C90" s="7">
        <v>600</v>
      </c>
      <c r="D90" s="7" t="s">
        <v>453</v>
      </c>
      <c r="E90" s="15">
        <v>0</v>
      </c>
      <c r="F90" s="15">
        <v>0</v>
      </c>
      <c r="G90" s="15">
        <v>0</v>
      </c>
      <c r="H90" s="15">
        <v>0</v>
      </c>
      <c r="I90" s="15">
        <v>0</v>
      </c>
      <c r="J90" s="15">
        <v>0</v>
      </c>
      <c r="K90" s="15">
        <v>0</v>
      </c>
      <c r="L90" s="15">
        <v>0</v>
      </c>
      <c r="M90" s="15">
        <v>0</v>
      </c>
      <c r="N90" s="15">
        <v>0</v>
      </c>
      <c r="O90" s="15">
        <v>0</v>
      </c>
      <c r="P90" s="15">
        <v>0</v>
      </c>
      <c r="Q90" s="15">
        <v>0</v>
      </c>
      <c r="R90" s="15">
        <v>0</v>
      </c>
      <c r="S90" s="15">
        <v>0</v>
      </c>
      <c r="T90" s="15">
        <v>0</v>
      </c>
      <c r="U90" s="15">
        <v>0</v>
      </c>
      <c r="V90" s="15">
        <v>0</v>
      </c>
      <c r="W90" s="15">
        <v>0</v>
      </c>
      <c r="X90" s="15">
        <v>0</v>
      </c>
      <c r="Y90" s="15">
        <v>0</v>
      </c>
      <c r="Z90" s="15">
        <v>0</v>
      </c>
      <c r="AA90" s="15">
        <v>0</v>
      </c>
      <c r="AB90" s="15">
        <v>0</v>
      </c>
      <c r="AC90" s="15">
        <v>69100</v>
      </c>
      <c r="AD90" s="15">
        <v>0</v>
      </c>
      <c r="AE90" s="15">
        <v>0</v>
      </c>
      <c r="AF90" s="15">
        <v>0</v>
      </c>
      <c r="AG90" s="15">
        <v>0</v>
      </c>
      <c r="AH90" s="15">
        <v>0</v>
      </c>
      <c r="AI90" s="15">
        <v>0</v>
      </c>
      <c r="AJ90" s="15">
        <v>0</v>
      </c>
      <c r="AK90" s="15">
        <v>0</v>
      </c>
      <c r="AL90" s="15">
        <v>0</v>
      </c>
      <c r="AM90" s="15">
        <v>0</v>
      </c>
      <c r="AN90" s="15">
        <v>0</v>
      </c>
      <c r="AO90" s="15">
        <v>0</v>
      </c>
      <c r="AP90" s="15">
        <v>0</v>
      </c>
      <c r="AQ90" s="15">
        <v>0</v>
      </c>
      <c r="AR90" s="15">
        <v>0</v>
      </c>
      <c r="AS90" s="15">
        <v>0</v>
      </c>
      <c r="AT90" s="15">
        <v>0</v>
      </c>
      <c r="AU90" s="15">
        <v>0</v>
      </c>
      <c r="AV90" s="15">
        <v>0</v>
      </c>
      <c r="AW90" s="15">
        <v>0</v>
      </c>
      <c r="AX90" s="15">
        <v>0</v>
      </c>
      <c r="AY90" s="15">
        <v>0</v>
      </c>
      <c r="AZ90" s="15">
        <v>0</v>
      </c>
      <c r="BA90" s="15">
        <v>0</v>
      </c>
      <c r="BB90" s="15">
        <v>0</v>
      </c>
      <c r="BC90" s="15">
        <v>0</v>
      </c>
      <c r="BD90" s="15">
        <v>692075</v>
      </c>
      <c r="BE90" s="15">
        <v>0</v>
      </c>
      <c r="BF90" s="15">
        <f t="shared" ref="BF90:BF97" si="81">SUM(E90:BE90)</f>
        <v>761175</v>
      </c>
      <c r="BG90" s="15">
        <f t="shared" ref="BG90:BG97" si="82">SUM(E90:W90)</f>
        <v>0</v>
      </c>
      <c r="BH90" s="15">
        <f t="shared" ref="BH90:BH97" si="83">SUM(X90:AJ90)</f>
        <v>69100</v>
      </c>
      <c r="BI90" s="15">
        <f t="shared" ref="BI90:BI97" si="84">SUM(AK90:BE90)</f>
        <v>692075</v>
      </c>
    </row>
    <row r="91" spans="1:61" x14ac:dyDescent="0.25">
      <c r="C91" s="7">
        <v>601</v>
      </c>
      <c r="D91" s="7" t="s">
        <v>454</v>
      </c>
      <c r="E91" s="15">
        <v>0</v>
      </c>
      <c r="F91" s="15">
        <v>0</v>
      </c>
      <c r="G91" s="15">
        <v>0</v>
      </c>
      <c r="H91" s="15">
        <v>0</v>
      </c>
      <c r="I91" s="15">
        <v>0</v>
      </c>
      <c r="J91" s="15">
        <v>0</v>
      </c>
      <c r="K91" s="15">
        <v>0</v>
      </c>
      <c r="L91" s="15">
        <v>0</v>
      </c>
      <c r="M91" s="15">
        <v>0</v>
      </c>
      <c r="N91" s="15">
        <v>0</v>
      </c>
      <c r="O91" s="15">
        <v>0</v>
      </c>
      <c r="P91" s="15">
        <v>115086.45</v>
      </c>
      <c r="Q91" s="15">
        <v>0</v>
      </c>
      <c r="R91" s="15">
        <v>0</v>
      </c>
      <c r="S91" s="15">
        <v>0</v>
      </c>
      <c r="T91" s="15">
        <v>0</v>
      </c>
      <c r="U91" s="15">
        <v>0</v>
      </c>
      <c r="V91" s="15">
        <v>0</v>
      </c>
      <c r="W91" s="15">
        <v>0</v>
      </c>
      <c r="X91" s="15">
        <v>0</v>
      </c>
      <c r="Y91" s="15">
        <v>0</v>
      </c>
      <c r="Z91" s="15">
        <v>0</v>
      </c>
      <c r="AA91" s="15">
        <v>0</v>
      </c>
      <c r="AB91" s="15">
        <v>0</v>
      </c>
      <c r="AC91" s="15">
        <v>0</v>
      </c>
      <c r="AD91" s="15">
        <v>0</v>
      </c>
      <c r="AE91" s="15">
        <v>0</v>
      </c>
      <c r="AF91" s="15">
        <v>0</v>
      </c>
      <c r="AG91" s="15">
        <v>0</v>
      </c>
      <c r="AH91" s="15">
        <v>0</v>
      </c>
      <c r="AI91" s="15">
        <v>0</v>
      </c>
      <c r="AJ91" s="15">
        <v>9250</v>
      </c>
      <c r="AK91" s="15">
        <v>0</v>
      </c>
      <c r="AL91" s="15">
        <v>0</v>
      </c>
      <c r="AM91" s="15">
        <v>0</v>
      </c>
      <c r="AN91" s="15">
        <v>0</v>
      </c>
      <c r="AO91" s="15">
        <v>0</v>
      </c>
      <c r="AP91" s="15">
        <v>0</v>
      </c>
      <c r="AQ91" s="15">
        <v>0</v>
      </c>
      <c r="AR91" s="15">
        <v>0</v>
      </c>
      <c r="AS91" s="15">
        <v>0</v>
      </c>
      <c r="AT91" s="15">
        <v>0</v>
      </c>
      <c r="AU91" s="15">
        <v>0</v>
      </c>
      <c r="AV91" s="15">
        <v>0</v>
      </c>
      <c r="AW91" s="15">
        <v>0</v>
      </c>
      <c r="AX91" s="15">
        <v>0</v>
      </c>
      <c r="AY91" s="15">
        <v>0</v>
      </c>
      <c r="AZ91" s="15">
        <v>0</v>
      </c>
      <c r="BA91" s="15">
        <v>0</v>
      </c>
      <c r="BB91" s="15">
        <v>0</v>
      </c>
      <c r="BC91" s="15">
        <v>0</v>
      </c>
      <c r="BD91" s="15">
        <v>360</v>
      </c>
      <c r="BE91" s="15">
        <v>0</v>
      </c>
      <c r="BF91" s="15">
        <f t="shared" si="81"/>
        <v>124696.45</v>
      </c>
      <c r="BG91" s="15">
        <f t="shared" si="82"/>
        <v>115086.45</v>
      </c>
      <c r="BH91" s="15">
        <f t="shared" si="83"/>
        <v>9250</v>
      </c>
      <c r="BI91" s="15">
        <f t="shared" si="84"/>
        <v>360</v>
      </c>
    </row>
    <row r="92" spans="1:61" x14ac:dyDescent="0.25">
      <c r="C92" s="7">
        <v>602</v>
      </c>
      <c r="D92" s="7" t="s">
        <v>455</v>
      </c>
      <c r="E92" s="15">
        <v>0</v>
      </c>
      <c r="F92" s="15">
        <v>0</v>
      </c>
      <c r="G92" s="15">
        <v>0</v>
      </c>
      <c r="H92" s="15">
        <v>0</v>
      </c>
      <c r="I92" s="15">
        <v>0</v>
      </c>
      <c r="J92" s="15">
        <v>0</v>
      </c>
      <c r="K92" s="15">
        <v>0</v>
      </c>
      <c r="L92" s="15">
        <v>0</v>
      </c>
      <c r="M92" s="15">
        <v>0</v>
      </c>
      <c r="N92" s="15">
        <v>0</v>
      </c>
      <c r="O92" s="15">
        <v>0</v>
      </c>
      <c r="P92" s="15">
        <v>67603.95</v>
      </c>
      <c r="Q92" s="15">
        <v>0</v>
      </c>
      <c r="R92" s="15">
        <v>0</v>
      </c>
      <c r="S92" s="15">
        <v>0</v>
      </c>
      <c r="T92" s="15">
        <v>0</v>
      </c>
      <c r="U92" s="15">
        <v>0</v>
      </c>
      <c r="V92" s="15">
        <v>0</v>
      </c>
      <c r="W92" s="15">
        <v>0</v>
      </c>
      <c r="X92" s="15">
        <v>0</v>
      </c>
      <c r="Y92" s="15">
        <v>0</v>
      </c>
      <c r="Z92" s="15">
        <v>0</v>
      </c>
      <c r="AA92" s="15">
        <v>0</v>
      </c>
      <c r="AB92" s="15">
        <v>0</v>
      </c>
      <c r="AC92" s="15">
        <v>0</v>
      </c>
      <c r="AD92" s="15">
        <v>0</v>
      </c>
      <c r="AE92" s="15">
        <v>0</v>
      </c>
      <c r="AF92" s="15">
        <v>0</v>
      </c>
      <c r="AG92" s="15">
        <v>0</v>
      </c>
      <c r="AH92" s="15">
        <v>0</v>
      </c>
      <c r="AI92" s="15">
        <v>0</v>
      </c>
      <c r="AJ92" s="15">
        <v>0</v>
      </c>
      <c r="AK92" s="15">
        <v>0</v>
      </c>
      <c r="AL92" s="15">
        <v>0</v>
      </c>
      <c r="AM92" s="15">
        <v>0</v>
      </c>
      <c r="AN92" s="15">
        <v>0</v>
      </c>
      <c r="AO92" s="15">
        <v>0</v>
      </c>
      <c r="AP92" s="15">
        <v>0</v>
      </c>
      <c r="AQ92" s="15">
        <v>0</v>
      </c>
      <c r="AR92" s="15">
        <v>0</v>
      </c>
      <c r="AS92" s="15">
        <v>0</v>
      </c>
      <c r="AT92" s="15">
        <v>0</v>
      </c>
      <c r="AU92" s="15">
        <v>0</v>
      </c>
      <c r="AV92" s="15">
        <v>0</v>
      </c>
      <c r="AW92" s="15">
        <v>0</v>
      </c>
      <c r="AX92" s="15">
        <v>0</v>
      </c>
      <c r="AY92" s="15">
        <v>0</v>
      </c>
      <c r="AZ92" s="15">
        <v>0</v>
      </c>
      <c r="BA92" s="15">
        <v>0</v>
      </c>
      <c r="BB92" s="15">
        <v>0</v>
      </c>
      <c r="BC92" s="15">
        <v>0</v>
      </c>
      <c r="BD92" s="15">
        <v>0</v>
      </c>
      <c r="BE92" s="15">
        <v>0</v>
      </c>
      <c r="BF92" s="15">
        <f t="shared" si="81"/>
        <v>67603.95</v>
      </c>
      <c r="BG92" s="15">
        <f t="shared" si="82"/>
        <v>67603.95</v>
      </c>
      <c r="BH92" s="15">
        <f t="shared" si="83"/>
        <v>0</v>
      </c>
      <c r="BI92" s="15">
        <f t="shared" si="84"/>
        <v>0</v>
      </c>
    </row>
    <row r="93" spans="1:61" x14ac:dyDescent="0.25">
      <c r="C93" s="7">
        <v>603</v>
      </c>
      <c r="D93" s="7" t="s">
        <v>456</v>
      </c>
      <c r="E93" s="15">
        <v>0</v>
      </c>
      <c r="F93" s="15">
        <v>0</v>
      </c>
      <c r="G93" s="15">
        <v>0</v>
      </c>
      <c r="H93" s="15">
        <v>0</v>
      </c>
      <c r="I93" s="15">
        <v>0</v>
      </c>
      <c r="J93" s="15">
        <v>0</v>
      </c>
      <c r="K93" s="15">
        <v>0</v>
      </c>
      <c r="L93" s="15">
        <v>0</v>
      </c>
      <c r="M93" s="15">
        <v>0</v>
      </c>
      <c r="N93" s="15">
        <v>0</v>
      </c>
      <c r="O93" s="15">
        <v>0</v>
      </c>
      <c r="P93" s="15">
        <v>0</v>
      </c>
      <c r="Q93" s="15">
        <v>0</v>
      </c>
      <c r="R93" s="15">
        <v>707.45</v>
      </c>
      <c r="S93" s="15">
        <v>221400</v>
      </c>
      <c r="T93" s="15">
        <v>0</v>
      </c>
      <c r="U93" s="15">
        <v>0</v>
      </c>
      <c r="V93" s="15">
        <v>0</v>
      </c>
      <c r="W93" s="15">
        <v>0</v>
      </c>
      <c r="X93" s="15">
        <v>0</v>
      </c>
      <c r="Y93" s="15">
        <v>0</v>
      </c>
      <c r="Z93" s="15">
        <v>0</v>
      </c>
      <c r="AA93" s="15">
        <v>0</v>
      </c>
      <c r="AB93" s="15">
        <v>0</v>
      </c>
      <c r="AC93" s="15">
        <v>0</v>
      </c>
      <c r="AD93" s="15">
        <v>0</v>
      </c>
      <c r="AE93" s="15">
        <v>0</v>
      </c>
      <c r="AF93" s="15">
        <v>0</v>
      </c>
      <c r="AG93" s="15">
        <v>0</v>
      </c>
      <c r="AH93" s="15">
        <v>0</v>
      </c>
      <c r="AI93" s="15">
        <v>0</v>
      </c>
      <c r="AJ93" s="15">
        <v>0</v>
      </c>
      <c r="AK93" s="15">
        <v>0</v>
      </c>
      <c r="AL93" s="15">
        <v>83565.45</v>
      </c>
      <c r="AM93" s="15">
        <v>0</v>
      </c>
      <c r="AN93" s="15">
        <v>0</v>
      </c>
      <c r="AO93" s="15">
        <v>0</v>
      </c>
      <c r="AP93" s="15">
        <v>0</v>
      </c>
      <c r="AQ93" s="15">
        <v>2737.7</v>
      </c>
      <c r="AR93" s="15">
        <v>0</v>
      </c>
      <c r="AS93" s="15">
        <v>0</v>
      </c>
      <c r="AT93" s="15">
        <v>20000</v>
      </c>
      <c r="AU93" s="15">
        <v>0</v>
      </c>
      <c r="AV93" s="15">
        <v>0</v>
      </c>
      <c r="AW93" s="15">
        <v>0</v>
      </c>
      <c r="AX93" s="15">
        <v>0</v>
      </c>
      <c r="AY93" s="15">
        <v>0</v>
      </c>
      <c r="AZ93" s="15">
        <v>0</v>
      </c>
      <c r="BA93" s="15">
        <v>0</v>
      </c>
      <c r="BB93" s="15">
        <v>0</v>
      </c>
      <c r="BC93" s="15">
        <v>0</v>
      </c>
      <c r="BD93" s="15">
        <v>0</v>
      </c>
      <c r="BE93" s="15">
        <v>0</v>
      </c>
      <c r="BF93" s="15">
        <f t="shared" si="81"/>
        <v>328410.60000000003</v>
      </c>
      <c r="BG93" s="15">
        <f t="shared" si="82"/>
        <v>222107.45</v>
      </c>
      <c r="BH93" s="15">
        <f t="shared" si="83"/>
        <v>0</v>
      </c>
      <c r="BI93" s="15">
        <f t="shared" si="84"/>
        <v>106303.15</v>
      </c>
    </row>
    <row r="94" spans="1:61" x14ac:dyDescent="0.25">
      <c r="C94" s="7">
        <v>604</v>
      </c>
      <c r="D94" s="7" t="s">
        <v>457</v>
      </c>
      <c r="E94" s="15">
        <v>0</v>
      </c>
      <c r="F94" s="15">
        <v>0</v>
      </c>
      <c r="G94" s="15">
        <v>0</v>
      </c>
      <c r="H94" s="15">
        <v>0</v>
      </c>
      <c r="I94" s="15">
        <v>0</v>
      </c>
      <c r="J94" s="15">
        <v>0</v>
      </c>
      <c r="K94" s="15">
        <v>0</v>
      </c>
      <c r="L94" s="15">
        <v>0</v>
      </c>
      <c r="M94" s="15">
        <v>0</v>
      </c>
      <c r="N94" s="15">
        <v>0</v>
      </c>
      <c r="O94" s="15">
        <v>0</v>
      </c>
      <c r="P94" s="15">
        <v>0</v>
      </c>
      <c r="Q94" s="15">
        <v>0</v>
      </c>
      <c r="R94" s="15">
        <v>0</v>
      </c>
      <c r="S94" s="15">
        <v>0</v>
      </c>
      <c r="T94" s="15">
        <v>0</v>
      </c>
      <c r="U94" s="15">
        <v>0</v>
      </c>
      <c r="V94" s="15">
        <v>0</v>
      </c>
      <c r="W94" s="15">
        <v>0</v>
      </c>
      <c r="X94" s="15">
        <v>0</v>
      </c>
      <c r="Y94" s="15">
        <v>0</v>
      </c>
      <c r="Z94" s="15">
        <v>0</v>
      </c>
      <c r="AA94" s="15">
        <v>0</v>
      </c>
      <c r="AB94" s="15">
        <v>0</v>
      </c>
      <c r="AC94" s="15">
        <v>0</v>
      </c>
      <c r="AD94" s="15">
        <v>81536</v>
      </c>
      <c r="AE94" s="15">
        <v>0</v>
      </c>
      <c r="AF94" s="15">
        <v>0</v>
      </c>
      <c r="AG94" s="15">
        <v>0</v>
      </c>
      <c r="AH94" s="15">
        <v>0</v>
      </c>
      <c r="AI94" s="15">
        <v>0</v>
      </c>
      <c r="AJ94" s="15">
        <v>0</v>
      </c>
      <c r="AK94" s="15">
        <v>0</v>
      </c>
      <c r="AL94" s="15">
        <v>0</v>
      </c>
      <c r="AM94" s="15">
        <v>0</v>
      </c>
      <c r="AN94" s="15">
        <v>0</v>
      </c>
      <c r="AO94" s="15">
        <v>0</v>
      </c>
      <c r="AP94" s="15">
        <v>0</v>
      </c>
      <c r="AQ94" s="15">
        <v>0</v>
      </c>
      <c r="AR94" s="15">
        <v>0</v>
      </c>
      <c r="AS94" s="15">
        <v>0</v>
      </c>
      <c r="AT94" s="15">
        <v>34600</v>
      </c>
      <c r="AU94" s="15">
        <v>0</v>
      </c>
      <c r="AV94" s="15">
        <v>0</v>
      </c>
      <c r="AW94" s="15">
        <v>0</v>
      </c>
      <c r="AX94" s="15">
        <v>0</v>
      </c>
      <c r="AY94" s="15">
        <v>0</v>
      </c>
      <c r="AZ94" s="15">
        <v>0</v>
      </c>
      <c r="BA94" s="15">
        <v>0</v>
      </c>
      <c r="BB94" s="15">
        <v>0</v>
      </c>
      <c r="BC94" s="15">
        <v>0</v>
      </c>
      <c r="BD94" s="15">
        <v>0</v>
      </c>
      <c r="BE94" s="15">
        <v>0</v>
      </c>
      <c r="BF94" s="15">
        <f t="shared" si="81"/>
        <v>116136</v>
      </c>
      <c r="BG94" s="15">
        <f t="shared" si="82"/>
        <v>0</v>
      </c>
      <c r="BH94" s="15">
        <f t="shared" si="83"/>
        <v>81536</v>
      </c>
      <c r="BI94" s="15">
        <f t="shared" si="84"/>
        <v>34600</v>
      </c>
    </row>
    <row r="95" spans="1:61" x14ac:dyDescent="0.25">
      <c r="C95" s="7">
        <v>605</v>
      </c>
      <c r="D95" s="7" t="s">
        <v>458</v>
      </c>
      <c r="E95" s="15">
        <v>0</v>
      </c>
      <c r="F95" s="15">
        <v>0</v>
      </c>
      <c r="G95" s="15">
        <v>0</v>
      </c>
      <c r="H95" s="15">
        <v>0</v>
      </c>
      <c r="I95" s="15">
        <v>0</v>
      </c>
      <c r="J95" s="15">
        <v>0</v>
      </c>
      <c r="K95" s="15">
        <v>0</v>
      </c>
      <c r="L95" s="15">
        <v>0</v>
      </c>
      <c r="M95" s="15">
        <v>0</v>
      </c>
      <c r="N95" s="15">
        <v>0</v>
      </c>
      <c r="O95" s="15">
        <v>0</v>
      </c>
      <c r="P95" s="15">
        <v>0</v>
      </c>
      <c r="Q95" s="15">
        <v>0</v>
      </c>
      <c r="R95" s="15">
        <v>0</v>
      </c>
      <c r="S95" s="15">
        <v>0</v>
      </c>
      <c r="T95" s="15">
        <v>0</v>
      </c>
      <c r="U95" s="15">
        <v>0</v>
      </c>
      <c r="V95" s="15">
        <v>0</v>
      </c>
      <c r="W95" s="15">
        <v>0</v>
      </c>
      <c r="X95" s="15">
        <v>0</v>
      </c>
      <c r="Y95" s="15">
        <v>0</v>
      </c>
      <c r="Z95" s="15">
        <v>0</v>
      </c>
      <c r="AA95" s="15">
        <v>0</v>
      </c>
      <c r="AB95" s="15">
        <v>0</v>
      </c>
      <c r="AC95" s="15">
        <v>0</v>
      </c>
      <c r="AD95" s="15">
        <v>0</v>
      </c>
      <c r="AE95" s="15">
        <v>0</v>
      </c>
      <c r="AF95" s="15">
        <v>0</v>
      </c>
      <c r="AG95" s="15">
        <v>0</v>
      </c>
      <c r="AH95" s="15">
        <v>0</v>
      </c>
      <c r="AI95" s="15">
        <v>0</v>
      </c>
      <c r="AJ95" s="15">
        <v>0</v>
      </c>
      <c r="AK95" s="15">
        <v>0</v>
      </c>
      <c r="AL95" s="15">
        <v>0</v>
      </c>
      <c r="AM95" s="15">
        <v>0</v>
      </c>
      <c r="AN95" s="15">
        <v>0</v>
      </c>
      <c r="AO95" s="15">
        <v>0</v>
      </c>
      <c r="AP95" s="15">
        <v>0</v>
      </c>
      <c r="AQ95" s="15">
        <v>0</v>
      </c>
      <c r="AR95" s="15">
        <v>0</v>
      </c>
      <c r="AS95" s="15">
        <v>0</v>
      </c>
      <c r="AT95" s="15">
        <v>0</v>
      </c>
      <c r="AU95" s="15">
        <v>0</v>
      </c>
      <c r="AV95" s="15">
        <v>0</v>
      </c>
      <c r="AW95" s="15">
        <v>0</v>
      </c>
      <c r="AX95" s="15">
        <v>0</v>
      </c>
      <c r="AY95" s="15">
        <v>0</v>
      </c>
      <c r="AZ95" s="15">
        <v>0</v>
      </c>
      <c r="BA95" s="15">
        <v>0</v>
      </c>
      <c r="BB95" s="15">
        <v>0</v>
      </c>
      <c r="BC95" s="15">
        <v>0</v>
      </c>
      <c r="BD95" s="15">
        <v>0</v>
      </c>
      <c r="BE95" s="15">
        <v>0</v>
      </c>
      <c r="BF95" s="15">
        <f t="shared" si="81"/>
        <v>0</v>
      </c>
      <c r="BG95" s="15">
        <f t="shared" si="82"/>
        <v>0</v>
      </c>
      <c r="BH95" s="15">
        <f t="shared" si="83"/>
        <v>0</v>
      </c>
      <c r="BI95" s="15">
        <f t="shared" si="84"/>
        <v>0</v>
      </c>
    </row>
    <row r="96" spans="1:61" x14ac:dyDescent="0.25">
      <c r="C96" s="7">
        <v>606</v>
      </c>
      <c r="D96" s="7" t="s">
        <v>459</v>
      </c>
      <c r="E96" s="15">
        <v>0</v>
      </c>
      <c r="F96" s="15">
        <v>0</v>
      </c>
      <c r="G96" s="15">
        <v>0</v>
      </c>
      <c r="H96" s="15">
        <v>0</v>
      </c>
      <c r="I96" s="15">
        <v>0</v>
      </c>
      <c r="J96" s="15">
        <v>0</v>
      </c>
      <c r="K96" s="15">
        <v>0</v>
      </c>
      <c r="L96" s="15">
        <v>0</v>
      </c>
      <c r="M96" s="15">
        <v>0</v>
      </c>
      <c r="N96" s="15">
        <v>0</v>
      </c>
      <c r="O96" s="15">
        <v>0</v>
      </c>
      <c r="P96" s="15">
        <v>0</v>
      </c>
      <c r="Q96" s="15">
        <v>0</v>
      </c>
      <c r="R96" s="15">
        <v>0</v>
      </c>
      <c r="S96" s="15">
        <v>0</v>
      </c>
      <c r="T96" s="15">
        <v>0</v>
      </c>
      <c r="U96" s="15">
        <v>0</v>
      </c>
      <c r="V96" s="15">
        <v>0</v>
      </c>
      <c r="W96" s="15">
        <v>0</v>
      </c>
      <c r="X96" s="15">
        <v>0</v>
      </c>
      <c r="Y96" s="15">
        <v>0</v>
      </c>
      <c r="Z96" s="15">
        <v>0</v>
      </c>
      <c r="AA96" s="15">
        <v>0</v>
      </c>
      <c r="AB96" s="15">
        <v>0</v>
      </c>
      <c r="AC96" s="15">
        <v>0</v>
      </c>
      <c r="AD96" s="15">
        <v>0</v>
      </c>
      <c r="AE96" s="15">
        <v>0</v>
      </c>
      <c r="AF96" s="15">
        <v>0</v>
      </c>
      <c r="AG96" s="15">
        <v>0</v>
      </c>
      <c r="AH96" s="15">
        <v>0</v>
      </c>
      <c r="AI96" s="15">
        <v>0</v>
      </c>
      <c r="AJ96" s="15">
        <v>0</v>
      </c>
      <c r="AK96" s="15">
        <v>0</v>
      </c>
      <c r="AL96" s="15">
        <v>0</v>
      </c>
      <c r="AM96" s="15">
        <v>0</v>
      </c>
      <c r="AN96" s="15">
        <v>0</v>
      </c>
      <c r="AO96" s="15">
        <v>0</v>
      </c>
      <c r="AP96" s="15">
        <v>0</v>
      </c>
      <c r="AQ96" s="15">
        <v>0</v>
      </c>
      <c r="AR96" s="15">
        <v>0</v>
      </c>
      <c r="AS96" s="15">
        <v>0</v>
      </c>
      <c r="AT96" s="15">
        <v>35400.050000000003</v>
      </c>
      <c r="AU96" s="15">
        <v>0</v>
      </c>
      <c r="AV96" s="15">
        <v>0</v>
      </c>
      <c r="AW96" s="15">
        <v>0</v>
      </c>
      <c r="AX96" s="15">
        <v>0</v>
      </c>
      <c r="AY96" s="15">
        <v>0</v>
      </c>
      <c r="AZ96" s="15">
        <v>0</v>
      </c>
      <c r="BA96" s="15">
        <v>0</v>
      </c>
      <c r="BB96" s="15">
        <v>0</v>
      </c>
      <c r="BC96" s="15">
        <v>0</v>
      </c>
      <c r="BD96" s="15">
        <v>0</v>
      </c>
      <c r="BE96" s="15">
        <v>0</v>
      </c>
      <c r="BF96" s="15">
        <f t="shared" si="81"/>
        <v>35400.050000000003</v>
      </c>
      <c r="BG96" s="15">
        <f t="shared" si="82"/>
        <v>0</v>
      </c>
      <c r="BH96" s="15">
        <f t="shared" si="83"/>
        <v>0</v>
      </c>
      <c r="BI96" s="15">
        <f t="shared" si="84"/>
        <v>35400.050000000003</v>
      </c>
    </row>
    <row r="97" spans="2:61" x14ac:dyDescent="0.25">
      <c r="C97" s="7">
        <v>609</v>
      </c>
      <c r="D97" s="7" t="s">
        <v>460</v>
      </c>
      <c r="E97" s="15">
        <v>0</v>
      </c>
      <c r="F97" s="15">
        <v>0</v>
      </c>
      <c r="G97" s="15">
        <v>0</v>
      </c>
      <c r="H97" s="15">
        <v>0</v>
      </c>
      <c r="I97" s="15">
        <v>0</v>
      </c>
      <c r="J97" s="15">
        <v>0</v>
      </c>
      <c r="K97" s="15">
        <v>0</v>
      </c>
      <c r="L97" s="15">
        <v>0</v>
      </c>
      <c r="M97" s="15">
        <v>0</v>
      </c>
      <c r="N97" s="15">
        <v>0</v>
      </c>
      <c r="O97" s="15">
        <v>0</v>
      </c>
      <c r="P97" s="15">
        <v>0</v>
      </c>
      <c r="Q97" s="15">
        <v>0</v>
      </c>
      <c r="R97" s="15">
        <v>0</v>
      </c>
      <c r="S97" s="15">
        <v>0</v>
      </c>
      <c r="T97" s="15">
        <v>0</v>
      </c>
      <c r="U97" s="15">
        <v>0</v>
      </c>
      <c r="V97" s="15">
        <v>0</v>
      </c>
      <c r="W97" s="15">
        <v>0</v>
      </c>
      <c r="X97" s="15">
        <v>0</v>
      </c>
      <c r="Y97" s="15">
        <v>0</v>
      </c>
      <c r="Z97" s="15">
        <v>0</v>
      </c>
      <c r="AA97" s="15">
        <v>0</v>
      </c>
      <c r="AB97" s="15">
        <v>0</v>
      </c>
      <c r="AC97" s="15">
        <v>0</v>
      </c>
      <c r="AD97" s="15">
        <v>0</v>
      </c>
      <c r="AE97" s="15">
        <v>0</v>
      </c>
      <c r="AF97" s="15">
        <v>0</v>
      </c>
      <c r="AG97" s="15">
        <v>0</v>
      </c>
      <c r="AH97" s="15">
        <v>0</v>
      </c>
      <c r="AI97" s="15">
        <v>0</v>
      </c>
      <c r="AJ97" s="15">
        <v>0</v>
      </c>
      <c r="AK97" s="15">
        <v>0</v>
      </c>
      <c r="AL97" s="15">
        <v>0</v>
      </c>
      <c r="AM97" s="15">
        <v>0</v>
      </c>
      <c r="AN97" s="15">
        <v>0</v>
      </c>
      <c r="AO97" s="15">
        <v>0</v>
      </c>
      <c r="AP97" s="15">
        <v>0</v>
      </c>
      <c r="AQ97" s="15">
        <v>0</v>
      </c>
      <c r="AR97" s="15">
        <v>0</v>
      </c>
      <c r="AS97" s="15">
        <v>0</v>
      </c>
      <c r="AT97" s="15">
        <v>0</v>
      </c>
      <c r="AU97" s="15">
        <v>0</v>
      </c>
      <c r="AV97" s="15">
        <v>0</v>
      </c>
      <c r="AW97" s="15">
        <v>0</v>
      </c>
      <c r="AX97" s="15">
        <v>0</v>
      </c>
      <c r="AY97" s="15">
        <v>0</v>
      </c>
      <c r="AZ97" s="15">
        <v>0</v>
      </c>
      <c r="BA97" s="15">
        <v>0</v>
      </c>
      <c r="BB97" s="15">
        <v>0</v>
      </c>
      <c r="BC97" s="15">
        <v>0</v>
      </c>
      <c r="BD97" s="15">
        <v>0</v>
      </c>
      <c r="BE97" s="15">
        <v>0</v>
      </c>
      <c r="BF97" s="15">
        <f t="shared" si="81"/>
        <v>0</v>
      </c>
      <c r="BG97" s="15">
        <f t="shared" si="82"/>
        <v>0</v>
      </c>
      <c r="BH97" s="15">
        <f t="shared" si="83"/>
        <v>0</v>
      </c>
      <c r="BI97" s="15">
        <f t="shared" si="84"/>
        <v>0</v>
      </c>
    </row>
    <row r="98" spans="2:61" x14ac:dyDescent="0.2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row>
    <row r="99" spans="2:61" x14ac:dyDescent="0.25">
      <c r="B99" s="128">
        <v>61</v>
      </c>
      <c r="C99" s="128"/>
      <c r="D99" s="128" t="s">
        <v>480</v>
      </c>
      <c r="E99" s="175">
        <f>E100+E101+E102+E103+E104+E105+E106+E107</f>
        <v>0</v>
      </c>
      <c r="F99" s="175">
        <f t="shared" ref="F99:BI99" si="85">F100+F101+F102+F103+F104+F105+F106+F107</f>
        <v>0</v>
      </c>
      <c r="G99" s="175">
        <f t="shared" si="85"/>
        <v>0</v>
      </c>
      <c r="H99" s="175">
        <f t="shared" si="85"/>
        <v>194100</v>
      </c>
      <c r="I99" s="175">
        <f t="shared" si="85"/>
        <v>0</v>
      </c>
      <c r="J99" s="175">
        <f t="shared" si="85"/>
        <v>0</v>
      </c>
      <c r="K99" s="175">
        <f t="shared" si="85"/>
        <v>0</v>
      </c>
      <c r="L99" s="175">
        <f t="shared" si="85"/>
        <v>7800</v>
      </c>
      <c r="M99" s="175">
        <f t="shared" si="85"/>
        <v>1734.5</v>
      </c>
      <c r="N99" s="175">
        <f t="shared" si="85"/>
        <v>0</v>
      </c>
      <c r="O99" s="175">
        <f t="shared" si="85"/>
        <v>50536.15</v>
      </c>
      <c r="P99" s="175">
        <f t="shared" si="85"/>
        <v>0</v>
      </c>
      <c r="Q99" s="175">
        <f t="shared" si="85"/>
        <v>0</v>
      </c>
      <c r="R99" s="175">
        <f t="shared" si="85"/>
        <v>0</v>
      </c>
      <c r="S99" s="175">
        <f t="shared" si="85"/>
        <v>0</v>
      </c>
      <c r="T99" s="175">
        <f t="shared" si="85"/>
        <v>0</v>
      </c>
      <c r="U99" s="175">
        <f t="shared" si="85"/>
        <v>0</v>
      </c>
      <c r="V99" s="175">
        <f t="shared" si="85"/>
        <v>0</v>
      </c>
      <c r="W99" s="175">
        <f t="shared" si="85"/>
        <v>122242.75</v>
      </c>
      <c r="X99" s="175">
        <f t="shared" si="85"/>
        <v>3000</v>
      </c>
      <c r="Y99" s="175">
        <f t="shared" si="85"/>
        <v>1480.85</v>
      </c>
      <c r="Z99" s="175">
        <f t="shared" si="85"/>
        <v>97701.8</v>
      </c>
      <c r="AA99" s="175">
        <f t="shared" si="85"/>
        <v>0</v>
      </c>
      <c r="AB99" s="175">
        <f t="shared" si="85"/>
        <v>0</v>
      </c>
      <c r="AC99" s="175">
        <f t="shared" si="85"/>
        <v>0</v>
      </c>
      <c r="AD99" s="175">
        <f t="shared" si="85"/>
        <v>19525.55</v>
      </c>
      <c r="AE99" s="175">
        <f t="shared" si="85"/>
        <v>0</v>
      </c>
      <c r="AF99" s="175">
        <f t="shared" si="85"/>
        <v>0</v>
      </c>
      <c r="AG99" s="175">
        <f t="shared" si="85"/>
        <v>24504.1</v>
      </c>
      <c r="AH99" s="175">
        <f t="shared" si="85"/>
        <v>569834.25</v>
      </c>
      <c r="AI99" s="175">
        <f t="shared" si="85"/>
        <v>4600</v>
      </c>
      <c r="AJ99" s="175">
        <f t="shared" si="85"/>
        <v>0</v>
      </c>
      <c r="AK99" s="175">
        <f t="shared" si="85"/>
        <v>0</v>
      </c>
      <c r="AL99" s="175">
        <f t="shared" si="85"/>
        <v>0</v>
      </c>
      <c r="AM99" s="175">
        <f t="shared" si="85"/>
        <v>60881.35</v>
      </c>
      <c r="AN99" s="175">
        <f t="shared" si="85"/>
        <v>0</v>
      </c>
      <c r="AO99" s="175">
        <f t="shared" si="85"/>
        <v>0</v>
      </c>
      <c r="AP99" s="175">
        <f t="shared" si="85"/>
        <v>0</v>
      </c>
      <c r="AQ99" s="175">
        <f t="shared" si="85"/>
        <v>0</v>
      </c>
      <c r="AR99" s="175">
        <f t="shared" si="85"/>
        <v>141060.75</v>
      </c>
      <c r="AS99" s="175">
        <f t="shared" si="85"/>
        <v>0</v>
      </c>
      <c r="AT99" s="175">
        <f t="shared" si="85"/>
        <v>0</v>
      </c>
      <c r="AU99" s="175">
        <f t="shared" si="85"/>
        <v>41386.5</v>
      </c>
      <c r="AV99" s="175">
        <f t="shared" si="85"/>
        <v>0</v>
      </c>
      <c r="AW99" s="175">
        <f t="shared" si="85"/>
        <v>0</v>
      </c>
      <c r="AX99" s="175">
        <f t="shared" si="85"/>
        <v>0</v>
      </c>
      <c r="AY99" s="175">
        <f t="shared" si="85"/>
        <v>0</v>
      </c>
      <c r="AZ99" s="175">
        <f t="shared" si="85"/>
        <v>0</v>
      </c>
      <c r="BA99" s="175">
        <f t="shared" si="85"/>
        <v>1764.15</v>
      </c>
      <c r="BB99" s="175">
        <f t="shared" si="85"/>
        <v>8000</v>
      </c>
      <c r="BC99" s="175">
        <f t="shared" si="85"/>
        <v>0</v>
      </c>
      <c r="BD99" s="175">
        <f t="shared" si="85"/>
        <v>-17713.75</v>
      </c>
      <c r="BE99" s="175">
        <f t="shared" si="85"/>
        <v>6050</v>
      </c>
      <c r="BF99" s="175">
        <f t="shared" si="85"/>
        <v>1338488.9500000002</v>
      </c>
      <c r="BG99" s="175">
        <f t="shared" si="85"/>
        <v>376413.4</v>
      </c>
      <c r="BH99" s="175">
        <f t="shared" si="85"/>
        <v>720646.55</v>
      </c>
      <c r="BI99" s="175">
        <f t="shared" si="85"/>
        <v>241429</v>
      </c>
    </row>
    <row r="100" spans="2:61" x14ac:dyDescent="0.25">
      <c r="C100" s="7">
        <v>610</v>
      </c>
      <c r="D100" s="7" t="s">
        <v>453</v>
      </c>
      <c r="E100" s="15">
        <v>0</v>
      </c>
      <c r="F100" s="15">
        <v>0</v>
      </c>
      <c r="G100" s="15">
        <v>0</v>
      </c>
      <c r="H100" s="15">
        <v>194100</v>
      </c>
      <c r="I100" s="15">
        <v>0</v>
      </c>
      <c r="J100" s="15">
        <v>0</v>
      </c>
      <c r="K100" s="15">
        <v>0</v>
      </c>
      <c r="L100" s="15">
        <v>0</v>
      </c>
      <c r="M100" s="15">
        <v>0</v>
      </c>
      <c r="N100" s="15">
        <v>0</v>
      </c>
      <c r="O100" s="15">
        <v>0</v>
      </c>
      <c r="P100" s="15">
        <v>0</v>
      </c>
      <c r="Q100" s="15">
        <v>0</v>
      </c>
      <c r="R100" s="15">
        <v>0</v>
      </c>
      <c r="S100" s="15">
        <v>0</v>
      </c>
      <c r="T100" s="15">
        <v>0</v>
      </c>
      <c r="U100" s="15">
        <v>0</v>
      </c>
      <c r="V100" s="15">
        <v>0</v>
      </c>
      <c r="W100" s="15">
        <v>0</v>
      </c>
      <c r="X100" s="15">
        <v>0</v>
      </c>
      <c r="Y100" s="15">
        <v>0</v>
      </c>
      <c r="Z100" s="15">
        <v>0</v>
      </c>
      <c r="AA100" s="15">
        <v>0</v>
      </c>
      <c r="AB100" s="15">
        <v>0</v>
      </c>
      <c r="AC100" s="15">
        <v>0</v>
      </c>
      <c r="AD100" s="15">
        <v>0</v>
      </c>
      <c r="AE100" s="15">
        <v>0</v>
      </c>
      <c r="AF100" s="15">
        <v>0</v>
      </c>
      <c r="AG100" s="15">
        <v>0</v>
      </c>
      <c r="AH100" s="15">
        <v>569834.25</v>
      </c>
      <c r="AI100" s="15">
        <v>0</v>
      </c>
      <c r="AJ100" s="15">
        <v>0</v>
      </c>
      <c r="AK100" s="15">
        <v>0</v>
      </c>
      <c r="AL100" s="15">
        <v>0</v>
      </c>
      <c r="AM100" s="15">
        <v>0</v>
      </c>
      <c r="AN100" s="15">
        <v>0</v>
      </c>
      <c r="AO100" s="15">
        <v>0</v>
      </c>
      <c r="AP100" s="15">
        <v>0</v>
      </c>
      <c r="AQ100" s="15">
        <v>0</v>
      </c>
      <c r="AR100" s="15">
        <v>0</v>
      </c>
      <c r="AS100" s="15">
        <v>0</v>
      </c>
      <c r="AT100" s="15">
        <v>0</v>
      </c>
      <c r="AU100" s="15">
        <v>41386.5</v>
      </c>
      <c r="AV100" s="15">
        <v>0</v>
      </c>
      <c r="AW100" s="15">
        <v>0</v>
      </c>
      <c r="AX100" s="15">
        <v>0</v>
      </c>
      <c r="AY100" s="15">
        <v>0</v>
      </c>
      <c r="AZ100" s="15">
        <v>0</v>
      </c>
      <c r="BA100" s="15">
        <v>0</v>
      </c>
      <c r="BB100" s="15">
        <v>0</v>
      </c>
      <c r="BC100" s="15">
        <v>0</v>
      </c>
      <c r="BD100" s="15">
        <v>15000</v>
      </c>
      <c r="BE100" s="15">
        <v>0</v>
      </c>
      <c r="BF100" s="15">
        <f t="shared" ref="BF100:BF107" si="86">SUM(E100:BE100)</f>
        <v>820320.75</v>
      </c>
      <c r="BG100" s="15">
        <f t="shared" ref="BG100:BG107" si="87">SUM(E100:W100)</f>
        <v>194100</v>
      </c>
      <c r="BH100" s="15">
        <f t="shared" ref="BH100:BH107" si="88">SUM(X100:AJ100)</f>
        <v>569834.25</v>
      </c>
      <c r="BI100" s="15">
        <f t="shared" ref="BI100:BI107" si="89">SUM(AK100:BE100)</f>
        <v>56386.5</v>
      </c>
    </row>
    <row r="101" spans="2:61" x14ac:dyDescent="0.25">
      <c r="C101" s="7">
        <v>611</v>
      </c>
      <c r="D101" s="7" t="s">
        <v>454</v>
      </c>
      <c r="E101" s="15">
        <v>0</v>
      </c>
      <c r="F101" s="15">
        <v>0</v>
      </c>
      <c r="G101" s="15">
        <v>0</v>
      </c>
      <c r="H101" s="15">
        <v>0</v>
      </c>
      <c r="I101" s="15">
        <v>0</v>
      </c>
      <c r="J101" s="15">
        <v>0</v>
      </c>
      <c r="K101" s="15">
        <v>0</v>
      </c>
      <c r="L101" s="15">
        <v>7800</v>
      </c>
      <c r="M101" s="15">
        <v>0</v>
      </c>
      <c r="N101" s="15">
        <v>0</v>
      </c>
      <c r="O101" s="15">
        <v>50536.15</v>
      </c>
      <c r="P101" s="15">
        <v>0</v>
      </c>
      <c r="Q101" s="15">
        <v>0</v>
      </c>
      <c r="R101" s="15">
        <v>0</v>
      </c>
      <c r="S101" s="15">
        <v>0</v>
      </c>
      <c r="T101" s="15">
        <v>0</v>
      </c>
      <c r="U101" s="15">
        <v>0</v>
      </c>
      <c r="V101" s="15">
        <v>0</v>
      </c>
      <c r="W101" s="15">
        <v>14682.6</v>
      </c>
      <c r="X101" s="15">
        <v>3000</v>
      </c>
      <c r="Y101" s="15">
        <v>0</v>
      </c>
      <c r="Z101" s="15">
        <v>0</v>
      </c>
      <c r="AA101" s="15">
        <v>0</v>
      </c>
      <c r="AB101" s="15">
        <v>0</v>
      </c>
      <c r="AC101" s="15">
        <v>0</v>
      </c>
      <c r="AD101" s="15">
        <v>0</v>
      </c>
      <c r="AE101" s="15">
        <v>0</v>
      </c>
      <c r="AF101" s="15">
        <v>0</v>
      </c>
      <c r="AG101" s="15">
        <v>0</v>
      </c>
      <c r="AH101" s="15">
        <v>0</v>
      </c>
      <c r="AI101" s="15">
        <v>0</v>
      </c>
      <c r="AJ101" s="15">
        <v>0</v>
      </c>
      <c r="AK101" s="15">
        <v>0</v>
      </c>
      <c r="AL101" s="15">
        <v>0</v>
      </c>
      <c r="AM101" s="15">
        <v>0</v>
      </c>
      <c r="AN101" s="15">
        <v>0</v>
      </c>
      <c r="AO101" s="15">
        <v>0</v>
      </c>
      <c r="AP101" s="15">
        <v>0</v>
      </c>
      <c r="AQ101" s="15">
        <v>0</v>
      </c>
      <c r="AR101" s="15">
        <v>65015.75</v>
      </c>
      <c r="AS101" s="15">
        <v>0</v>
      </c>
      <c r="AT101" s="15">
        <v>0</v>
      </c>
      <c r="AU101" s="15">
        <v>0</v>
      </c>
      <c r="AV101" s="15">
        <v>0</v>
      </c>
      <c r="AW101" s="15">
        <v>0</v>
      </c>
      <c r="AX101" s="15">
        <v>0</v>
      </c>
      <c r="AY101" s="15">
        <v>0</v>
      </c>
      <c r="AZ101" s="15">
        <v>0</v>
      </c>
      <c r="BA101" s="15">
        <v>0</v>
      </c>
      <c r="BB101" s="15">
        <v>0</v>
      </c>
      <c r="BC101" s="15">
        <v>0</v>
      </c>
      <c r="BD101" s="15">
        <v>0</v>
      </c>
      <c r="BE101" s="15">
        <v>0</v>
      </c>
      <c r="BF101" s="15">
        <f t="shared" si="86"/>
        <v>141034.5</v>
      </c>
      <c r="BG101" s="15">
        <f t="shared" si="87"/>
        <v>73018.75</v>
      </c>
      <c r="BH101" s="15">
        <f t="shared" si="88"/>
        <v>3000</v>
      </c>
      <c r="BI101" s="15">
        <f t="shared" si="89"/>
        <v>65015.75</v>
      </c>
    </row>
    <row r="102" spans="2:61" x14ac:dyDescent="0.25">
      <c r="C102" s="7">
        <v>612</v>
      </c>
      <c r="D102" s="7" t="s">
        <v>455</v>
      </c>
      <c r="E102" s="15">
        <v>0</v>
      </c>
      <c r="F102" s="15">
        <v>0</v>
      </c>
      <c r="G102" s="15">
        <v>0</v>
      </c>
      <c r="H102" s="15">
        <v>0</v>
      </c>
      <c r="I102" s="15">
        <v>0</v>
      </c>
      <c r="J102" s="15">
        <v>0</v>
      </c>
      <c r="K102" s="15">
        <v>0</v>
      </c>
      <c r="L102" s="15">
        <v>0</v>
      </c>
      <c r="M102" s="15">
        <v>0</v>
      </c>
      <c r="N102" s="15">
        <v>0</v>
      </c>
      <c r="O102" s="15">
        <v>0</v>
      </c>
      <c r="P102" s="15">
        <v>0</v>
      </c>
      <c r="Q102" s="15">
        <v>0</v>
      </c>
      <c r="R102" s="15">
        <v>0</v>
      </c>
      <c r="S102" s="15">
        <v>0</v>
      </c>
      <c r="T102" s="15">
        <v>0</v>
      </c>
      <c r="U102" s="15">
        <v>0</v>
      </c>
      <c r="V102" s="15">
        <v>0</v>
      </c>
      <c r="W102" s="15">
        <v>23493.8</v>
      </c>
      <c r="X102" s="15">
        <v>0</v>
      </c>
      <c r="Y102" s="15">
        <v>0</v>
      </c>
      <c r="Z102" s="15">
        <v>0</v>
      </c>
      <c r="AA102" s="15">
        <v>0</v>
      </c>
      <c r="AB102" s="15">
        <v>0</v>
      </c>
      <c r="AC102" s="15">
        <v>0</v>
      </c>
      <c r="AD102" s="15">
        <v>0</v>
      </c>
      <c r="AE102" s="15">
        <v>0</v>
      </c>
      <c r="AF102" s="15">
        <v>0</v>
      </c>
      <c r="AG102" s="15">
        <v>0</v>
      </c>
      <c r="AH102" s="15">
        <v>0</v>
      </c>
      <c r="AI102" s="15">
        <v>0</v>
      </c>
      <c r="AJ102" s="15">
        <v>0</v>
      </c>
      <c r="AK102" s="15">
        <v>0</v>
      </c>
      <c r="AL102" s="15">
        <v>0</v>
      </c>
      <c r="AM102" s="15">
        <v>0</v>
      </c>
      <c r="AN102" s="15">
        <v>0</v>
      </c>
      <c r="AO102" s="15">
        <v>0</v>
      </c>
      <c r="AP102" s="15">
        <v>0</v>
      </c>
      <c r="AQ102" s="15">
        <v>0</v>
      </c>
      <c r="AR102" s="15">
        <v>0</v>
      </c>
      <c r="AS102" s="15">
        <v>0</v>
      </c>
      <c r="AT102" s="15">
        <v>0</v>
      </c>
      <c r="AU102" s="15">
        <v>0</v>
      </c>
      <c r="AV102" s="15">
        <v>0</v>
      </c>
      <c r="AW102" s="15">
        <v>0</v>
      </c>
      <c r="AX102" s="15">
        <v>0</v>
      </c>
      <c r="AY102" s="15">
        <v>0</v>
      </c>
      <c r="AZ102" s="15">
        <v>0</v>
      </c>
      <c r="BA102" s="15">
        <v>0</v>
      </c>
      <c r="BB102" s="15">
        <v>0</v>
      </c>
      <c r="BC102" s="15">
        <v>0</v>
      </c>
      <c r="BD102" s="15">
        <v>0</v>
      </c>
      <c r="BE102" s="15">
        <v>6050</v>
      </c>
      <c r="BF102" s="15">
        <f t="shared" si="86"/>
        <v>29543.8</v>
      </c>
      <c r="BG102" s="15">
        <f t="shared" si="87"/>
        <v>23493.8</v>
      </c>
      <c r="BH102" s="15">
        <f t="shared" si="88"/>
        <v>0</v>
      </c>
      <c r="BI102" s="15">
        <f t="shared" si="89"/>
        <v>6050</v>
      </c>
    </row>
    <row r="103" spans="2:61" x14ac:dyDescent="0.25">
      <c r="C103" s="7">
        <v>613</v>
      </c>
      <c r="D103" s="7" t="s">
        <v>456</v>
      </c>
      <c r="E103" s="15">
        <v>0</v>
      </c>
      <c r="F103" s="15">
        <v>0</v>
      </c>
      <c r="G103" s="15">
        <v>0</v>
      </c>
      <c r="H103" s="15">
        <v>0</v>
      </c>
      <c r="I103" s="15">
        <v>0</v>
      </c>
      <c r="J103" s="15">
        <v>0</v>
      </c>
      <c r="K103" s="15">
        <v>0</v>
      </c>
      <c r="L103" s="15">
        <v>0</v>
      </c>
      <c r="M103" s="15">
        <v>1734.5</v>
      </c>
      <c r="N103" s="15">
        <v>0</v>
      </c>
      <c r="O103" s="15">
        <v>0</v>
      </c>
      <c r="P103" s="15">
        <v>0</v>
      </c>
      <c r="Q103" s="15">
        <v>0</v>
      </c>
      <c r="R103" s="15">
        <v>0</v>
      </c>
      <c r="S103" s="15">
        <v>0</v>
      </c>
      <c r="T103" s="15">
        <v>0</v>
      </c>
      <c r="U103" s="15">
        <v>0</v>
      </c>
      <c r="V103" s="15">
        <v>0</v>
      </c>
      <c r="W103" s="15">
        <v>84066.35</v>
      </c>
      <c r="X103" s="15">
        <v>0</v>
      </c>
      <c r="Y103" s="15">
        <v>1480.85</v>
      </c>
      <c r="Z103" s="15">
        <v>0</v>
      </c>
      <c r="AA103" s="15">
        <v>0</v>
      </c>
      <c r="AB103" s="15">
        <v>0</v>
      </c>
      <c r="AC103" s="15">
        <v>0</v>
      </c>
      <c r="AD103" s="15">
        <v>19525.55</v>
      </c>
      <c r="AE103" s="15">
        <v>0</v>
      </c>
      <c r="AF103" s="15">
        <v>0</v>
      </c>
      <c r="AG103" s="15">
        <v>24504.1</v>
      </c>
      <c r="AH103" s="15">
        <v>0</v>
      </c>
      <c r="AI103" s="15">
        <v>0</v>
      </c>
      <c r="AJ103" s="15">
        <v>0</v>
      </c>
      <c r="AK103" s="15">
        <v>0</v>
      </c>
      <c r="AL103" s="15">
        <v>0</v>
      </c>
      <c r="AM103" s="15">
        <v>0</v>
      </c>
      <c r="AN103" s="15">
        <v>0</v>
      </c>
      <c r="AO103" s="15">
        <v>0</v>
      </c>
      <c r="AP103" s="15">
        <v>0</v>
      </c>
      <c r="AQ103" s="15">
        <v>0</v>
      </c>
      <c r="AR103" s="15">
        <v>76045</v>
      </c>
      <c r="AS103" s="15">
        <v>0</v>
      </c>
      <c r="AT103" s="15">
        <v>0</v>
      </c>
      <c r="AU103" s="15">
        <v>0</v>
      </c>
      <c r="AV103" s="15">
        <v>0</v>
      </c>
      <c r="AW103" s="15">
        <v>0</v>
      </c>
      <c r="AX103" s="15">
        <v>0</v>
      </c>
      <c r="AY103" s="15">
        <v>0</v>
      </c>
      <c r="AZ103" s="15">
        <v>0</v>
      </c>
      <c r="BA103" s="15">
        <v>1764.15</v>
      </c>
      <c r="BB103" s="15">
        <v>8000</v>
      </c>
      <c r="BC103" s="15">
        <v>0</v>
      </c>
      <c r="BD103" s="15">
        <v>-1949.95</v>
      </c>
      <c r="BE103" s="15">
        <v>0</v>
      </c>
      <c r="BF103" s="15">
        <f t="shared" si="86"/>
        <v>215170.55</v>
      </c>
      <c r="BG103" s="15">
        <f t="shared" si="87"/>
        <v>85800.85</v>
      </c>
      <c r="BH103" s="15">
        <f t="shared" si="88"/>
        <v>45510.5</v>
      </c>
      <c r="BI103" s="15">
        <f t="shared" si="89"/>
        <v>83859.199999999997</v>
      </c>
    </row>
    <row r="104" spans="2:61" x14ac:dyDescent="0.25">
      <c r="C104" s="7">
        <v>614</v>
      </c>
      <c r="D104" s="7" t="s">
        <v>457</v>
      </c>
      <c r="E104" s="15">
        <v>0</v>
      </c>
      <c r="F104" s="15">
        <v>0</v>
      </c>
      <c r="G104" s="15">
        <v>0</v>
      </c>
      <c r="H104" s="15">
        <v>0</v>
      </c>
      <c r="I104" s="15">
        <v>0</v>
      </c>
      <c r="J104" s="15">
        <v>0</v>
      </c>
      <c r="K104" s="15">
        <v>0</v>
      </c>
      <c r="L104" s="15">
        <v>0</v>
      </c>
      <c r="M104" s="15">
        <v>0</v>
      </c>
      <c r="N104" s="15">
        <v>0</v>
      </c>
      <c r="O104" s="15">
        <v>0</v>
      </c>
      <c r="P104" s="15">
        <v>0</v>
      </c>
      <c r="Q104" s="15">
        <v>0</v>
      </c>
      <c r="R104" s="15">
        <v>0</v>
      </c>
      <c r="S104" s="15">
        <v>0</v>
      </c>
      <c r="T104" s="15">
        <v>0</v>
      </c>
      <c r="U104" s="15">
        <v>0</v>
      </c>
      <c r="V104" s="15">
        <v>0</v>
      </c>
      <c r="W104" s="15">
        <v>0</v>
      </c>
      <c r="X104" s="15">
        <v>0</v>
      </c>
      <c r="Y104" s="15">
        <v>0</v>
      </c>
      <c r="Z104" s="15">
        <v>0</v>
      </c>
      <c r="AA104" s="15">
        <v>0</v>
      </c>
      <c r="AB104" s="15">
        <v>0</v>
      </c>
      <c r="AC104" s="15">
        <v>0</v>
      </c>
      <c r="AD104" s="15">
        <v>0</v>
      </c>
      <c r="AE104" s="15">
        <v>0</v>
      </c>
      <c r="AF104" s="15">
        <v>0</v>
      </c>
      <c r="AG104" s="15">
        <v>0</v>
      </c>
      <c r="AH104" s="15">
        <v>0</v>
      </c>
      <c r="AI104" s="15">
        <v>4600</v>
      </c>
      <c r="AJ104" s="15">
        <v>0</v>
      </c>
      <c r="AK104" s="15">
        <v>0</v>
      </c>
      <c r="AL104" s="15">
        <v>0</v>
      </c>
      <c r="AM104" s="15">
        <v>60881.35</v>
      </c>
      <c r="AN104" s="15">
        <v>0</v>
      </c>
      <c r="AO104" s="15">
        <v>0</v>
      </c>
      <c r="AP104" s="15">
        <v>0</v>
      </c>
      <c r="AQ104" s="15">
        <v>0</v>
      </c>
      <c r="AR104" s="15">
        <v>0</v>
      </c>
      <c r="AS104" s="15">
        <v>0</v>
      </c>
      <c r="AT104" s="15">
        <v>0</v>
      </c>
      <c r="AU104" s="15">
        <v>0</v>
      </c>
      <c r="AV104" s="15">
        <v>0</v>
      </c>
      <c r="AW104" s="15">
        <v>0</v>
      </c>
      <c r="AX104" s="15">
        <v>0</v>
      </c>
      <c r="AY104" s="15">
        <v>0</v>
      </c>
      <c r="AZ104" s="15">
        <v>0</v>
      </c>
      <c r="BA104" s="15">
        <v>0</v>
      </c>
      <c r="BB104" s="15">
        <v>0</v>
      </c>
      <c r="BC104" s="15">
        <v>0</v>
      </c>
      <c r="BD104" s="15">
        <v>0</v>
      </c>
      <c r="BE104" s="15">
        <v>0</v>
      </c>
      <c r="BF104" s="15">
        <f t="shared" si="86"/>
        <v>65481.35</v>
      </c>
      <c r="BG104" s="15">
        <f t="shared" si="87"/>
        <v>0</v>
      </c>
      <c r="BH104" s="15">
        <f t="shared" si="88"/>
        <v>4600</v>
      </c>
      <c r="BI104" s="15">
        <f t="shared" si="89"/>
        <v>60881.35</v>
      </c>
    </row>
    <row r="105" spans="2:61" x14ac:dyDescent="0.25">
      <c r="C105" s="7">
        <v>615</v>
      </c>
      <c r="D105" s="7" t="s">
        <v>458</v>
      </c>
      <c r="E105" s="15">
        <v>0</v>
      </c>
      <c r="F105" s="15">
        <v>0</v>
      </c>
      <c r="G105" s="15">
        <v>0</v>
      </c>
      <c r="H105" s="15">
        <v>0</v>
      </c>
      <c r="I105" s="15">
        <v>0</v>
      </c>
      <c r="J105" s="15">
        <v>0</v>
      </c>
      <c r="K105" s="15">
        <v>0</v>
      </c>
      <c r="L105" s="15">
        <v>0</v>
      </c>
      <c r="M105" s="15">
        <v>0</v>
      </c>
      <c r="N105" s="15">
        <v>0</v>
      </c>
      <c r="O105" s="15">
        <v>0</v>
      </c>
      <c r="P105" s="15">
        <v>0</v>
      </c>
      <c r="Q105" s="15">
        <v>0</v>
      </c>
      <c r="R105" s="15">
        <v>0</v>
      </c>
      <c r="S105" s="15">
        <v>0</v>
      </c>
      <c r="T105" s="15">
        <v>0</v>
      </c>
      <c r="U105" s="15">
        <v>0</v>
      </c>
      <c r="V105" s="15">
        <v>0</v>
      </c>
      <c r="W105" s="15">
        <v>0</v>
      </c>
      <c r="X105" s="15">
        <v>0</v>
      </c>
      <c r="Y105" s="15">
        <v>0</v>
      </c>
      <c r="Z105" s="15">
        <v>97701.8</v>
      </c>
      <c r="AA105" s="15">
        <v>0</v>
      </c>
      <c r="AB105" s="15">
        <v>0</v>
      </c>
      <c r="AC105" s="15">
        <v>0</v>
      </c>
      <c r="AD105" s="15">
        <v>0</v>
      </c>
      <c r="AE105" s="15">
        <v>0</v>
      </c>
      <c r="AF105" s="15">
        <v>0</v>
      </c>
      <c r="AG105" s="15">
        <v>0</v>
      </c>
      <c r="AH105" s="15">
        <v>0</v>
      </c>
      <c r="AI105" s="15">
        <v>0</v>
      </c>
      <c r="AJ105" s="15">
        <v>0</v>
      </c>
      <c r="AK105" s="15">
        <v>0</v>
      </c>
      <c r="AL105" s="15">
        <v>0</v>
      </c>
      <c r="AM105" s="15">
        <v>0</v>
      </c>
      <c r="AN105" s="15">
        <v>0</v>
      </c>
      <c r="AO105" s="15">
        <v>0</v>
      </c>
      <c r="AP105" s="15">
        <v>0</v>
      </c>
      <c r="AQ105" s="15">
        <v>0</v>
      </c>
      <c r="AR105" s="15">
        <v>0</v>
      </c>
      <c r="AS105" s="15">
        <v>0</v>
      </c>
      <c r="AT105" s="15">
        <v>0</v>
      </c>
      <c r="AU105" s="15">
        <v>0</v>
      </c>
      <c r="AV105" s="15">
        <v>0</v>
      </c>
      <c r="AW105" s="15">
        <v>0</v>
      </c>
      <c r="AX105" s="15">
        <v>0</v>
      </c>
      <c r="AY105" s="15">
        <v>0</v>
      </c>
      <c r="AZ105" s="15">
        <v>0</v>
      </c>
      <c r="BA105" s="15">
        <v>0</v>
      </c>
      <c r="BB105" s="15">
        <v>0</v>
      </c>
      <c r="BC105" s="15">
        <v>0</v>
      </c>
      <c r="BD105" s="15">
        <v>0</v>
      </c>
      <c r="BE105" s="15">
        <v>0</v>
      </c>
      <c r="BF105" s="15">
        <f t="shared" si="86"/>
        <v>97701.8</v>
      </c>
      <c r="BG105" s="15">
        <f t="shared" si="87"/>
        <v>0</v>
      </c>
      <c r="BH105" s="15">
        <f t="shared" si="88"/>
        <v>97701.8</v>
      </c>
      <c r="BI105" s="15">
        <f t="shared" si="89"/>
        <v>0</v>
      </c>
    </row>
    <row r="106" spans="2:61" x14ac:dyDescent="0.25">
      <c r="C106" s="7">
        <v>616</v>
      </c>
      <c r="D106" s="7" t="s">
        <v>459</v>
      </c>
      <c r="E106" s="15">
        <v>0</v>
      </c>
      <c r="F106" s="15">
        <v>0</v>
      </c>
      <c r="G106" s="15">
        <v>0</v>
      </c>
      <c r="H106" s="15">
        <v>0</v>
      </c>
      <c r="I106" s="15">
        <v>0</v>
      </c>
      <c r="J106" s="15">
        <v>0</v>
      </c>
      <c r="K106" s="15">
        <v>0</v>
      </c>
      <c r="L106" s="15">
        <v>0</v>
      </c>
      <c r="M106" s="15">
        <v>0</v>
      </c>
      <c r="N106" s="15">
        <v>0</v>
      </c>
      <c r="O106" s="15">
        <v>0</v>
      </c>
      <c r="P106" s="15">
        <v>0</v>
      </c>
      <c r="Q106" s="15">
        <v>0</v>
      </c>
      <c r="R106" s="15">
        <v>0</v>
      </c>
      <c r="S106" s="15">
        <v>0</v>
      </c>
      <c r="T106" s="15">
        <v>0</v>
      </c>
      <c r="U106" s="15">
        <v>0</v>
      </c>
      <c r="V106" s="15">
        <v>0</v>
      </c>
      <c r="W106" s="15">
        <v>0</v>
      </c>
      <c r="X106" s="15">
        <v>0</v>
      </c>
      <c r="Y106" s="15">
        <v>0</v>
      </c>
      <c r="Z106" s="15">
        <v>0</v>
      </c>
      <c r="AA106" s="15">
        <v>0</v>
      </c>
      <c r="AB106" s="15">
        <v>0</v>
      </c>
      <c r="AC106" s="15">
        <v>0</v>
      </c>
      <c r="AD106" s="15">
        <v>0</v>
      </c>
      <c r="AE106" s="15">
        <v>0</v>
      </c>
      <c r="AF106" s="15">
        <v>0</v>
      </c>
      <c r="AG106" s="15">
        <v>0</v>
      </c>
      <c r="AH106" s="15">
        <v>0</v>
      </c>
      <c r="AI106" s="15">
        <v>0</v>
      </c>
      <c r="AJ106" s="15">
        <v>0</v>
      </c>
      <c r="AK106" s="15">
        <v>0</v>
      </c>
      <c r="AL106" s="15">
        <v>0</v>
      </c>
      <c r="AM106" s="15">
        <v>0</v>
      </c>
      <c r="AN106" s="15">
        <v>0</v>
      </c>
      <c r="AO106" s="15">
        <v>0</v>
      </c>
      <c r="AP106" s="15">
        <v>0</v>
      </c>
      <c r="AQ106" s="15">
        <v>0</v>
      </c>
      <c r="AR106" s="15">
        <v>0</v>
      </c>
      <c r="AS106" s="15">
        <v>0</v>
      </c>
      <c r="AT106" s="15">
        <v>0</v>
      </c>
      <c r="AU106" s="15">
        <v>0</v>
      </c>
      <c r="AV106" s="15">
        <v>0</v>
      </c>
      <c r="AW106" s="15">
        <v>0</v>
      </c>
      <c r="AX106" s="15">
        <v>0</v>
      </c>
      <c r="AY106" s="15">
        <v>0</v>
      </c>
      <c r="AZ106" s="15">
        <v>0</v>
      </c>
      <c r="BA106" s="15">
        <v>0</v>
      </c>
      <c r="BB106" s="15">
        <v>0</v>
      </c>
      <c r="BC106" s="15">
        <v>0</v>
      </c>
      <c r="BD106" s="15">
        <v>-30763.8</v>
      </c>
      <c r="BE106" s="15">
        <v>0</v>
      </c>
      <c r="BF106" s="15">
        <f t="shared" si="86"/>
        <v>-30763.8</v>
      </c>
      <c r="BG106" s="15">
        <f t="shared" si="87"/>
        <v>0</v>
      </c>
      <c r="BH106" s="15">
        <f t="shared" si="88"/>
        <v>0</v>
      </c>
      <c r="BI106" s="15">
        <f t="shared" si="89"/>
        <v>-30763.8</v>
      </c>
    </row>
    <row r="107" spans="2:61" x14ac:dyDescent="0.25">
      <c r="C107" s="7">
        <v>619</v>
      </c>
      <c r="D107" s="7" t="s">
        <v>460</v>
      </c>
      <c r="E107" s="15">
        <v>0</v>
      </c>
      <c r="F107" s="15">
        <v>0</v>
      </c>
      <c r="G107" s="15">
        <v>0</v>
      </c>
      <c r="H107" s="15">
        <v>0</v>
      </c>
      <c r="I107" s="15">
        <v>0</v>
      </c>
      <c r="J107" s="15">
        <v>0</v>
      </c>
      <c r="K107" s="15">
        <v>0</v>
      </c>
      <c r="L107" s="15">
        <v>0</v>
      </c>
      <c r="M107" s="15">
        <v>0</v>
      </c>
      <c r="N107" s="15">
        <v>0</v>
      </c>
      <c r="O107" s="15">
        <v>0</v>
      </c>
      <c r="P107" s="15">
        <v>0</v>
      </c>
      <c r="Q107" s="15">
        <v>0</v>
      </c>
      <c r="R107" s="15">
        <v>0</v>
      </c>
      <c r="S107" s="15">
        <v>0</v>
      </c>
      <c r="T107" s="15">
        <v>0</v>
      </c>
      <c r="U107" s="15">
        <v>0</v>
      </c>
      <c r="V107" s="15">
        <v>0</v>
      </c>
      <c r="W107" s="15">
        <v>0</v>
      </c>
      <c r="X107" s="15">
        <v>0</v>
      </c>
      <c r="Y107" s="15">
        <v>0</v>
      </c>
      <c r="Z107" s="15">
        <v>0</v>
      </c>
      <c r="AA107" s="15">
        <v>0</v>
      </c>
      <c r="AB107" s="15">
        <v>0</v>
      </c>
      <c r="AC107" s="15">
        <v>0</v>
      </c>
      <c r="AD107" s="15">
        <v>0</v>
      </c>
      <c r="AE107" s="15">
        <v>0</v>
      </c>
      <c r="AF107" s="15">
        <v>0</v>
      </c>
      <c r="AG107" s="15">
        <v>0</v>
      </c>
      <c r="AH107" s="15">
        <v>0</v>
      </c>
      <c r="AI107" s="15">
        <v>0</v>
      </c>
      <c r="AJ107" s="15">
        <v>0</v>
      </c>
      <c r="AK107" s="15">
        <v>0</v>
      </c>
      <c r="AL107" s="15">
        <v>0</v>
      </c>
      <c r="AM107" s="15">
        <v>0</v>
      </c>
      <c r="AN107" s="15">
        <v>0</v>
      </c>
      <c r="AO107" s="15">
        <v>0</v>
      </c>
      <c r="AP107" s="15">
        <v>0</v>
      </c>
      <c r="AQ107" s="15">
        <v>0</v>
      </c>
      <c r="AR107" s="15">
        <v>0</v>
      </c>
      <c r="AS107" s="15">
        <v>0</v>
      </c>
      <c r="AT107" s="15">
        <v>0</v>
      </c>
      <c r="AU107" s="15">
        <v>0</v>
      </c>
      <c r="AV107" s="15">
        <v>0</v>
      </c>
      <c r="AW107" s="15">
        <v>0</v>
      </c>
      <c r="AX107" s="15">
        <v>0</v>
      </c>
      <c r="AY107" s="15">
        <v>0</v>
      </c>
      <c r="AZ107" s="15">
        <v>0</v>
      </c>
      <c r="BA107" s="15">
        <v>0</v>
      </c>
      <c r="BB107" s="15">
        <v>0</v>
      </c>
      <c r="BC107" s="15">
        <v>0</v>
      </c>
      <c r="BD107" s="15">
        <v>0</v>
      </c>
      <c r="BE107" s="15">
        <v>0</v>
      </c>
      <c r="BF107" s="15">
        <f t="shared" si="86"/>
        <v>0</v>
      </c>
      <c r="BG107" s="15">
        <f t="shared" si="87"/>
        <v>0</v>
      </c>
      <c r="BH107" s="15">
        <f t="shared" si="88"/>
        <v>0</v>
      </c>
      <c r="BI107" s="15">
        <f t="shared" si="89"/>
        <v>0</v>
      </c>
    </row>
    <row r="108" spans="2:61" x14ac:dyDescent="0.2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c r="BI108" s="15"/>
    </row>
    <row r="109" spans="2:61" x14ac:dyDescent="0.25">
      <c r="B109" s="128">
        <v>62</v>
      </c>
      <c r="C109" s="128"/>
      <c r="D109" s="128" t="s">
        <v>481</v>
      </c>
      <c r="E109" s="175">
        <f>E110+E111+E112</f>
        <v>0</v>
      </c>
      <c r="F109" s="175">
        <f t="shared" ref="F109:BI109" si="90">F110+F111+F112</f>
        <v>0</v>
      </c>
      <c r="G109" s="175">
        <f t="shared" si="90"/>
        <v>0</v>
      </c>
      <c r="H109" s="175">
        <f t="shared" si="90"/>
        <v>0</v>
      </c>
      <c r="I109" s="175">
        <f t="shared" si="90"/>
        <v>0</v>
      </c>
      <c r="J109" s="175">
        <f t="shared" si="90"/>
        <v>17922.849999999999</v>
      </c>
      <c r="K109" s="175">
        <f t="shared" si="90"/>
        <v>0</v>
      </c>
      <c r="L109" s="175">
        <f t="shared" si="90"/>
        <v>0</v>
      </c>
      <c r="M109" s="175">
        <f t="shared" si="90"/>
        <v>0</v>
      </c>
      <c r="N109" s="175">
        <f t="shared" si="90"/>
        <v>0</v>
      </c>
      <c r="O109" s="175">
        <f t="shared" si="90"/>
        <v>0</v>
      </c>
      <c r="P109" s="175">
        <f t="shared" si="90"/>
        <v>0</v>
      </c>
      <c r="Q109" s="175">
        <f t="shared" si="90"/>
        <v>0</v>
      </c>
      <c r="R109" s="175">
        <f t="shared" si="90"/>
        <v>0</v>
      </c>
      <c r="S109" s="175">
        <f t="shared" si="90"/>
        <v>0</v>
      </c>
      <c r="T109" s="175">
        <f t="shared" si="90"/>
        <v>0</v>
      </c>
      <c r="U109" s="175">
        <f t="shared" si="90"/>
        <v>0</v>
      </c>
      <c r="V109" s="175">
        <f t="shared" si="90"/>
        <v>0</v>
      </c>
      <c r="W109" s="175">
        <f t="shared" si="90"/>
        <v>0</v>
      </c>
      <c r="X109" s="175">
        <f t="shared" si="90"/>
        <v>0</v>
      </c>
      <c r="Y109" s="175">
        <f t="shared" si="90"/>
        <v>0</v>
      </c>
      <c r="Z109" s="175">
        <f t="shared" si="90"/>
        <v>0</v>
      </c>
      <c r="AA109" s="175">
        <f t="shared" si="90"/>
        <v>0</v>
      </c>
      <c r="AB109" s="175">
        <f t="shared" si="90"/>
        <v>0</v>
      </c>
      <c r="AC109" s="175">
        <f t="shared" si="90"/>
        <v>0</v>
      </c>
      <c r="AD109" s="175">
        <f t="shared" si="90"/>
        <v>0</v>
      </c>
      <c r="AE109" s="175">
        <f t="shared" si="90"/>
        <v>0</v>
      </c>
      <c r="AF109" s="175">
        <f t="shared" si="90"/>
        <v>0</v>
      </c>
      <c r="AG109" s="175">
        <f t="shared" si="90"/>
        <v>0</v>
      </c>
      <c r="AH109" s="175">
        <f t="shared" si="90"/>
        <v>0</v>
      </c>
      <c r="AI109" s="175">
        <f t="shared" si="90"/>
        <v>0</v>
      </c>
      <c r="AJ109" s="175">
        <f t="shared" si="90"/>
        <v>0</v>
      </c>
      <c r="AK109" s="175">
        <f t="shared" si="90"/>
        <v>0</v>
      </c>
      <c r="AL109" s="175">
        <f t="shared" si="90"/>
        <v>0</v>
      </c>
      <c r="AM109" s="175">
        <f t="shared" si="90"/>
        <v>0</v>
      </c>
      <c r="AN109" s="175">
        <f t="shared" si="90"/>
        <v>0</v>
      </c>
      <c r="AO109" s="175">
        <f t="shared" si="90"/>
        <v>0</v>
      </c>
      <c r="AP109" s="175">
        <f t="shared" si="90"/>
        <v>0</v>
      </c>
      <c r="AQ109" s="175">
        <f t="shared" si="90"/>
        <v>0</v>
      </c>
      <c r="AR109" s="175">
        <f t="shared" si="90"/>
        <v>0</v>
      </c>
      <c r="AS109" s="175">
        <f t="shared" si="90"/>
        <v>0</v>
      </c>
      <c r="AT109" s="175">
        <f t="shared" si="90"/>
        <v>0</v>
      </c>
      <c r="AU109" s="175">
        <f t="shared" si="90"/>
        <v>0</v>
      </c>
      <c r="AV109" s="175">
        <f t="shared" si="90"/>
        <v>0</v>
      </c>
      <c r="AW109" s="175">
        <f t="shared" si="90"/>
        <v>0</v>
      </c>
      <c r="AX109" s="175">
        <f t="shared" si="90"/>
        <v>0</v>
      </c>
      <c r="AY109" s="175">
        <f t="shared" si="90"/>
        <v>0</v>
      </c>
      <c r="AZ109" s="175">
        <f t="shared" si="90"/>
        <v>0</v>
      </c>
      <c r="BA109" s="175">
        <f t="shared" si="90"/>
        <v>0</v>
      </c>
      <c r="BB109" s="175">
        <f t="shared" si="90"/>
        <v>0</v>
      </c>
      <c r="BC109" s="175">
        <f t="shared" si="90"/>
        <v>0</v>
      </c>
      <c r="BD109" s="175">
        <f t="shared" si="90"/>
        <v>0</v>
      </c>
      <c r="BE109" s="175">
        <f t="shared" si="90"/>
        <v>0</v>
      </c>
      <c r="BF109" s="175">
        <f t="shared" si="90"/>
        <v>17922.849999999999</v>
      </c>
      <c r="BG109" s="175">
        <f t="shared" si="90"/>
        <v>17922.849999999999</v>
      </c>
      <c r="BH109" s="175">
        <f t="shared" si="90"/>
        <v>0</v>
      </c>
      <c r="BI109" s="175">
        <f t="shared" si="90"/>
        <v>0</v>
      </c>
    </row>
    <row r="110" spans="2:61" x14ac:dyDescent="0.25">
      <c r="C110" s="7">
        <v>620</v>
      </c>
      <c r="D110" s="7" t="s">
        <v>363</v>
      </c>
      <c r="E110" s="15">
        <v>0</v>
      </c>
      <c r="F110" s="15">
        <v>0</v>
      </c>
      <c r="G110" s="15">
        <v>0</v>
      </c>
      <c r="H110" s="15">
        <v>0</v>
      </c>
      <c r="I110" s="15">
        <v>0</v>
      </c>
      <c r="J110" s="15">
        <v>17922.849999999999</v>
      </c>
      <c r="K110" s="15">
        <v>0</v>
      </c>
      <c r="L110" s="15">
        <v>0</v>
      </c>
      <c r="M110" s="15">
        <v>0</v>
      </c>
      <c r="N110" s="15">
        <v>0</v>
      </c>
      <c r="O110" s="15">
        <v>0</v>
      </c>
      <c r="P110" s="15">
        <v>0</v>
      </c>
      <c r="Q110" s="15">
        <v>0</v>
      </c>
      <c r="R110" s="15">
        <v>0</v>
      </c>
      <c r="S110" s="15">
        <v>0</v>
      </c>
      <c r="T110" s="15">
        <v>0</v>
      </c>
      <c r="U110" s="15">
        <v>0</v>
      </c>
      <c r="V110" s="15">
        <v>0</v>
      </c>
      <c r="W110" s="15">
        <v>0</v>
      </c>
      <c r="X110" s="15">
        <v>0</v>
      </c>
      <c r="Y110" s="15">
        <v>0</v>
      </c>
      <c r="Z110" s="15">
        <v>0</v>
      </c>
      <c r="AA110" s="15">
        <v>0</v>
      </c>
      <c r="AB110" s="15">
        <v>0</v>
      </c>
      <c r="AC110" s="15">
        <v>0</v>
      </c>
      <c r="AD110" s="15">
        <v>0</v>
      </c>
      <c r="AE110" s="15">
        <v>0</v>
      </c>
      <c r="AF110" s="15">
        <v>0</v>
      </c>
      <c r="AG110" s="15">
        <v>0</v>
      </c>
      <c r="AH110" s="15">
        <v>0</v>
      </c>
      <c r="AI110" s="15">
        <v>0</v>
      </c>
      <c r="AJ110" s="15">
        <v>0</v>
      </c>
      <c r="AK110" s="15">
        <v>0</v>
      </c>
      <c r="AL110" s="15">
        <v>0</v>
      </c>
      <c r="AM110" s="15">
        <v>0</v>
      </c>
      <c r="AN110" s="15">
        <v>0</v>
      </c>
      <c r="AO110" s="15">
        <v>0</v>
      </c>
      <c r="AP110" s="15">
        <v>0</v>
      </c>
      <c r="AQ110" s="15">
        <v>0</v>
      </c>
      <c r="AR110" s="15">
        <v>0</v>
      </c>
      <c r="AS110" s="15">
        <v>0</v>
      </c>
      <c r="AT110" s="15">
        <v>0</v>
      </c>
      <c r="AU110" s="15">
        <v>0</v>
      </c>
      <c r="AV110" s="15">
        <v>0</v>
      </c>
      <c r="AW110" s="15">
        <v>0</v>
      </c>
      <c r="AX110" s="15">
        <v>0</v>
      </c>
      <c r="AY110" s="15">
        <v>0</v>
      </c>
      <c r="AZ110" s="15">
        <v>0</v>
      </c>
      <c r="BA110" s="15">
        <v>0</v>
      </c>
      <c r="BB110" s="15">
        <v>0</v>
      </c>
      <c r="BC110" s="15">
        <v>0</v>
      </c>
      <c r="BD110" s="15">
        <v>0</v>
      </c>
      <c r="BE110" s="15">
        <v>0</v>
      </c>
      <c r="BF110" s="15">
        <f t="shared" ref="BF110:BF112" si="91">SUM(E110:BE110)</f>
        <v>17922.849999999999</v>
      </c>
      <c r="BG110" s="15">
        <f t="shared" ref="BG110:BG112" si="92">SUM(E110:W110)</f>
        <v>17922.849999999999</v>
      </c>
      <c r="BH110" s="15">
        <f t="shared" ref="BH110:BH112" si="93">SUM(X110:AJ110)</f>
        <v>0</v>
      </c>
      <c r="BI110" s="15">
        <f t="shared" ref="BI110:BI112" si="94">SUM(AK110:BE110)</f>
        <v>0</v>
      </c>
    </row>
    <row r="111" spans="2:61" x14ac:dyDescent="0.25">
      <c r="C111" s="7">
        <v>621</v>
      </c>
      <c r="D111" s="7" t="s">
        <v>364</v>
      </c>
      <c r="E111" s="15">
        <v>0</v>
      </c>
      <c r="F111" s="15">
        <v>0</v>
      </c>
      <c r="G111" s="15">
        <v>0</v>
      </c>
      <c r="H111" s="15">
        <v>0</v>
      </c>
      <c r="I111" s="15">
        <v>0</v>
      </c>
      <c r="J111" s="15">
        <v>0</v>
      </c>
      <c r="K111" s="15">
        <v>0</v>
      </c>
      <c r="L111" s="15">
        <v>0</v>
      </c>
      <c r="M111" s="15">
        <v>0</v>
      </c>
      <c r="N111" s="15">
        <v>0</v>
      </c>
      <c r="O111" s="15">
        <v>0</v>
      </c>
      <c r="P111" s="15">
        <v>0</v>
      </c>
      <c r="Q111" s="15">
        <v>0</v>
      </c>
      <c r="R111" s="15">
        <v>0</v>
      </c>
      <c r="S111" s="15">
        <v>0</v>
      </c>
      <c r="T111" s="15">
        <v>0</v>
      </c>
      <c r="U111" s="15">
        <v>0</v>
      </c>
      <c r="V111" s="15">
        <v>0</v>
      </c>
      <c r="W111" s="15">
        <v>0</v>
      </c>
      <c r="X111" s="15">
        <v>0</v>
      </c>
      <c r="Y111" s="15">
        <v>0</v>
      </c>
      <c r="Z111" s="15">
        <v>0</v>
      </c>
      <c r="AA111" s="15">
        <v>0</v>
      </c>
      <c r="AB111" s="15">
        <v>0</v>
      </c>
      <c r="AC111" s="15">
        <v>0</v>
      </c>
      <c r="AD111" s="15">
        <v>0</v>
      </c>
      <c r="AE111" s="15">
        <v>0</v>
      </c>
      <c r="AF111" s="15">
        <v>0</v>
      </c>
      <c r="AG111" s="15">
        <v>0</v>
      </c>
      <c r="AH111" s="15">
        <v>0</v>
      </c>
      <c r="AI111" s="15">
        <v>0</v>
      </c>
      <c r="AJ111" s="15">
        <v>0</v>
      </c>
      <c r="AK111" s="15">
        <v>0</v>
      </c>
      <c r="AL111" s="15">
        <v>0</v>
      </c>
      <c r="AM111" s="15">
        <v>0</v>
      </c>
      <c r="AN111" s="15">
        <v>0</v>
      </c>
      <c r="AO111" s="15">
        <v>0</v>
      </c>
      <c r="AP111" s="15">
        <v>0</v>
      </c>
      <c r="AQ111" s="15">
        <v>0</v>
      </c>
      <c r="AR111" s="15">
        <v>0</v>
      </c>
      <c r="AS111" s="15">
        <v>0</v>
      </c>
      <c r="AT111" s="15">
        <v>0</v>
      </c>
      <c r="AU111" s="15">
        <v>0</v>
      </c>
      <c r="AV111" s="15">
        <v>0</v>
      </c>
      <c r="AW111" s="15">
        <v>0</v>
      </c>
      <c r="AX111" s="15">
        <v>0</v>
      </c>
      <c r="AY111" s="15">
        <v>0</v>
      </c>
      <c r="AZ111" s="15">
        <v>0</v>
      </c>
      <c r="BA111" s="15">
        <v>0</v>
      </c>
      <c r="BB111" s="15">
        <v>0</v>
      </c>
      <c r="BC111" s="15">
        <v>0</v>
      </c>
      <c r="BD111" s="15">
        <v>0</v>
      </c>
      <c r="BE111" s="15">
        <v>0</v>
      </c>
      <c r="BF111" s="15">
        <f t="shared" si="91"/>
        <v>0</v>
      </c>
      <c r="BG111" s="15">
        <f t="shared" si="92"/>
        <v>0</v>
      </c>
      <c r="BH111" s="15">
        <f t="shared" si="93"/>
        <v>0</v>
      </c>
      <c r="BI111" s="15">
        <f t="shared" si="94"/>
        <v>0</v>
      </c>
    </row>
    <row r="112" spans="2:61" x14ac:dyDescent="0.25">
      <c r="C112" s="7">
        <v>629</v>
      </c>
      <c r="D112" s="7" t="s">
        <v>462</v>
      </c>
      <c r="E112" s="15">
        <v>0</v>
      </c>
      <c r="F112" s="15">
        <v>0</v>
      </c>
      <c r="G112" s="15">
        <v>0</v>
      </c>
      <c r="H112" s="15">
        <v>0</v>
      </c>
      <c r="I112" s="15">
        <v>0</v>
      </c>
      <c r="J112" s="15">
        <v>0</v>
      </c>
      <c r="K112" s="15">
        <v>0</v>
      </c>
      <c r="L112" s="15">
        <v>0</v>
      </c>
      <c r="M112" s="15">
        <v>0</v>
      </c>
      <c r="N112" s="15">
        <v>0</v>
      </c>
      <c r="O112" s="15">
        <v>0</v>
      </c>
      <c r="P112" s="15">
        <v>0</v>
      </c>
      <c r="Q112" s="15">
        <v>0</v>
      </c>
      <c r="R112" s="15">
        <v>0</v>
      </c>
      <c r="S112" s="15">
        <v>0</v>
      </c>
      <c r="T112" s="15">
        <v>0</v>
      </c>
      <c r="U112" s="15">
        <v>0</v>
      </c>
      <c r="V112" s="15">
        <v>0</v>
      </c>
      <c r="W112" s="15">
        <v>0</v>
      </c>
      <c r="X112" s="15">
        <v>0</v>
      </c>
      <c r="Y112" s="15">
        <v>0</v>
      </c>
      <c r="Z112" s="15">
        <v>0</v>
      </c>
      <c r="AA112" s="15">
        <v>0</v>
      </c>
      <c r="AB112" s="15">
        <v>0</v>
      </c>
      <c r="AC112" s="15">
        <v>0</v>
      </c>
      <c r="AD112" s="15">
        <v>0</v>
      </c>
      <c r="AE112" s="15">
        <v>0</v>
      </c>
      <c r="AF112" s="15">
        <v>0</v>
      </c>
      <c r="AG112" s="15">
        <v>0</v>
      </c>
      <c r="AH112" s="15">
        <v>0</v>
      </c>
      <c r="AI112" s="15">
        <v>0</v>
      </c>
      <c r="AJ112" s="15">
        <v>0</v>
      </c>
      <c r="AK112" s="15">
        <v>0</v>
      </c>
      <c r="AL112" s="15">
        <v>0</v>
      </c>
      <c r="AM112" s="15">
        <v>0</v>
      </c>
      <c r="AN112" s="15">
        <v>0</v>
      </c>
      <c r="AO112" s="15">
        <v>0</v>
      </c>
      <c r="AP112" s="15">
        <v>0</v>
      </c>
      <c r="AQ112" s="15">
        <v>0</v>
      </c>
      <c r="AR112" s="15">
        <v>0</v>
      </c>
      <c r="AS112" s="15">
        <v>0</v>
      </c>
      <c r="AT112" s="15">
        <v>0</v>
      </c>
      <c r="AU112" s="15">
        <v>0</v>
      </c>
      <c r="AV112" s="15">
        <v>0</v>
      </c>
      <c r="AW112" s="15">
        <v>0</v>
      </c>
      <c r="AX112" s="15">
        <v>0</v>
      </c>
      <c r="AY112" s="15">
        <v>0</v>
      </c>
      <c r="AZ112" s="15">
        <v>0</v>
      </c>
      <c r="BA112" s="15">
        <v>0</v>
      </c>
      <c r="BB112" s="15">
        <v>0</v>
      </c>
      <c r="BC112" s="15">
        <v>0</v>
      </c>
      <c r="BD112" s="15">
        <v>0</v>
      </c>
      <c r="BE112" s="15">
        <v>0</v>
      </c>
      <c r="BF112" s="15">
        <f t="shared" si="91"/>
        <v>0</v>
      </c>
      <c r="BG112" s="15">
        <f t="shared" si="92"/>
        <v>0</v>
      </c>
      <c r="BH112" s="15">
        <f t="shared" si="93"/>
        <v>0</v>
      </c>
      <c r="BI112" s="15">
        <f t="shared" si="94"/>
        <v>0</v>
      </c>
    </row>
    <row r="113" spans="2:61" x14ac:dyDescent="0.2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row>
    <row r="114" spans="2:61" x14ac:dyDescent="0.25">
      <c r="B114" s="128">
        <v>63</v>
      </c>
      <c r="C114" s="128"/>
      <c r="D114" s="128" t="s">
        <v>728</v>
      </c>
      <c r="E114" s="175">
        <f>E115+E116+E117+E118+E119+E120+E121+E122+E123</f>
        <v>0</v>
      </c>
      <c r="F114" s="175">
        <f t="shared" ref="F114:BI114" si="95">F115+F116+F117+F118+F119+F120+F121+F122+F123</f>
        <v>5829.7</v>
      </c>
      <c r="G114" s="175">
        <f t="shared" si="95"/>
        <v>64996</v>
      </c>
      <c r="H114" s="175">
        <f t="shared" si="95"/>
        <v>0</v>
      </c>
      <c r="I114" s="175">
        <f t="shared" si="95"/>
        <v>13899</v>
      </c>
      <c r="J114" s="175">
        <f t="shared" si="95"/>
        <v>653649.55000000005</v>
      </c>
      <c r="K114" s="175">
        <f t="shared" si="95"/>
        <v>364783.8</v>
      </c>
      <c r="L114" s="175">
        <f t="shared" si="95"/>
        <v>1450229</v>
      </c>
      <c r="M114" s="175">
        <f>M115+M116+M117+M118+M119+M120+M121+M122+M123</f>
        <v>973707.3</v>
      </c>
      <c r="N114" s="175">
        <f t="shared" si="95"/>
        <v>0</v>
      </c>
      <c r="O114" s="175">
        <f t="shared" si="95"/>
        <v>876311.29999999993</v>
      </c>
      <c r="P114" s="175">
        <f t="shared" si="95"/>
        <v>0</v>
      </c>
      <c r="Q114" s="175">
        <f t="shared" si="95"/>
        <v>0</v>
      </c>
      <c r="R114" s="175">
        <f t="shared" si="95"/>
        <v>0</v>
      </c>
      <c r="S114" s="175">
        <f t="shared" si="95"/>
        <v>0</v>
      </c>
      <c r="T114" s="175">
        <f t="shared" si="95"/>
        <v>48700</v>
      </c>
      <c r="U114" s="175">
        <f t="shared" si="95"/>
        <v>3802.9</v>
      </c>
      <c r="V114" s="175">
        <f t="shared" si="95"/>
        <v>3884</v>
      </c>
      <c r="W114" s="175">
        <f t="shared" si="95"/>
        <v>2240477.4000000004</v>
      </c>
      <c r="X114" s="175">
        <f t="shared" si="95"/>
        <v>0</v>
      </c>
      <c r="Y114" s="175">
        <f t="shared" si="95"/>
        <v>128190.35</v>
      </c>
      <c r="Z114" s="175">
        <f t="shared" si="95"/>
        <v>0</v>
      </c>
      <c r="AA114" s="175">
        <f t="shared" si="95"/>
        <v>0</v>
      </c>
      <c r="AB114" s="175">
        <f t="shared" si="95"/>
        <v>0</v>
      </c>
      <c r="AC114" s="175">
        <f t="shared" si="95"/>
        <v>0</v>
      </c>
      <c r="AD114" s="175">
        <f t="shared" si="95"/>
        <v>7500</v>
      </c>
      <c r="AE114" s="175">
        <f t="shared" si="95"/>
        <v>0</v>
      </c>
      <c r="AF114" s="175">
        <f t="shared" si="95"/>
        <v>61998</v>
      </c>
      <c r="AG114" s="175">
        <f t="shared" si="95"/>
        <v>20355</v>
      </c>
      <c r="AH114" s="175">
        <f t="shared" si="95"/>
        <v>136773.35</v>
      </c>
      <c r="AI114" s="175">
        <f t="shared" si="95"/>
        <v>0</v>
      </c>
      <c r="AJ114" s="175">
        <f t="shared" si="95"/>
        <v>0</v>
      </c>
      <c r="AK114" s="175">
        <f t="shared" si="95"/>
        <v>305810</v>
      </c>
      <c r="AL114" s="175">
        <f t="shared" si="95"/>
        <v>16350.6</v>
      </c>
      <c r="AM114" s="175">
        <f t="shared" si="95"/>
        <v>36506.550000000003</v>
      </c>
      <c r="AN114" s="175">
        <f t="shared" si="95"/>
        <v>0</v>
      </c>
      <c r="AO114" s="175">
        <f t="shared" si="95"/>
        <v>194820.34999999998</v>
      </c>
      <c r="AP114" s="175">
        <f t="shared" si="95"/>
        <v>3823.75</v>
      </c>
      <c r="AQ114" s="175">
        <f t="shared" si="95"/>
        <v>72004.649999999994</v>
      </c>
      <c r="AR114" s="175">
        <f t="shared" si="95"/>
        <v>610228.87</v>
      </c>
      <c r="AS114" s="175">
        <f t="shared" si="95"/>
        <v>0</v>
      </c>
      <c r="AT114" s="175">
        <f t="shared" si="95"/>
        <v>0</v>
      </c>
      <c r="AU114" s="175">
        <f t="shared" si="95"/>
        <v>11641</v>
      </c>
      <c r="AV114" s="175">
        <f t="shared" si="95"/>
        <v>142427.79999999999</v>
      </c>
      <c r="AW114" s="175">
        <f t="shared" si="95"/>
        <v>16355</v>
      </c>
      <c r="AX114" s="175">
        <f t="shared" si="95"/>
        <v>0</v>
      </c>
      <c r="AY114" s="175">
        <f t="shared" si="95"/>
        <v>0</v>
      </c>
      <c r="AZ114" s="175">
        <f t="shared" si="95"/>
        <v>0</v>
      </c>
      <c r="BA114" s="175">
        <f t="shared" si="95"/>
        <v>172050</v>
      </c>
      <c r="BB114" s="175">
        <f t="shared" si="95"/>
        <v>98328</v>
      </c>
      <c r="BC114" s="175">
        <f t="shared" si="95"/>
        <v>0</v>
      </c>
      <c r="BD114" s="175">
        <f t="shared" si="95"/>
        <v>560202.69999999995</v>
      </c>
      <c r="BE114" s="175">
        <f t="shared" si="95"/>
        <v>55907</v>
      </c>
      <c r="BF114" s="175">
        <f t="shared" si="95"/>
        <v>9351542.9199999999</v>
      </c>
      <c r="BG114" s="175">
        <f t="shared" si="95"/>
        <v>6700269.9500000002</v>
      </c>
      <c r="BH114" s="175">
        <f t="shared" si="95"/>
        <v>354816.7</v>
      </c>
      <c r="BI114" s="175">
        <f t="shared" si="95"/>
        <v>2296456.27</v>
      </c>
    </row>
    <row r="115" spans="2:61" x14ac:dyDescent="0.25">
      <c r="C115" s="7">
        <v>630</v>
      </c>
      <c r="D115" s="7" t="s">
        <v>463</v>
      </c>
      <c r="E115" s="15">
        <v>0</v>
      </c>
      <c r="F115" s="15">
        <v>0</v>
      </c>
      <c r="G115" s="15">
        <v>0</v>
      </c>
      <c r="H115" s="15">
        <v>0</v>
      </c>
      <c r="I115" s="15">
        <v>0</v>
      </c>
      <c r="J115" s="15">
        <v>0</v>
      </c>
      <c r="K115" s="15">
        <v>0</v>
      </c>
      <c r="L115" s="15">
        <v>1021717.75</v>
      </c>
      <c r="M115" s="15">
        <v>158217.29999999999</v>
      </c>
      <c r="N115" s="15">
        <v>0</v>
      </c>
      <c r="O115" s="15">
        <v>0</v>
      </c>
      <c r="P115" s="15">
        <v>0</v>
      </c>
      <c r="Q115" s="15">
        <v>0</v>
      </c>
      <c r="R115" s="15">
        <v>0</v>
      </c>
      <c r="S115" s="15">
        <v>0</v>
      </c>
      <c r="T115" s="15">
        <v>0</v>
      </c>
      <c r="U115" s="15">
        <v>0</v>
      </c>
      <c r="V115" s="15">
        <v>0</v>
      </c>
      <c r="W115" s="15">
        <v>1576175.85</v>
      </c>
      <c r="X115" s="15">
        <v>0</v>
      </c>
      <c r="Y115" s="15">
        <v>0</v>
      </c>
      <c r="Z115" s="15">
        <v>0</v>
      </c>
      <c r="AA115" s="15">
        <v>0</v>
      </c>
      <c r="AB115" s="15">
        <v>0</v>
      </c>
      <c r="AC115" s="15">
        <v>0</v>
      </c>
      <c r="AD115" s="15">
        <v>0</v>
      </c>
      <c r="AE115" s="15">
        <v>0</v>
      </c>
      <c r="AF115" s="15">
        <v>0</v>
      </c>
      <c r="AG115" s="15">
        <v>0</v>
      </c>
      <c r="AH115" s="15">
        <v>0</v>
      </c>
      <c r="AI115" s="15">
        <v>0</v>
      </c>
      <c r="AJ115" s="15">
        <v>0</v>
      </c>
      <c r="AK115" s="15">
        <v>0</v>
      </c>
      <c r="AL115" s="15">
        <v>0</v>
      </c>
      <c r="AM115" s="15">
        <v>0</v>
      </c>
      <c r="AN115" s="15">
        <v>0</v>
      </c>
      <c r="AO115" s="15">
        <v>19833.7</v>
      </c>
      <c r="AP115" s="15">
        <v>0</v>
      </c>
      <c r="AQ115" s="15">
        <v>0</v>
      </c>
      <c r="AR115" s="15">
        <v>80067</v>
      </c>
      <c r="AS115" s="15">
        <v>0</v>
      </c>
      <c r="AT115" s="15">
        <v>0</v>
      </c>
      <c r="AU115" s="15">
        <v>0</v>
      </c>
      <c r="AV115" s="15">
        <v>0</v>
      </c>
      <c r="AW115" s="15">
        <v>0</v>
      </c>
      <c r="AX115" s="15">
        <v>0</v>
      </c>
      <c r="AY115" s="15">
        <v>0</v>
      </c>
      <c r="AZ115" s="15">
        <v>0</v>
      </c>
      <c r="BA115" s="15">
        <v>0</v>
      </c>
      <c r="BB115" s="15">
        <v>0</v>
      </c>
      <c r="BC115" s="15">
        <v>0</v>
      </c>
      <c r="BD115" s="15">
        <v>0</v>
      </c>
      <c r="BE115" s="15">
        <v>0</v>
      </c>
      <c r="BF115" s="15">
        <f t="shared" ref="BF115:BF123" si="96">SUM(E115:BE115)</f>
        <v>2856011.6000000006</v>
      </c>
      <c r="BG115" s="15">
        <f t="shared" ref="BG115:BG123" si="97">SUM(E115:W115)</f>
        <v>2756110.9000000004</v>
      </c>
      <c r="BH115" s="15">
        <f t="shared" ref="BH115:BH123" si="98">SUM(X115:AJ115)</f>
        <v>0</v>
      </c>
      <c r="BI115" s="15">
        <f t="shared" ref="BI115:BI124" si="99">SUM(AK115:BE115)</f>
        <v>99900.7</v>
      </c>
    </row>
    <row r="116" spans="2:61" x14ac:dyDescent="0.25">
      <c r="C116" s="7">
        <v>631</v>
      </c>
      <c r="D116" s="7" t="s">
        <v>464</v>
      </c>
      <c r="E116" s="15">
        <v>0</v>
      </c>
      <c r="F116" s="15">
        <v>5829.7</v>
      </c>
      <c r="G116" s="15">
        <v>64996</v>
      </c>
      <c r="H116" s="15">
        <v>0</v>
      </c>
      <c r="I116" s="15">
        <v>13899</v>
      </c>
      <c r="J116" s="15">
        <v>233289</v>
      </c>
      <c r="K116" s="15">
        <v>79601.55</v>
      </c>
      <c r="L116" s="15">
        <v>396511.25</v>
      </c>
      <c r="M116" s="15">
        <v>195490</v>
      </c>
      <c r="N116" s="15">
        <v>0</v>
      </c>
      <c r="O116" s="15">
        <v>747395.95</v>
      </c>
      <c r="P116" s="15">
        <v>0</v>
      </c>
      <c r="Q116" s="15">
        <v>0</v>
      </c>
      <c r="R116" s="15">
        <v>0</v>
      </c>
      <c r="S116" s="15">
        <v>0</v>
      </c>
      <c r="T116" s="15">
        <v>8700</v>
      </c>
      <c r="U116" s="15">
        <v>3802.9</v>
      </c>
      <c r="V116" s="15">
        <v>0</v>
      </c>
      <c r="W116" s="15">
        <v>324051.55</v>
      </c>
      <c r="X116" s="15">
        <v>0</v>
      </c>
      <c r="Y116" s="15">
        <v>74723.3</v>
      </c>
      <c r="Z116" s="15">
        <v>0</v>
      </c>
      <c r="AA116" s="15">
        <v>0</v>
      </c>
      <c r="AB116" s="15">
        <v>0</v>
      </c>
      <c r="AC116" s="15">
        <v>0</v>
      </c>
      <c r="AD116" s="15">
        <v>7500</v>
      </c>
      <c r="AE116" s="15">
        <v>0</v>
      </c>
      <c r="AF116" s="15">
        <v>61998</v>
      </c>
      <c r="AG116" s="15">
        <v>20355</v>
      </c>
      <c r="AH116" s="15">
        <v>125821.35</v>
      </c>
      <c r="AI116" s="15">
        <v>0</v>
      </c>
      <c r="AJ116" s="15">
        <v>0</v>
      </c>
      <c r="AK116" s="15">
        <v>305610</v>
      </c>
      <c r="AL116" s="15">
        <v>16350.6</v>
      </c>
      <c r="AM116" s="15">
        <v>24065.3</v>
      </c>
      <c r="AN116" s="15">
        <v>0</v>
      </c>
      <c r="AO116" s="15">
        <v>108500.15</v>
      </c>
      <c r="AP116" s="15">
        <v>3823.75</v>
      </c>
      <c r="AQ116" s="15">
        <v>13579.4</v>
      </c>
      <c r="AR116" s="15">
        <v>256788</v>
      </c>
      <c r="AS116" s="15">
        <v>0</v>
      </c>
      <c r="AT116" s="15">
        <v>0</v>
      </c>
      <c r="AU116" s="15">
        <v>11641</v>
      </c>
      <c r="AV116" s="15">
        <v>142427.79999999999</v>
      </c>
      <c r="AW116" s="15">
        <v>16355</v>
      </c>
      <c r="AX116" s="15">
        <v>0</v>
      </c>
      <c r="AY116" s="15">
        <v>0</v>
      </c>
      <c r="AZ116" s="15">
        <v>0</v>
      </c>
      <c r="BA116" s="15">
        <v>22050</v>
      </c>
      <c r="BB116" s="15">
        <v>98328</v>
      </c>
      <c r="BC116" s="15">
        <v>0</v>
      </c>
      <c r="BD116" s="15">
        <v>507202.7</v>
      </c>
      <c r="BE116" s="15">
        <v>55907</v>
      </c>
      <c r="BF116" s="15">
        <f t="shared" si="96"/>
        <v>3946593.2499999995</v>
      </c>
      <c r="BG116" s="15">
        <f t="shared" si="97"/>
        <v>2073566.9</v>
      </c>
      <c r="BH116" s="15">
        <f t="shared" si="98"/>
        <v>290397.65000000002</v>
      </c>
      <c r="BI116" s="15">
        <f t="shared" si="99"/>
        <v>1582628.7</v>
      </c>
    </row>
    <row r="117" spans="2:61" x14ac:dyDescent="0.25">
      <c r="C117" s="7">
        <v>632</v>
      </c>
      <c r="D117" s="7" t="s">
        <v>465</v>
      </c>
      <c r="E117" s="15">
        <v>0</v>
      </c>
      <c r="F117" s="15">
        <v>0</v>
      </c>
      <c r="G117" s="15">
        <v>0</v>
      </c>
      <c r="H117" s="15">
        <v>0</v>
      </c>
      <c r="I117" s="15">
        <v>0</v>
      </c>
      <c r="J117" s="15">
        <v>0</v>
      </c>
      <c r="K117" s="15">
        <v>0</v>
      </c>
      <c r="L117" s="15">
        <v>0</v>
      </c>
      <c r="M117" s="15">
        <v>0</v>
      </c>
      <c r="N117" s="15">
        <v>0</v>
      </c>
      <c r="O117" s="15">
        <v>3250</v>
      </c>
      <c r="P117" s="15">
        <v>0</v>
      </c>
      <c r="Q117" s="15">
        <v>0</v>
      </c>
      <c r="R117" s="15">
        <v>0</v>
      </c>
      <c r="S117" s="15">
        <v>0</v>
      </c>
      <c r="T117" s="15">
        <v>0</v>
      </c>
      <c r="U117" s="15">
        <v>0</v>
      </c>
      <c r="V117" s="15">
        <v>0</v>
      </c>
      <c r="W117" s="15">
        <v>330250</v>
      </c>
      <c r="X117" s="15">
        <v>0</v>
      </c>
      <c r="Y117" s="15">
        <v>16222.85</v>
      </c>
      <c r="Z117" s="15">
        <v>0</v>
      </c>
      <c r="AA117" s="15">
        <v>0</v>
      </c>
      <c r="AB117" s="15">
        <v>0</v>
      </c>
      <c r="AC117" s="15">
        <v>0</v>
      </c>
      <c r="AD117" s="15">
        <v>0</v>
      </c>
      <c r="AE117" s="15">
        <v>0</v>
      </c>
      <c r="AF117" s="15">
        <v>0</v>
      </c>
      <c r="AG117" s="15">
        <v>0</v>
      </c>
      <c r="AH117" s="15">
        <v>0</v>
      </c>
      <c r="AI117" s="15">
        <v>0</v>
      </c>
      <c r="AJ117" s="15">
        <v>0</v>
      </c>
      <c r="AK117" s="15">
        <v>0</v>
      </c>
      <c r="AL117" s="15">
        <v>0</v>
      </c>
      <c r="AM117" s="15">
        <v>12441.25</v>
      </c>
      <c r="AN117" s="15">
        <v>0</v>
      </c>
      <c r="AO117" s="15">
        <v>0</v>
      </c>
      <c r="AP117" s="15">
        <v>0</v>
      </c>
      <c r="AQ117" s="15">
        <v>0</v>
      </c>
      <c r="AR117" s="15">
        <v>0</v>
      </c>
      <c r="AS117" s="15">
        <v>0</v>
      </c>
      <c r="AT117" s="15">
        <v>0</v>
      </c>
      <c r="AU117" s="15">
        <v>0</v>
      </c>
      <c r="AV117" s="15">
        <v>0</v>
      </c>
      <c r="AW117" s="15">
        <v>0</v>
      </c>
      <c r="AX117" s="15">
        <v>0</v>
      </c>
      <c r="AY117" s="15">
        <v>0</v>
      </c>
      <c r="AZ117" s="15">
        <v>0</v>
      </c>
      <c r="BA117" s="15">
        <v>0</v>
      </c>
      <c r="BB117" s="15">
        <v>0</v>
      </c>
      <c r="BC117" s="15">
        <v>0</v>
      </c>
      <c r="BD117" s="15">
        <v>22000</v>
      </c>
      <c r="BE117" s="15">
        <v>0</v>
      </c>
      <c r="BF117" s="15">
        <f t="shared" si="96"/>
        <v>384164.1</v>
      </c>
      <c r="BG117" s="15">
        <f t="shared" si="97"/>
        <v>333500</v>
      </c>
      <c r="BH117" s="15">
        <f t="shared" si="98"/>
        <v>16222.85</v>
      </c>
      <c r="BI117" s="15">
        <f t="shared" si="99"/>
        <v>34441.25</v>
      </c>
    </row>
    <row r="118" spans="2:61" x14ac:dyDescent="0.25">
      <c r="C118" s="7">
        <v>633</v>
      </c>
      <c r="D118" s="7" t="s">
        <v>466</v>
      </c>
      <c r="E118" s="15">
        <v>0</v>
      </c>
      <c r="F118" s="15">
        <v>0</v>
      </c>
      <c r="G118" s="15">
        <v>0</v>
      </c>
      <c r="H118" s="15">
        <v>0</v>
      </c>
      <c r="I118" s="15">
        <v>0</v>
      </c>
      <c r="J118" s="15">
        <v>0</v>
      </c>
      <c r="K118" s="15">
        <v>0</v>
      </c>
      <c r="L118" s="15">
        <v>0</v>
      </c>
      <c r="M118" s="15">
        <v>0</v>
      </c>
      <c r="N118" s="15">
        <v>0</v>
      </c>
      <c r="O118" s="15">
        <v>0</v>
      </c>
      <c r="P118" s="15">
        <v>0</v>
      </c>
      <c r="Q118" s="15">
        <v>0</v>
      </c>
      <c r="R118" s="15">
        <v>0</v>
      </c>
      <c r="S118" s="15">
        <v>0</v>
      </c>
      <c r="T118" s="15">
        <v>0</v>
      </c>
      <c r="U118" s="15">
        <v>0</v>
      </c>
      <c r="V118" s="15">
        <v>0</v>
      </c>
      <c r="W118" s="15">
        <v>0</v>
      </c>
      <c r="X118" s="15">
        <v>0</v>
      </c>
      <c r="Y118" s="15">
        <v>0</v>
      </c>
      <c r="Z118" s="15">
        <v>0</v>
      </c>
      <c r="AA118" s="15">
        <v>0</v>
      </c>
      <c r="AB118" s="15">
        <v>0</v>
      </c>
      <c r="AC118" s="15">
        <v>0</v>
      </c>
      <c r="AD118" s="15">
        <v>0</v>
      </c>
      <c r="AE118" s="15">
        <v>0</v>
      </c>
      <c r="AF118" s="15">
        <v>0</v>
      </c>
      <c r="AG118" s="15">
        <v>0</v>
      </c>
      <c r="AH118" s="15">
        <v>0</v>
      </c>
      <c r="AI118" s="15">
        <v>0</v>
      </c>
      <c r="AJ118" s="15">
        <v>0</v>
      </c>
      <c r="AK118" s="15">
        <v>0</v>
      </c>
      <c r="AL118" s="15">
        <v>0</v>
      </c>
      <c r="AM118" s="15">
        <v>0</v>
      </c>
      <c r="AN118" s="15">
        <v>0</v>
      </c>
      <c r="AO118" s="15">
        <v>0</v>
      </c>
      <c r="AP118" s="15">
        <v>0</v>
      </c>
      <c r="AQ118" s="15">
        <v>0</v>
      </c>
      <c r="AR118" s="15">
        <v>0</v>
      </c>
      <c r="AS118" s="15">
        <v>0</v>
      </c>
      <c r="AT118" s="15">
        <v>0</v>
      </c>
      <c r="AU118" s="15">
        <v>0</v>
      </c>
      <c r="AV118" s="15">
        <v>0</v>
      </c>
      <c r="AW118" s="15">
        <v>0</v>
      </c>
      <c r="AX118" s="15">
        <v>0</v>
      </c>
      <c r="AY118" s="15">
        <v>0</v>
      </c>
      <c r="AZ118" s="15">
        <v>0</v>
      </c>
      <c r="BA118" s="15">
        <v>0</v>
      </c>
      <c r="BB118" s="15">
        <v>0</v>
      </c>
      <c r="BC118" s="15">
        <v>0</v>
      </c>
      <c r="BD118" s="15">
        <v>0</v>
      </c>
      <c r="BE118" s="15">
        <v>0</v>
      </c>
      <c r="BF118" s="15">
        <f t="shared" si="96"/>
        <v>0</v>
      </c>
      <c r="BG118" s="15">
        <f t="shared" si="97"/>
        <v>0</v>
      </c>
      <c r="BH118" s="15">
        <f t="shared" si="98"/>
        <v>0</v>
      </c>
      <c r="BI118" s="15">
        <f t="shared" si="99"/>
        <v>0</v>
      </c>
    </row>
    <row r="119" spans="2:61" x14ac:dyDescent="0.25">
      <c r="C119" s="7">
        <v>634</v>
      </c>
      <c r="D119" s="7" t="s">
        <v>467</v>
      </c>
      <c r="E119" s="15">
        <v>0</v>
      </c>
      <c r="F119" s="15">
        <v>0</v>
      </c>
      <c r="G119" s="15">
        <v>0</v>
      </c>
      <c r="H119" s="15">
        <v>0</v>
      </c>
      <c r="I119" s="15">
        <v>0</v>
      </c>
      <c r="J119" s="15">
        <v>34265.550000000003</v>
      </c>
      <c r="K119" s="15">
        <v>0</v>
      </c>
      <c r="L119" s="15">
        <v>0</v>
      </c>
      <c r="M119" s="15">
        <v>0</v>
      </c>
      <c r="N119" s="15">
        <v>0</v>
      </c>
      <c r="O119" s="15">
        <v>100000</v>
      </c>
      <c r="P119" s="15">
        <v>0</v>
      </c>
      <c r="Q119" s="15">
        <v>0</v>
      </c>
      <c r="R119" s="15">
        <v>0</v>
      </c>
      <c r="S119" s="15">
        <v>0</v>
      </c>
      <c r="T119" s="15">
        <v>0</v>
      </c>
      <c r="U119" s="15">
        <v>0</v>
      </c>
      <c r="V119" s="15">
        <v>0</v>
      </c>
      <c r="W119" s="15">
        <v>0</v>
      </c>
      <c r="X119" s="15">
        <v>0</v>
      </c>
      <c r="Y119" s="15">
        <v>0</v>
      </c>
      <c r="Z119" s="15">
        <v>0</v>
      </c>
      <c r="AA119" s="15">
        <v>0</v>
      </c>
      <c r="AB119" s="15">
        <v>0</v>
      </c>
      <c r="AC119" s="15">
        <v>0</v>
      </c>
      <c r="AD119" s="15">
        <v>0</v>
      </c>
      <c r="AE119" s="15">
        <v>0</v>
      </c>
      <c r="AF119" s="15">
        <v>0</v>
      </c>
      <c r="AG119" s="15">
        <v>0</v>
      </c>
      <c r="AH119" s="15">
        <v>10952</v>
      </c>
      <c r="AI119" s="15">
        <v>0</v>
      </c>
      <c r="AJ119" s="15">
        <v>0</v>
      </c>
      <c r="AK119" s="15">
        <v>0</v>
      </c>
      <c r="AL119" s="15">
        <v>0</v>
      </c>
      <c r="AM119" s="15">
        <v>0</v>
      </c>
      <c r="AN119" s="15">
        <v>0</v>
      </c>
      <c r="AO119" s="15">
        <v>66486.5</v>
      </c>
      <c r="AP119" s="15">
        <v>0</v>
      </c>
      <c r="AQ119" s="15">
        <v>0</v>
      </c>
      <c r="AR119" s="15">
        <v>0</v>
      </c>
      <c r="AS119" s="15">
        <v>0</v>
      </c>
      <c r="AT119" s="15">
        <v>0</v>
      </c>
      <c r="AU119" s="15">
        <v>0</v>
      </c>
      <c r="AV119" s="15">
        <v>0</v>
      </c>
      <c r="AW119" s="15">
        <v>0</v>
      </c>
      <c r="AX119" s="15">
        <v>0</v>
      </c>
      <c r="AY119" s="15">
        <v>0</v>
      </c>
      <c r="AZ119" s="15">
        <v>0</v>
      </c>
      <c r="BA119" s="15">
        <v>0</v>
      </c>
      <c r="BB119" s="15">
        <v>0</v>
      </c>
      <c r="BC119" s="15">
        <v>0</v>
      </c>
      <c r="BD119" s="15">
        <v>0</v>
      </c>
      <c r="BE119" s="15">
        <v>0</v>
      </c>
      <c r="BF119" s="15">
        <f t="shared" si="96"/>
        <v>211704.05</v>
      </c>
      <c r="BG119" s="15">
        <f t="shared" si="97"/>
        <v>134265.54999999999</v>
      </c>
      <c r="BH119" s="15">
        <f t="shared" si="98"/>
        <v>10952</v>
      </c>
      <c r="BI119" s="15">
        <f t="shared" si="99"/>
        <v>66486.5</v>
      </c>
    </row>
    <row r="120" spans="2:61" x14ac:dyDescent="0.25">
      <c r="C120" s="7">
        <v>635</v>
      </c>
      <c r="D120" s="7" t="s">
        <v>468</v>
      </c>
      <c r="E120" s="15">
        <v>0</v>
      </c>
      <c r="F120" s="15">
        <v>0</v>
      </c>
      <c r="G120" s="15">
        <v>0</v>
      </c>
      <c r="H120" s="15">
        <v>0</v>
      </c>
      <c r="I120" s="15">
        <v>0</v>
      </c>
      <c r="J120" s="15">
        <v>200000</v>
      </c>
      <c r="K120" s="15">
        <v>0</v>
      </c>
      <c r="L120" s="15">
        <v>25000</v>
      </c>
      <c r="M120" s="15">
        <v>0</v>
      </c>
      <c r="N120" s="15">
        <v>0</v>
      </c>
      <c r="O120" s="15">
        <v>19000</v>
      </c>
      <c r="P120" s="15">
        <v>0</v>
      </c>
      <c r="Q120" s="15">
        <v>0</v>
      </c>
      <c r="R120" s="15">
        <v>0</v>
      </c>
      <c r="S120" s="15">
        <v>0</v>
      </c>
      <c r="T120" s="15">
        <v>0</v>
      </c>
      <c r="U120" s="15">
        <v>0</v>
      </c>
      <c r="V120" s="15">
        <v>0</v>
      </c>
      <c r="W120" s="15">
        <v>0</v>
      </c>
      <c r="X120" s="15">
        <v>0</v>
      </c>
      <c r="Y120" s="15">
        <v>7779</v>
      </c>
      <c r="Z120" s="15">
        <v>0</v>
      </c>
      <c r="AA120" s="15">
        <v>0</v>
      </c>
      <c r="AB120" s="15">
        <v>0</v>
      </c>
      <c r="AC120" s="15">
        <v>0</v>
      </c>
      <c r="AD120" s="15">
        <v>0</v>
      </c>
      <c r="AE120" s="15">
        <v>0</v>
      </c>
      <c r="AF120" s="15">
        <v>0</v>
      </c>
      <c r="AG120" s="15">
        <v>0</v>
      </c>
      <c r="AH120" s="15">
        <v>0</v>
      </c>
      <c r="AI120" s="15">
        <v>0</v>
      </c>
      <c r="AJ120" s="15">
        <v>0</v>
      </c>
      <c r="AK120" s="15">
        <v>0</v>
      </c>
      <c r="AL120" s="15">
        <v>0</v>
      </c>
      <c r="AM120" s="15">
        <v>0</v>
      </c>
      <c r="AN120" s="15">
        <v>0</v>
      </c>
      <c r="AO120" s="15">
        <v>0</v>
      </c>
      <c r="AP120" s="15">
        <v>0</v>
      </c>
      <c r="AQ120" s="15">
        <v>0</v>
      </c>
      <c r="AR120" s="15">
        <v>0</v>
      </c>
      <c r="AS120" s="15">
        <v>0</v>
      </c>
      <c r="AT120" s="15">
        <v>0</v>
      </c>
      <c r="AU120" s="15">
        <v>0</v>
      </c>
      <c r="AV120" s="15">
        <v>0</v>
      </c>
      <c r="AW120" s="15">
        <v>0</v>
      </c>
      <c r="AX120" s="15">
        <v>0</v>
      </c>
      <c r="AY120" s="15">
        <v>0</v>
      </c>
      <c r="AZ120" s="15">
        <v>0</v>
      </c>
      <c r="BA120" s="15">
        <v>0</v>
      </c>
      <c r="BB120" s="15">
        <v>0</v>
      </c>
      <c r="BC120" s="15">
        <v>0</v>
      </c>
      <c r="BD120" s="15">
        <v>0</v>
      </c>
      <c r="BE120" s="15">
        <v>0</v>
      </c>
      <c r="BF120" s="15">
        <f t="shared" si="96"/>
        <v>251779</v>
      </c>
      <c r="BG120" s="15">
        <f t="shared" si="97"/>
        <v>244000</v>
      </c>
      <c r="BH120" s="15">
        <f t="shared" si="98"/>
        <v>7779</v>
      </c>
      <c r="BI120" s="15">
        <f t="shared" si="99"/>
        <v>0</v>
      </c>
    </row>
    <row r="121" spans="2:61" x14ac:dyDescent="0.25">
      <c r="C121" s="7">
        <v>636</v>
      </c>
      <c r="D121" s="7" t="s">
        <v>469</v>
      </c>
      <c r="E121" s="15">
        <v>0</v>
      </c>
      <c r="F121" s="15">
        <v>0</v>
      </c>
      <c r="G121" s="15">
        <v>0</v>
      </c>
      <c r="H121" s="15">
        <v>0</v>
      </c>
      <c r="I121" s="15">
        <v>0</v>
      </c>
      <c r="J121" s="15">
        <v>0</v>
      </c>
      <c r="K121" s="15">
        <v>285182.25</v>
      </c>
      <c r="L121" s="15">
        <v>7000</v>
      </c>
      <c r="M121" s="15">
        <v>620000</v>
      </c>
      <c r="N121" s="15">
        <v>0</v>
      </c>
      <c r="O121" s="15">
        <v>0</v>
      </c>
      <c r="P121" s="15">
        <v>0</v>
      </c>
      <c r="Q121" s="15">
        <v>0</v>
      </c>
      <c r="R121" s="15">
        <v>0</v>
      </c>
      <c r="S121" s="15">
        <v>0</v>
      </c>
      <c r="T121" s="15">
        <v>40000</v>
      </c>
      <c r="U121" s="15">
        <v>0</v>
      </c>
      <c r="V121" s="15">
        <v>3884</v>
      </c>
      <c r="W121" s="15">
        <v>10000</v>
      </c>
      <c r="X121" s="15">
        <v>0</v>
      </c>
      <c r="Y121" s="15">
        <v>0</v>
      </c>
      <c r="Z121" s="15">
        <v>0</v>
      </c>
      <c r="AA121" s="15">
        <v>0</v>
      </c>
      <c r="AB121" s="15">
        <v>0</v>
      </c>
      <c r="AC121" s="15">
        <v>0</v>
      </c>
      <c r="AD121" s="15">
        <v>0</v>
      </c>
      <c r="AE121" s="15">
        <v>0</v>
      </c>
      <c r="AF121" s="15">
        <v>0</v>
      </c>
      <c r="AG121" s="15">
        <v>0</v>
      </c>
      <c r="AH121" s="15">
        <v>0</v>
      </c>
      <c r="AI121" s="15">
        <v>0</v>
      </c>
      <c r="AJ121" s="15">
        <v>0</v>
      </c>
      <c r="AK121" s="15">
        <v>200</v>
      </c>
      <c r="AL121" s="15">
        <v>0</v>
      </c>
      <c r="AM121" s="15">
        <v>0</v>
      </c>
      <c r="AN121" s="15">
        <v>0</v>
      </c>
      <c r="AO121" s="15">
        <v>0</v>
      </c>
      <c r="AP121" s="15">
        <v>0</v>
      </c>
      <c r="AQ121" s="15">
        <v>58425.25</v>
      </c>
      <c r="AR121" s="15">
        <v>100000</v>
      </c>
      <c r="AS121" s="15">
        <v>0</v>
      </c>
      <c r="AT121" s="15">
        <v>0</v>
      </c>
      <c r="AU121" s="15">
        <v>0</v>
      </c>
      <c r="AV121" s="15">
        <v>0</v>
      </c>
      <c r="AW121" s="15">
        <v>0</v>
      </c>
      <c r="AX121" s="15">
        <v>0</v>
      </c>
      <c r="AY121" s="15">
        <v>0</v>
      </c>
      <c r="AZ121" s="15">
        <v>0</v>
      </c>
      <c r="BA121" s="15">
        <v>150000</v>
      </c>
      <c r="BB121" s="15">
        <v>0</v>
      </c>
      <c r="BC121" s="15">
        <v>0</v>
      </c>
      <c r="BD121" s="15">
        <v>0</v>
      </c>
      <c r="BE121" s="15">
        <v>0</v>
      </c>
      <c r="BF121" s="15">
        <f t="shared" si="96"/>
        <v>1274691.5</v>
      </c>
      <c r="BG121" s="15">
        <f t="shared" si="97"/>
        <v>966066.25</v>
      </c>
      <c r="BH121" s="15">
        <f t="shared" si="98"/>
        <v>0</v>
      </c>
      <c r="BI121" s="15">
        <f t="shared" si="99"/>
        <v>308625.25</v>
      </c>
    </row>
    <row r="122" spans="2:61" x14ac:dyDescent="0.25">
      <c r="C122" s="7">
        <v>637</v>
      </c>
      <c r="D122" s="7" t="s">
        <v>470</v>
      </c>
      <c r="E122" s="15">
        <v>0</v>
      </c>
      <c r="F122" s="15">
        <v>0</v>
      </c>
      <c r="G122" s="15">
        <v>0</v>
      </c>
      <c r="H122" s="15">
        <v>0</v>
      </c>
      <c r="I122" s="15">
        <v>0</v>
      </c>
      <c r="J122" s="15">
        <v>186095</v>
      </c>
      <c r="K122" s="15">
        <v>0</v>
      </c>
      <c r="L122" s="15">
        <v>0</v>
      </c>
      <c r="M122" s="15">
        <v>0</v>
      </c>
      <c r="N122" s="15">
        <v>0</v>
      </c>
      <c r="O122" s="15">
        <v>6665.35</v>
      </c>
      <c r="P122" s="15">
        <v>0</v>
      </c>
      <c r="Q122" s="15">
        <v>0</v>
      </c>
      <c r="R122" s="15">
        <v>0</v>
      </c>
      <c r="S122" s="15">
        <v>0</v>
      </c>
      <c r="T122" s="15">
        <v>0</v>
      </c>
      <c r="U122" s="15">
        <v>0</v>
      </c>
      <c r="V122" s="15">
        <v>0</v>
      </c>
      <c r="W122" s="15">
        <v>0</v>
      </c>
      <c r="X122" s="15">
        <v>0</v>
      </c>
      <c r="Y122" s="15">
        <v>29465.200000000001</v>
      </c>
      <c r="Z122" s="15">
        <v>0</v>
      </c>
      <c r="AA122" s="15">
        <v>0</v>
      </c>
      <c r="AB122" s="15">
        <v>0</v>
      </c>
      <c r="AC122" s="15">
        <v>0</v>
      </c>
      <c r="AD122" s="15">
        <v>0</v>
      </c>
      <c r="AE122" s="15">
        <v>0</v>
      </c>
      <c r="AF122" s="15">
        <v>0</v>
      </c>
      <c r="AG122" s="15">
        <v>0</v>
      </c>
      <c r="AH122" s="15">
        <v>0</v>
      </c>
      <c r="AI122" s="15">
        <v>0</v>
      </c>
      <c r="AJ122" s="15">
        <v>0</v>
      </c>
      <c r="AK122" s="15">
        <v>0</v>
      </c>
      <c r="AL122" s="15">
        <v>0</v>
      </c>
      <c r="AM122" s="15">
        <v>0</v>
      </c>
      <c r="AN122" s="15">
        <v>0</v>
      </c>
      <c r="AO122" s="15">
        <v>0</v>
      </c>
      <c r="AP122" s="15">
        <v>0</v>
      </c>
      <c r="AQ122" s="15">
        <v>0</v>
      </c>
      <c r="AR122" s="15">
        <v>173373.87</v>
      </c>
      <c r="AS122" s="15">
        <v>0</v>
      </c>
      <c r="AT122" s="15">
        <v>0</v>
      </c>
      <c r="AU122" s="15">
        <v>0</v>
      </c>
      <c r="AV122" s="15">
        <v>0</v>
      </c>
      <c r="AW122" s="15">
        <v>0</v>
      </c>
      <c r="AX122" s="15">
        <v>0</v>
      </c>
      <c r="AY122" s="15">
        <v>0</v>
      </c>
      <c r="AZ122" s="15">
        <v>0</v>
      </c>
      <c r="BA122" s="15">
        <v>0</v>
      </c>
      <c r="BB122" s="15">
        <v>0</v>
      </c>
      <c r="BC122" s="15">
        <v>0</v>
      </c>
      <c r="BD122" s="15">
        <v>31000</v>
      </c>
      <c r="BE122" s="15">
        <v>0</v>
      </c>
      <c r="BF122" s="15">
        <f t="shared" si="96"/>
        <v>426599.42000000004</v>
      </c>
      <c r="BG122" s="15">
        <f t="shared" si="97"/>
        <v>192760.35</v>
      </c>
      <c r="BH122" s="15">
        <f t="shared" si="98"/>
        <v>29465.200000000001</v>
      </c>
      <c r="BI122" s="15">
        <f t="shared" si="99"/>
        <v>204373.87</v>
      </c>
    </row>
    <row r="123" spans="2:61" x14ac:dyDescent="0.25">
      <c r="C123" s="7">
        <v>638</v>
      </c>
      <c r="D123" s="7" t="s">
        <v>471</v>
      </c>
      <c r="E123" s="15">
        <v>0</v>
      </c>
      <c r="F123" s="15">
        <v>0</v>
      </c>
      <c r="G123" s="15">
        <v>0</v>
      </c>
      <c r="H123" s="15">
        <v>0</v>
      </c>
      <c r="I123" s="15">
        <v>0</v>
      </c>
      <c r="J123" s="15">
        <v>0</v>
      </c>
      <c r="K123" s="15">
        <v>0</v>
      </c>
      <c r="L123" s="15">
        <v>0</v>
      </c>
      <c r="M123" s="15">
        <v>0</v>
      </c>
      <c r="N123" s="15">
        <v>0</v>
      </c>
      <c r="O123" s="15">
        <v>0</v>
      </c>
      <c r="P123" s="15">
        <v>0</v>
      </c>
      <c r="Q123" s="15">
        <v>0</v>
      </c>
      <c r="R123" s="15">
        <v>0</v>
      </c>
      <c r="S123" s="15">
        <v>0</v>
      </c>
      <c r="T123" s="15">
        <v>0</v>
      </c>
      <c r="U123" s="15">
        <v>0</v>
      </c>
      <c r="V123" s="15">
        <v>0</v>
      </c>
      <c r="W123" s="15">
        <v>0</v>
      </c>
      <c r="X123" s="15">
        <v>0</v>
      </c>
      <c r="Y123" s="15">
        <v>0</v>
      </c>
      <c r="Z123" s="15">
        <v>0</v>
      </c>
      <c r="AA123" s="15">
        <v>0</v>
      </c>
      <c r="AB123" s="15">
        <v>0</v>
      </c>
      <c r="AC123" s="15">
        <v>0</v>
      </c>
      <c r="AD123" s="15">
        <v>0</v>
      </c>
      <c r="AE123" s="15">
        <v>0</v>
      </c>
      <c r="AF123" s="15">
        <v>0</v>
      </c>
      <c r="AG123" s="15">
        <v>0</v>
      </c>
      <c r="AH123" s="15">
        <v>0</v>
      </c>
      <c r="AI123" s="15">
        <v>0</v>
      </c>
      <c r="AJ123" s="15">
        <v>0</v>
      </c>
      <c r="AK123" s="15">
        <v>0</v>
      </c>
      <c r="AL123" s="15">
        <v>0</v>
      </c>
      <c r="AM123" s="15">
        <v>0</v>
      </c>
      <c r="AN123" s="15">
        <v>0</v>
      </c>
      <c r="AO123" s="15">
        <v>0</v>
      </c>
      <c r="AP123" s="15">
        <v>0</v>
      </c>
      <c r="AQ123" s="15">
        <v>0</v>
      </c>
      <c r="AR123" s="15">
        <v>0</v>
      </c>
      <c r="AS123" s="15">
        <v>0</v>
      </c>
      <c r="AT123" s="15">
        <v>0</v>
      </c>
      <c r="AU123" s="15">
        <v>0</v>
      </c>
      <c r="AV123" s="15">
        <v>0</v>
      </c>
      <c r="AW123" s="15">
        <v>0</v>
      </c>
      <c r="AX123" s="15">
        <v>0</v>
      </c>
      <c r="AY123" s="15">
        <v>0</v>
      </c>
      <c r="AZ123" s="15">
        <v>0</v>
      </c>
      <c r="BA123" s="15">
        <v>0</v>
      </c>
      <c r="BB123" s="15">
        <v>0</v>
      </c>
      <c r="BC123" s="15">
        <v>0</v>
      </c>
      <c r="BD123" s="15">
        <v>0</v>
      </c>
      <c r="BE123" s="15">
        <v>0</v>
      </c>
      <c r="BF123" s="15">
        <f t="shared" si="96"/>
        <v>0</v>
      </c>
      <c r="BG123" s="15">
        <f t="shared" si="97"/>
        <v>0</v>
      </c>
      <c r="BH123" s="15">
        <f t="shared" si="98"/>
        <v>0</v>
      </c>
      <c r="BI123" s="15">
        <f t="shared" si="99"/>
        <v>0</v>
      </c>
    </row>
    <row r="124" spans="2:61" x14ac:dyDescent="0.2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c r="BH124" s="15"/>
      <c r="BI124" s="15">
        <f t="shared" si="99"/>
        <v>0</v>
      </c>
    </row>
    <row r="125" spans="2:61" x14ac:dyDescent="0.25">
      <c r="B125" s="128">
        <v>64</v>
      </c>
      <c r="C125" s="128"/>
      <c r="D125" s="128" t="s">
        <v>483</v>
      </c>
      <c r="E125" s="175">
        <f>E126+E127+E128+E129+E130+E131+E132+E133+E134</f>
        <v>0</v>
      </c>
      <c r="F125" s="175">
        <f t="shared" ref="F125:BI125" si="100">F126+F127+F128+F129+F130+F131+F132+F133+F134</f>
        <v>0</v>
      </c>
      <c r="G125" s="175">
        <f t="shared" si="100"/>
        <v>0</v>
      </c>
      <c r="H125" s="175">
        <f t="shared" si="100"/>
        <v>0</v>
      </c>
      <c r="I125" s="175">
        <f t="shared" si="100"/>
        <v>0</v>
      </c>
      <c r="J125" s="175">
        <f t="shared" si="100"/>
        <v>0</v>
      </c>
      <c r="K125" s="175">
        <f t="shared" si="100"/>
        <v>0</v>
      </c>
      <c r="L125" s="175">
        <f t="shared" si="100"/>
        <v>0</v>
      </c>
      <c r="M125" s="175">
        <f t="shared" si="100"/>
        <v>0</v>
      </c>
      <c r="N125" s="175">
        <f t="shared" si="100"/>
        <v>0</v>
      </c>
      <c r="O125" s="175">
        <f t="shared" si="100"/>
        <v>0</v>
      </c>
      <c r="P125" s="175">
        <f t="shared" si="100"/>
        <v>0</v>
      </c>
      <c r="Q125" s="175">
        <f t="shared" si="100"/>
        <v>0</v>
      </c>
      <c r="R125" s="175">
        <f t="shared" si="100"/>
        <v>0</v>
      </c>
      <c r="S125" s="175">
        <f t="shared" si="100"/>
        <v>0</v>
      </c>
      <c r="T125" s="175">
        <f t="shared" si="100"/>
        <v>0</v>
      </c>
      <c r="U125" s="175">
        <f t="shared" si="100"/>
        <v>0</v>
      </c>
      <c r="V125" s="175">
        <f t="shared" si="100"/>
        <v>0</v>
      </c>
      <c r="W125" s="175">
        <f t="shared" si="100"/>
        <v>0</v>
      </c>
      <c r="X125" s="175">
        <f t="shared" si="100"/>
        <v>0</v>
      </c>
      <c r="Y125" s="175">
        <f t="shared" si="100"/>
        <v>0</v>
      </c>
      <c r="Z125" s="175">
        <f t="shared" si="100"/>
        <v>0</v>
      </c>
      <c r="AA125" s="175">
        <f t="shared" si="100"/>
        <v>0</v>
      </c>
      <c r="AB125" s="175">
        <f t="shared" si="100"/>
        <v>0</v>
      </c>
      <c r="AC125" s="175">
        <f t="shared" si="100"/>
        <v>0</v>
      </c>
      <c r="AD125" s="175">
        <f t="shared" si="100"/>
        <v>0</v>
      </c>
      <c r="AE125" s="175">
        <f t="shared" si="100"/>
        <v>0</v>
      </c>
      <c r="AF125" s="175">
        <f t="shared" si="100"/>
        <v>0</v>
      </c>
      <c r="AG125" s="175">
        <f t="shared" si="100"/>
        <v>0</v>
      </c>
      <c r="AH125" s="175">
        <f t="shared" si="100"/>
        <v>0</v>
      </c>
      <c r="AI125" s="175">
        <f t="shared" si="100"/>
        <v>0</v>
      </c>
      <c r="AJ125" s="175">
        <f t="shared" si="100"/>
        <v>0</v>
      </c>
      <c r="AK125" s="175">
        <f t="shared" si="100"/>
        <v>0</v>
      </c>
      <c r="AL125" s="175">
        <f t="shared" si="100"/>
        <v>0</v>
      </c>
      <c r="AM125" s="175">
        <f t="shared" si="100"/>
        <v>0</v>
      </c>
      <c r="AN125" s="175">
        <f t="shared" si="100"/>
        <v>0</v>
      </c>
      <c r="AO125" s="175">
        <f t="shared" si="100"/>
        <v>0</v>
      </c>
      <c r="AP125" s="175">
        <f t="shared" si="100"/>
        <v>0</v>
      </c>
      <c r="AQ125" s="175">
        <f t="shared" si="100"/>
        <v>0</v>
      </c>
      <c r="AR125" s="175">
        <f t="shared" si="100"/>
        <v>0</v>
      </c>
      <c r="AS125" s="175">
        <f t="shared" si="100"/>
        <v>4000</v>
      </c>
      <c r="AT125" s="175">
        <f t="shared" si="100"/>
        <v>0</v>
      </c>
      <c r="AU125" s="175">
        <f t="shared" si="100"/>
        <v>0</v>
      </c>
      <c r="AV125" s="175">
        <f t="shared" si="100"/>
        <v>0</v>
      </c>
      <c r="AW125" s="175">
        <f t="shared" si="100"/>
        <v>0</v>
      </c>
      <c r="AX125" s="175">
        <f t="shared" si="100"/>
        <v>0</v>
      </c>
      <c r="AY125" s="175">
        <f t="shared" si="100"/>
        <v>0</v>
      </c>
      <c r="AZ125" s="175">
        <f t="shared" si="100"/>
        <v>0</v>
      </c>
      <c r="BA125" s="175">
        <f t="shared" si="100"/>
        <v>0</v>
      </c>
      <c r="BB125" s="175">
        <f t="shared" si="100"/>
        <v>0</v>
      </c>
      <c r="BC125" s="175">
        <f t="shared" si="100"/>
        <v>0</v>
      </c>
      <c r="BD125" s="175">
        <f t="shared" si="100"/>
        <v>0</v>
      </c>
      <c r="BE125" s="175">
        <f t="shared" si="100"/>
        <v>0</v>
      </c>
      <c r="BF125" s="175">
        <f t="shared" si="100"/>
        <v>4000</v>
      </c>
      <c r="BG125" s="175">
        <f t="shared" si="100"/>
        <v>0</v>
      </c>
      <c r="BH125" s="175">
        <f t="shared" si="100"/>
        <v>0</v>
      </c>
      <c r="BI125" s="175">
        <f t="shared" si="100"/>
        <v>4000</v>
      </c>
    </row>
    <row r="126" spans="2:61" x14ac:dyDescent="0.25">
      <c r="C126" s="7">
        <v>640</v>
      </c>
      <c r="D126" s="7" t="s">
        <v>463</v>
      </c>
      <c r="E126" s="15">
        <v>0</v>
      </c>
      <c r="F126" s="15">
        <v>0</v>
      </c>
      <c r="G126" s="15">
        <v>0</v>
      </c>
      <c r="H126" s="15">
        <v>0</v>
      </c>
      <c r="I126" s="15">
        <v>0</v>
      </c>
      <c r="J126" s="15">
        <v>0</v>
      </c>
      <c r="K126" s="15">
        <v>0</v>
      </c>
      <c r="L126" s="15">
        <v>0</v>
      </c>
      <c r="M126" s="15">
        <v>0</v>
      </c>
      <c r="N126" s="15">
        <v>0</v>
      </c>
      <c r="O126" s="15">
        <v>0</v>
      </c>
      <c r="P126" s="15">
        <v>0</v>
      </c>
      <c r="Q126" s="15">
        <v>0</v>
      </c>
      <c r="R126" s="15">
        <v>0</v>
      </c>
      <c r="S126" s="15">
        <v>0</v>
      </c>
      <c r="T126" s="15">
        <v>0</v>
      </c>
      <c r="U126" s="15">
        <v>0</v>
      </c>
      <c r="V126" s="15">
        <v>0</v>
      </c>
      <c r="W126" s="15">
        <v>0</v>
      </c>
      <c r="X126" s="15">
        <v>0</v>
      </c>
      <c r="Y126" s="15">
        <v>0</v>
      </c>
      <c r="Z126" s="15">
        <v>0</v>
      </c>
      <c r="AA126" s="15">
        <v>0</v>
      </c>
      <c r="AB126" s="15">
        <v>0</v>
      </c>
      <c r="AC126" s="15">
        <v>0</v>
      </c>
      <c r="AD126" s="15">
        <v>0</v>
      </c>
      <c r="AE126" s="15">
        <v>0</v>
      </c>
      <c r="AF126" s="15">
        <v>0</v>
      </c>
      <c r="AG126" s="15">
        <v>0</v>
      </c>
      <c r="AH126" s="15">
        <v>0</v>
      </c>
      <c r="AI126" s="15">
        <v>0</v>
      </c>
      <c r="AJ126" s="15">
        <v>0</v>
      </c>
      <c r="AK126" s="15">
        <v>0</v>
      </c>
      <c r="AL126" s="15">
        <v>0</v>
      </c>
      <c r="AM126" s="15">
        <v>0</v>
      </c>
      <c r="AN126" s="15">
        <v>0</v>
      </c>
      <c r="AO126" s="15">
        <v>0</v>
      </c>
      <c r="AP126" s="15">
        <v>0</v>
      </c>
      <c r="AQ126" s="15">
        <v>0</v>
      </c>
      <c r="AR126" s="15">
        <v>0</v>
      </c>
      <c r="AS126" s="15">
        <v>0</v>
      </c>
      <c r="AT126" s="15">
        <v>0</v>
      </c>
      <c r="AU126" s="15">
        <v>0</v>
      </c>
      <c r="AV126" s="15">
        <v>0</v>
      </c>
      <c r="AW126" s="15">
        <v>0</v>
      </c>
      <c r="AX126" s="15">
        <v>0</v>
      </c>
      <c r="AY126" s="15">
        <v>0</v>
      </c>
      <c r="AZ126" s="15">
        <v>0</v>
      </c>
      <c r="BA126" s="15">
        <v>0</v>
      </c>
      <c r="BB126" s="15">
        <v>0</v>
      </c>
      <c r="BC126" s="15">
        <v>0</v>
      </c>
      <c r="BD126" s="15">
        <v>0</v>
      </c>
      <c r="BE126" s="15">
        <v>0</v>
      </c>
      <c r="BF126" s="15">
        <f t="shared" ref="BF126:BF134" si="101">SUM(E126:BE126)</f>
        <v>0</v>
      </c>
      <c r="BG126" s="15">
        <f t="shared" ref="BG126:BG134" si="102">SUM(E126:W126)</f>
        <v>0</v>
      </c>
      <c r="BH126" s="15">
        <f t="shared" ref="BH126:BH134" si="103">SUM(X126:AJ126)</f>
        <v>0</v>
      </c>
      <c r="BI126" s="15">
        <f t="shared" ref="BI126:BI134" si="104">SUM(AK126:BE126)</f>
        <v>0</v>
      </c>
    </row>
    <row r="127" spans="2:61" x14ac:dyDescent="0.25">
      <c r="C127" s="7">
        <v>641</v>
      </c>
      <c r="D127" s="7" t="s">
        <v>464</v>
      </c>
      <c r="E127" s="15">
        <v>0</v>
      </c>
      <c r="F127" s="15">
        <v>0</v>
      </c>
      <c r="G127" s="15">
        <v>0</v>
      </c>
      <c r="H127" s="15">
        <v>0</v>
      </c>
      <c r="I127" s="15">
        <v>0</v>
      </c>
      <c r="J127" s="15">
        <v>0</v>
      </c>
      <c r="K127" s="15">
        <v>0</v>
      </c>
      <c r="L127" s="15">
        <v>0</v>
      </c>
      <c r="M127" s="15">
        <v>0</v>
      </c>
      <c r="N127" s="15">
        <v>0</v>
      </c>
      <c r="O127" s="15">
        <v>0</v>
      </c>
      <c r="P127" s="15">
        <v>0</v>
      </c>
      <c r="Q127" s="15">
        <v>0</v>
      </c>
      <c r="R127" s="15">
        <v>0</v>
      </c>
      <c r="S127" s="15">
        <v>0</v>
      </c>
      <c r="T127" s="15">
        <v>0</v>
      </c>
      <c r="U127" s="15">
        <v>0</v>
      </c>
      <c r="V127" s="15">
        <v>0</v>
      </c>
      <c r="W127" s="15">
        <v>0</v>
      </c>
      <c r="X127" s="15">
        <v>0</v>
      </c>
      <c r="Y127" s="15">
        <v>0</v>
      </c>
      <c r="Z127" s="15">
        <v>0</v>
      </c>
      <c r="AA127" s="15">
        <v>0</v>
      </c>
      <c r="AB127" s="15">
        <v>0</v>
      </c>
      <c r="AC127" s="15">
        <v>0</v>
      </c>
      <c r="AD127" s="15">
        <v>0</v>
      </c>
      <c r="AE127" s="15">
        <v>0</v>
      </c>
      <c r="AF127" s="15">
        <v>0</v>
      </c>
      <c r="AG127" s="15">
        <v>0</v>
      </c>
      <c r="AH127" s="15">
        <v>0</v>
      </c>
      <c r="AI127" s="15">
        <v>0</v>
      </c>
      <c r="AJ127" s="15">
        <v>0</v>
      </c>
      <c r="AK127" s="15">
        <v>0</v>
      </c>
      <c r="AL127" s="15">
        <v>0</v>
      </c>
      <c r="AM127" s="15">
        <v>0</v>
      </c>
      <c r="AN127" s="15">
        <v>0</v>
      </c>
      <c r="AO127" s="15">
        <v>0</v>
      </c>
      <c r="AP127" s="15">
        <v>0</v>
      </c>
      <c r="AQ127" s="15">
        <v>0</v>
      </c>
      <c r="AR127" s="15">
        <v>0</v>
      </c>
      <c r="AS127" s="15">
        <v>0</v>
      </c>
      <c r="AT127" s="15">
        <v>0</v>
      </c>
      <c r="AU127" s="15">
        <v>0</v>
      </c>
      <c r="AV127" s="15">
        <v>0</v>
      </c>
      <c r="AW127" s="15">
        <v>0</v>
      </c>
      <c r="AX127" s="15">
        <v>0</v>
      </c>
      <c r="AY127" s="15">
        <v>0</v>
      </c>
      <c r="AZ127" s="15">
        <v>0</v>
      </c>
      <c r="BA127" s="15">
        <v>0</v>
      </c>
      <c r="BB127" s="15">
        <v>0</v>
      </c>
      <c r="BC127" s="15">
        <v>0</v>
      </c>
      <c r="BD127" s="15">
        <v>0</v>
      </c>
      <c r="BE127" s="15">
        <v>0</v>
      </c>
      <c r="BF127" s="15">
        <f t="shared" si="101"/>
        <v>0</v>
      </c>
      <c r="BG127" s="15">
        <f t="shared" si="102"/>
        <v>0</v>
      </c>
      <c r="BH127" s="15">
        <f t="shared" si="103"/>
        <v>0</v>
      </c>
      <c r="BI127" s="15">
        <f t="shared" si="104"/>
        <v>0</v>
      </c>
    </row>
    <row r="128" spans="2:61" x14ac:dyDescent="0.25">
      <c r="C128" s="7">
        <v>642</v>
      </c>
      <c r="D128" s="7" t="s">
        <v>465</v>
      </c>
      <c r="E128" s="15">
        <v>0</v>
      </c>
      <c r="F128" s="15">
        <v>0</v>
      </c>
      <c r="G128" s="15">
        <v>0</v>
      </c>
      <c r="H128" s="15">
        <v>0</v>
      </c>
      <c r="I128" s="15">
        <v>0</v>
      </c>
      <c r="J128" s="15">
        <v>0</v>
      </c>
      <c r="K128" s="15">
        <v>0</v>
      </c>
      <c r="L128" s="15">
        <v>0</v>
      </c>
      <c r="M128" s="15">
        <v>0</v>
      </c>
      <c r="N128" s="15">
        <v>0</v>
      </c>
      <c r="O128" s="15">
        <v>0</v>
      </c>
      <c r="P128" s="15">
        <v>0</v>
      </c>
      <c r="Q128" s="15">
        <v>0</v>
      </c>
      <c r="R128" s="15">
        <v>0</v>
      </c>
      <c r="S128" s="15">
        <v>0</v>
      </c>
      <c r="T128" s="15">
        <v>0</v>
      </c>
      <c r="U128" s="15">
        <v>0</v>
      </c>
      <c r="V128" s="15">
        <v>0</v>
      </c>
      <c r="W128" s="15">
        <v>0</v>
      </c>
      <c r="X128" s="15">
        <v>0</v>
      </c>
      <c r="Y128" s="15">
        <v>0</v>
      </c>
      <c r="Z128" s="15">
        <v>0</v>
      </c>
      <c r="AA128" s="15">
        <v>0</v>
      </c>
      <c r="AB128" s="15">
        <v>0</v>
      </c>
      <c r="AC128" s="15">
        <v>0</v>
      </c>
      <c r="AD128" s="15">
        <v>0</v>
      </c>
      <c r="AE128" s="15">
        <v>0</v>
      </c>
      <c r="AF128" s="15">
        <v>0</v>
      </c>
      <c r="AG128" s="15">
        <v>0</v>
      </c>
      <c r="AH128" s="15">
        <v>0</v>
      </c>
      <c r="AI128" s="15">
        <v>0</v>
      </c>
      <c r="AJ128" s="15">
        <v>0</v>
      </c>
      <c r="AK128" s="15">
        <v>0</v>
      </c>
      <c r="AL128" s="15">
        <v>0</v>
      </c>
      <c r="AM128" s="15">
        <v>0</v>
      </c>
      <c r="AN128" s="15">
        <v>0</v>
      </c>
      <c r="AO128" s="15">
        <v>0</v>
      </c>
      <c r="AP128" s="15">
        <v>0</v>
      </c>
      <c r="AQ128" s="15">
        <v>0</v>
      </c>
      <c r="AR128" s="15">
        <v>0</v>
      </c>
      <c r="AS128" s="15">
        <v>4000</v>
      </c>
      <c r="AT128" s="15">
        <v>0</v>
      </c>
      <c r="AU128" s="15">
        <v>0</v>
      </c>
      <c r="AV128" s="15">
        <v>0</v>
      </c>
      <c r="AW128" s="15">
        <v>0</v>
      </c>
      <c r="AX128" s="15">
        <v>0</v>
      </c>
      <c r="AY128" s="15">
        <v>0</v>
      </c>
      <c r="AZ128" s="15">
        <v>0</v>
      </c>
      <c r="BA128" s="15">
        <v>0</v>
      </c>
      <c r="BB128" s="15">
        <v>0</v>
      </c>
      <c r="BC128" s="15">
        <v>0</v>
      </c>
      <c r="BD128" s="15">
        <v>0</v>
      </c>
      <c r="BE128" s="15">
        <v>0</v>
      </c>
      <c r="BF128" s="15">
        <f t="shared" si="101"/>
        <v>4000</v>
      </c>
      <c r="BG128" s="15">
        <f t="shared" si="102"/>
        <v>0</v>
      </c>
      <c r="BH128" s="15">
        <f t="shared" si="103"/>
        <v>0</v>
      </c>
      <c r="BI128" s="15">
        <f t="shared" si="104"/>
        <v>4000</v>
      </c>
    </row>
    <row r="129" spans="2:61" x14ac:dyDescent="0.25">
      <c r="C129" s="7">
        <v>643</v>
      </c>
      <c r="D129" s="7" t="s">
        <v>466</v>
      </c>
      <c r="E129" s="15">
        <v>0</v>
      </c>
      <c r="F129" s="15">
        <v>0</v>
      </c>
      <c r="G129" s="15">
        <v>0</v>
      </c>
      <c r="H129" s="15">
        <v>0</v>
      </c>
      <c r="I129" s="15">
        <v>0</v>
      </c>
      <c r="J129" s="15">
        <v>0</v>
      </c>
      <c r="K129" s="15">
        <v>0</v>
      </c>
      <c r="L129" s="15">
        <v>0</v>
      </c>
      <c r="M129" s="15">
        <v>0</v>
      </c>
      <c r="N129" s="15">
        <v>0</v>
      </c>
      <c r="O129" s="15">
        <v>0</v>
      </c>
      <c r="P129" s="15">
        <v>0</v>
      </c>
      <c r="Q129" s="15">
        <v>0</v>
      </c>
      <c r="R129" s="15">
        <v>0</v>
      </c>
      <c r="S129" s="15">
        <v>0</v>
      </c>
      <c r="T129" s="15">
        <v>0</v>
      </c>
      <c r="U129" s="15">
        <v>0</v>
      </c>
      <c r="V129" s="15">
        <v>0</v>
      </c>
      <c r="W129" s="15">
        <v>0</v>
      </c>
      <c r="X129" s="15">
        <v>0</v>
      </c>
      <c r="Y129" s="15">
        <v>0</v>
      </c>
      <c r="Z129" s="15">
        <v>0</v>
      </c>
      <c r="AA129" s="15">
        <v>0</v>
      </c>
      <c r="AB129" s="15">
        <v>0</v>
      </c>
      <c r="AC129" s="15">
        <v>0</v>
      </c>
      <c r="AD129" s="15">
        <v>0</v>
      </c>
      <c r="AE129" s="15">
        <v>0</v>
      </c>
      <c r="AF129" s="15">
        <v>0</v>
      </c>
      <c r="AG129" s="15">
        <v>0</v>
      </c>
      <c r="AH129" s="15">
        <v>0</v>
      </c>
      <c r="AI129" s="15">
        <v>0</v>
      </c>
      <c r="AJ129" s="15">
        <v>0</v>
      </c>
      <c r="AK129" s="15">
        <v>0</v>
      </c>
      <c r="AL129" s="15">
        <v>0</v>
      </c>
      <c r="AM129" s="15">
        <v>0</v>
      </c>
      <c r="AN129" s="15">
        <v>0</v>
      </c>
      <c r="AO129" s="15">
        <v>0</v>
      </c>
      <c r="AP129" s="15">
        <v>0</v>
      </c>
      <c r="AQ129" s="15">
        <v>0</v>
      </c>
      <c r="AR129" s="15">
        <v>0</v>
      </c>
      <c r="AS129" s="15">
        <v>0</v>
      </c>
      <c r="AT129" s="15">
        <v>0</v>
      </c>
      <c r="AU129" s="15">
        <v>0</v>
      </c>
      <c r="AV129" s="15">
        <v>0</v>
      </c>
      <c r="AW129" s="15">
        <v>0</v>
      </c>
      <c r="AX129" s="15">
        <v>0</v>
      </c>
      <c r="AY129" s="15">
        <v>0</v>
      </c>
      <c r="AZ129" s="15">
        <v>0</v>
      </c>
      <c r="BA129" s="15">
        <v>0</v>
      </c>
      <c r="BB129" s="15">
        <v>0</v>
      </c>
      <c r="BC129" s="15">
        <v>0</v>
      </c>
      <c r="BD129" s="15">
        <v>0</v>
      </c>
      <c r="BE129" s="15">
        <v>0</v>
      </c>
      <c r="BF129" s="15">
        <f t="shared" si="101"/>
        <v>0</v>
      </c>
      <c r="BG129" s="15">
        <f t="shared" si="102"/>
        <v>0</v>
      </c>
      <c r="BH129" s="15">
        <f t="shared" si="103"/>
        <v>0</v>
      </c>
      <c r="BI129" s="15">
        <f t="shared" si="104"/>
        <v>0</v>
      </c>
    </row>
    <row r="130" spans="2:61" x14ac:dyDescent="0.25">
      <c r="C130" s="7">
        <v>644</v>
      </c>
      <c r="D130" s="7" t="s">
        <v>467</v>
      </c>
      <c r="E130" s="15">
        <v>0</v>
      </c>
      <c r="F130" s="15">
        <v>0</v>
      </c>
      <c r="G130" s="15">
        <v>0</v>
      </c>
      <c r="H130" s="15">
        <v>0</v>
      </c>
      <c r="I130" s="15">
        <v>0</v>
      </c>
      <c r="J130" s="15">
        <v>0</v>
      </c>
      <c r="K130" s="15">
        <v>0</v>
      </c>
      <c r="L130" s="15">
        <v>0</v>
      </c>
      <c r="M130" s="15">
        <v>0</v>
      </c>
      <c r="N130" s="15">
        <v>0</v>
      </c>
      <c r="O130" s="15">
        <v>0</v>
      </c>
      <c r="P130" s="15">
        <v>0</v>
      </c>
      <c r="Q130" s="15">
        <v>0</v>
      </c>
      <c r="R130" s="15">
        <v>0</v>
      </c>
      <c r="S130" s="15">
        <v>0</v>
      </c>
      <c r="T130" s="15">
        <v>0</v>
      </c>
      <c r="U130" s="15">
        <v>0</v>
      </c>
      <c r="V130" s="15">
        <v>0</v>
      </c>
      <c r="W130" s="15">
        <v>0</v>
      </c>
      <c r="X130" s="15">
        <v>0</v>
      </c>
      <c r="Y130" s="15">
        <v>0</v>
      </c>
      <c r="Z130" s="15">
        <v>0</v>
      </c>
      <c r="AA130" s="15">
        <v>0</v>
      </c>
      <c r="AB130" s="15">
        <v>0</v>
      </c>
      <c r="AC130" s="15">
        <v>0</v>
      </c>
      <c r="AD130" s="15">
        <v>0</v>
      </c>
      <c r="AE130" s="15">
        <v>0</v>
      </c>
      <c r="AF130" s="15">
        <v>0</v>
      </c>
      <c r="AG130" s="15">
        <v>0</v>
      </c>
      <c r="AH130" s="15">
        <v>0</v>
      </c>
      <c r="AI130" s="15">
        <v>0</v>
      </c>
      <c r="AJ130" s="15">
        <v>0</v>
      </c>
      <c r="AK130" s="15">
        <v>0</v>
      </c>
      <c r="AL130" s="15">
        <v>0</v>
      </c>
      <c r="AM130" s="15">
        <v>0</v>
      </c>
      <c r="AN130" s="15">
        <v>0</v>
      </c>
      <c r="AO130" s="15">
        <v>0</v>
      </c>
      <c r="AP130" s="15">
        <v>0</v>
      </c>
      <c r="AQ130" s="15">
        <v>0</v>
      </c>
      <c r="AR130" s="15">
        <v>0</v>
      </c>
      <c r="AS130" s="15">
        <v>0</v>
      </c>
      <c r="AT130" s="15">
        <v>0</v>
      </c>
      <c r="AU130" s="15">
        <v>0</v>
      </c>
      <c r="AV130" s="15">
        <v>0</v>
      </c>
      <c r="AW130" s="15">
        <v>0</v>
      </c>
      <c r="AX130" s="15">
        <v>0</v>
      </c>
      <c r="AY130" s="15">
        <v>0</v>
      </c>
      <c r="AZ130" s="15">
        <v>0</v>
      </c>
      <c r="BA130" s="15">
        <v>0</v>
      </c>
      <c r="BB130" s="15">
        <v>0</v>
      </c>
      <c r="BC130" s="15">
        <v>0</v>
      </c>
      <c r="BD130" s="15">
        <v>0</v>
      </c>
      <c r="BE130" s="15">
        <v>0</v>
      </c>
      <c r="BF130" s="15">
        <f t="shared" si="101"/>
        <v>0</v>
      </c>
      <c r="BG130" s="15">
        <f t="shared" si="102"/>
        <v>0</v>
      </c>
      <c r="BH130" s="15">
        <f t="shared" si="103"/>
        <v>0</v>
      </c>
      <c r="BI130" s="15">
        <f t="shared" si="104"/>
        <v>0</v>
      </c>
    </row>
    <row r="131" spans="2:61" x14ac:dyDescent="0.25">
      <c r="C131" s="7">
        <v>645</v>
      </c>
      <c r="D131" s="7" t="s">
        <v>468</v>
      </c>
      <c r="E131" s="15">
        <v>0</v>
      </c>
      <c r="F131" s="15">
        <v>0</v>
      </c>
      <c r="G131" s="15">
        <v>0</v>
      </c>
      <c r="H131" s="15">
        <v>0</v>
      </c>
      <c r="I131" s="15">
        <v>0</v>
      </c>
      <c r="J131" s="15">
        <v>0</v>
      </c>
      <c r="K131" s="15">
        <v>0</v>
      </c>
      <c r="L131" s="15">
        <v>0</v>
      </c>
      <c r="M131" s="15">
        <v>0</v>
      </c>
      <c r="N131" s="15">
        <v>0</v>
      </c>
      <c r="O131" s="15">
        <v>0</v>
      </c>
      <c r="P131" s="15">
        <v>0</v>
      </c>
      <c r="Q131" s="15">
        <v>0</v>
      </c>
      <c r="R131" s="15">
        <v>0</v>
      </c>
      <c r="S131" s="15">
        <v>0</v>
      </c>
      <c r="T131" s="15">
        <v>0</v>
      </c>
      <c r="U131" s="15">
        <v>0</v>
      </c>
      <c r="V131" s="15">
        <v>0</v>
      </c>
      <c r="W131" s="15">
        <v>0</v>
      </c>
      <c r="X131" s="15">
        <v>0</v>
      </c>
      <c r="Y131" s="15">
        <v>0</v>
      </c>
      <c r="Z131" s="15">
        <v>0</v>
      </c>
      <c r="AA131" s="15">
        <v>0</v>
      </c>
      <c r="AB131" s="15">
        <v>0</v>
      </c>
      <c r="AC131" s="15">
        <v>0</v>
      </c>
      <c r="AD131" s="15">
        <v>0</v>
      </c>
      <c r="AE131" s="15">
        <v>0</v>
      </c>
      <c r="AF131" s="15">
        <v>0</v>
      </c>
      <c r="AG131" s="15">
        <v>0</v>
      </c>
      <c r="AH131" s="15">
        <v>0</v>
      </c>
      <c r="AI131" s="15">
        <v>0</v>
      </c>
      <c r="AJ131" s="15">
        <v>0</v>
      </c>
      <c r="AK131" s="15">
        <v>0</v>
      </c>
      <c r="AL131" s="15">
        <v>0</v>
      </c>
      <c r="AM131" s="15">
        <v>0</v>
      </c>
      <c r="AN131" s="15">
        <v>0</v>
      </c>
      <c r="AO131" s="15">
        <v>0</v>
      </c>
      <c r="AP131" s="15">
        <v>0</v>
      </c>
      <c r="AQ131" s="15">
        <v>0</v>
      </c>
      <c r="AR131" s="15">
        <v>0</v>
      </c>
      <c r="AS131" s="15">
        <v>0</v>
      </c>
      <c r="AT131" s="15">
        <v>0</v>
      </c>
      <c r="AU131" s="15">
        <v>0</v>
      </c>
      <c r="AV131" s="15">
        <v>0</v>
      </c>
      <c r="AW131" s="15">
        <v>0</v>
      </c>
      <c r="AX131" s="15">
        <v>0</v>
      </c>
      <c r="AY131" s="15">
        <v>0</v>
      </c>
      <c r="AZ131" s="15">
        <v>0</v>
      </c>
      <c r="BA131" s="15">
        <v>0</v>
      </c>
      <c r="BB131" s="15">
        <v>0</v>
      </c>
      <c r="BC131" s="15">
        <v>0</v>
      </c>
      <c r="BD131" s="15">
        <v>0</v>
      </c>
      <c r="BE131" s="15">
        <v>0</v>
      </c>
      <c r="BF131" s="15">
        <f t="shared" si="101"/>
        <v>0</v>
      </c>
      <c r="BG131" s="15">
        <f t="shared" si="102"/>
        <v>0</v>
      </c>
      <c r="BH131" s="15">
        <f t="shared" si="103"/>
        <v>0</v>
      </c>
      <c r="BI131" s="15">
        <f t="shared" si="104"/>
        <v>0</v>
      </c>
    </row>
    <row r="132" spans="2:61" x14ac:dyDescent="0.25">
      <c r="C132" s="7">
        <v>646</v>
      </c>
      <c r="D132" s="7" t="s">
        <v>469</v>
      </c>
      <c r="E132" s="15">
        <v>0</v>
      </c>
      <c r="F132" s="15">
        <v>0</v>
      </c>
      <c r="G132" s="15">
        <v>0</v>
      </c>
      <c r="H132" s="15">
        <v>0</v>
      </c>
      <c r="I132" s="15">
        <v>0</v>
      </c>
      <c r="J132" s="15">
        <v>0</v>
      </c>
      <c r="K132" s="15">
        <v>0</v>
      </c>
      <c r="L132" s="15">
        <v>0</v>
      </c>
      <c r="M132" s="15">
        <v>0</v>
      </c>
      <c r="N132" s="15">
        <v>0</v>
      </c>
      <c r="O132" s="15">
        <v>0</v>
      </c>
      <c r="P132" s="15">
        <v>0</v>
      </c>
      <c r="Q132" s="15">
        <v>0</v>
      </c>
      <c r="R132" s="15">
        <v>0</v>
      </c>
      <c r="S132" s="15">
        <v>0</v>
      </c>
      <c r="T132" s="15">
        <v>0</v>
      </c>
      <c r="U132" s="15">
        <v>0</v>
      </c>
      <c r="V132" s="15">
        <v>0</v>
      </c>
      <c r="W132" s="15">
        <v>0</v>
      </c>
      <c r="X132" s="15">
        <v>0</v>
      </c>
      <c r="Y132" s="15">
        <v>0</v>
      </c>
      <c r="Z132" s="15">
        <v>0</v>
      </c>
      <c r="AA132" s="15">
        <v>0</v>
      </c>
      <c r="AB132" s="15">
        <v>0</v>
      </c>
      <c r="AC132" s="15">
        <v>0</v>
      </c>
      <c r="AD132" s="15">
        <v>0</v>
      </c>
      <c r="AE132" s="15">
        <v>0</v>
      </c>
      <c r="AF132" s="15">
        <v>0</v>
      </c>
      <c r="AG132" s="15">
        <v>0</v>
      </c>
      <c r="AH132" s="15">
        <v>0</v>
      </c>
      <c r="AI132" s="15">
        <v>0</v>
      </c>
      <c r="AJ132" s="15">
        <v>0</v>
      </c>
      <c r="AK132" s="15">
        <v>0</v>
      </c>
      <c r="AL132" s="15">
        <v>0</v>
      </c>
      <c r="AM132" s="15">
        <v>0</v>
      </c>
      <c r="AN132" s="15">
        <v>0</v>
      </c>
      <c r="AO132" s="15">
        <v>0</v>
      </c>
      <c r="AP132" s="15">
        <v>0</v>
      </c>
      <c r="AQ132" s="15">
        <v>0</v>
      </c>
      <c r="AR132" s="15">
        <v>0</v>
      </c>
      <c r="AS132" s="15">
        <v>0</v>
      </c>
      <c r="AT132" s="15">
        <v>0</v>
      </c>
      <c r="AU132" s="15">
        <v>0</v>
      </c>
      <c r="AV132" s="15">
        <v>0</v>
      </c>
      <c r="AW132" s="15">
        <v>0</v>
      </c>
      <c r="AX132" s="15">
        <v>0</v>
      </c>
      <c r="AY132" s="15">
        <v>0</v>
      </c>
      <c r="AZ132" s="15">
        <v>0</v>
      </c>
      <c r="BA132" s="15">
        <v>0</v>
      </c>
      <c r="BB132" s="15">
        <v>0</v>
      </c>
      <c r="BC132" s="15">
        <v>0</v>
      </c>
      <c r="BD132" s="15">
        <v>0</v>
      </c>
      <c r="BE132" s="15">
        <v>0</v>
      </c>
      <c r="BF132" s="15">
        <f t="shared" si="101"/>
        <v>0</v>
      </c>
      <c r="BG132" s="15">
        <f t="shared" si="102"/>
        <v>0</v>
      </c>
      <c r="BH132" s="15">
        <f t="shared" si="103"/>
        <v>0</v>
      </c>
      <c r="BI132" s="15">
        <f t="shared" si="104"/>
        <v>0</v>
      </c>
    </row>
    <row r="133" spans="2:61" x14ac:dyDescent="0.25">
      <c r="C133" s="7">
        <v>647</v>
      </c>
      <c r="D133" s="7" t="s">
        <v>470</v>
      </c>
      <c r="E133" s="15">
        <v>0</v>
      </c>
      <c r="F133" s="15">
        <v>0</v>
      </c>
      <c r="G133" s="15">
        <v>0</v>
      </c>
      <c r="H133" s="15">
        <v>0</v>
      </c>
      <c r="I133" s="15">
        <v>0</v>
      </c>
      <c r="J133" s="15">
        <v>0</v>
      </c>
      <c r="K133" s="15">
        <v>0</v>
      </c>
      <c r="L133" s="15">
        <v>0</v>
      </c>
      <c r="M133" s="15">
        <v>0</v>
      </c>
      <c r="N133" s="15">
        <v>0</v>
      </c>
      <c r="O133" s="15">
        <v>0</v>
      </c>
      <c r="P133" s="15">
        <v>0</v>
      </c>
      <c r="Q133" s="15">
        <v>0</v>
      </c>
      <c r="R133" s="15">
        <v>0</v>
      </c>
      <c r="S133" s="15">
        <v>0</v>
      </c>
      <c r="T133" s="15">
        <v>0</v>
      </c>
      <c r="U133" s="15">
        <v>0</v>
      </c>
      <c r="V133" s="15">
        <v>0</v>
      </c>
      <c r="W133" s="15">
        <v>0</v>
      </c>
      <c r="X133" s="15">
        <v>0</v>
      </c>
      <c r="Y133" s="15">
        <v>0</v>
      </c>
      <c r="Z133" s="15">
        <v>0</v>
      </c>
      <c r="AA133" s="15">
        <v>0</v>
      </c>
      <c r="AB133" s="15">
        <v>0</v>
      </c>
      <c r="AC133" s="15">
        <v>0</v>
      </c>
      <c r="AD133" s="15">
        <v>0</v>
      </c>
      <c r="AE133" s="15">
        <v>0</v>
      </c>
      <c r="AF133" s="15">
        <v>0</v>
      </c>
      <c r="AG133" s="15">
        <v>0</v>
      </c>
      <c r="AH133" s="15">
        <v>0</v>
      </c>
      <c r="AI133" s="15">
        <v>0</v>
      </c>
      <c r="AJ133" s="15">
        <v>0</v>
      </c>
      <c r="AK133" s="15">
        <v>0</v>
      </c>
      <c r="AL133" s="15">
        <v>0</v>
      </c>
      <c r="AM133" s="15">
        <v>0</v>
      </c>
      <c r="AN133" s="15">
        <v>0</v>
      </c>
      <c r="AO133" s="15">
        <v>0</v>
      </c>
      <c r="AP133" s="15">
        <v>0</v>
      </c>
      <c r="AQ133" s="15">
        <v>0</v>
      </c>
      <c r="AR133" s="15">
        <v>0</v>
      </c>
      <c r="AS133" s="15">
        <v>0</v>
      </c>
      <c r="AT133" s="15">
        <v>0</v>
      </c>
      <c r="AU133" s="15">
        <v>0</v>
      </c>
      <c r="AV133" s="15">
        <v>0</v>
      </c>
      <c r="AW133" s="15">
        <v>0</v>
      </c>
      <c r="AX133" s="15">
        <v>0</v>
      </c>
      <c r="AY133" s="15">
        <v>0</v>
      </c>
      <c r="AZ133" s="15">
        <v>0</v>
      </c>
      <c r="BA133" s="15">
        <v>0</v>
      </c>
      <c r="BB133" s="15">
        <v>0</v>
      </c>
      <c r="BC133" s="15">
        <v>0</v>
      </c>
      <c r="BD133" s="15">
        <v>0</v>
      </c>
      <c r="BE133" s="15">
        <v>0</v>
      </c>
      <c r="BF133" s="15">
        <f t="shared" si="101"/>
        <v>0</v>
      </c>
      <c r="BG133" s="15">
        <f t="shared" si="102"/>
        <v>0</v>
      </c>
      <c r="BH133" s="15">
        <f t="shared" si="103"/>
        <v>0</v>
      </c>
      <c r="BI133" s="15">
        <f t="shared" si="104"/>
        <v>0</v>
      </c>
    </row>
    <row r="134" spans="2:61" x14ac:dyDescent="0.25">
      <c r="C134" s="7">
        <v>648</v>
      </c>
      <c r="D134" s="7" t="s">
        <v>471</v>
      </c>
      <c r="E134" s="15">
        <v>0</v>
      </c>
      <c r="F134" s="15">
        <v>0</v>
      </c>
      <c r="G134" s="15">
        <v>0</v>
      </c>
      <c r="H134" s="15">
        <v>0</v>
      </c>
      <c r="I134" s="15">
        <v>0</v>
      </c>
      <c r="J134" s="15">
        <v>0</v>
      </c>
      <c r="K134" s="15">
        <v>0</v>
      </c>
      <c r="L134" s="15">
        <v>0</v>
      </c>
      <c r="M134" s="15">
        <v>0</v>
      </c>
      <c r="N134" s="15">
        <v>0</v>
      </c>
      <c r="O134" s="15">
        <v>0</v>
      </c>
      <c r="P134" s="15">
        <v>0</v>
      </c>
      <c r="Q134" s="15">
        <v>0</v>
      </c>
      <c r="R134" s="15">
        <v>0</v>
      </c>
      <c r="S134" s="15">
        <v>0</v>
      </c>
      <c r="T134" s="15">
        <v>0</v>
      </c>
      <c r="U134" s="15">
        <v>0</v>
      </c>
      <c r="V134" s="15">
        <v>0</v>
      </c>
      <c r="W134" s="15">
        <v>0</v>
      </c>
      <c r="X134" s="15">
        <v>0</v>
      </c>
      <c r="Y134" s="15">
        <v>0</v>
      </c>
      <c r="Z134" s="15">
        <v>0</v>
      </c>
      <c r="AA134" s="15">
        <v>0</v>
      </c>
      <c r="AB134" s="15">
        <v>0</v>
      </c>
      <c r="AC134" s="15">
        <v>0</v>
      </c>
      <c r="AD134" s="15">
        <v>0</v>
      </c>
      <c r="AE134" s="15">
        <v>0</v>
      </c>
      <c r="AF134" s="15">
        <v>0</v>
      </c>
      <c r="AG134" s="15">
        <v>0</v>
      </c>
      <c r="AH134" s="15">
        <v>0</v>
      </c>
      <c r="AI134" s="15">
        <v>0</v>
      </c>
      <c r="AJ134" s="15">
        <v>0</v>
      </c>
      <c r="AK134" s="15">
        <v>0</v>
      </c>
      <c r="AL134" s="15">
        <v>0</v>
      </c>
      <c r="AM134" s="15">
        <v>0</v>
      </c>
      <c r="AN134" s="15">
        <v>0</v>
      </c>
      <c r="AO134" s="15">
        <v>0</v>
      </c>
      <c r="AP134" s="15">
        <v>0</v>
      </c>
      <c r="AQ134" s="15">
        <v>0</v>
      </c>
      <c r="AR134" s="15">
        <v>0</v>
      </c>
      <c r="AS134" s="15">
        <v>0</v>
      </c>
      <c r="AT134" s="15">
        <v>0</v>
      </c>
      <c r="AU134" s="15">
        <v>0</v>
      </c>
      <c r="AV134" s="15">
        <v>0</v>
      </c>
      <c r="AW134" s="15">
        <v>0</v>
      </c>
      <c r="AX134" s="15">
        <v>0</v>
      </c>
      <c r="AY134" s="15">
        <v>0</v>
      </c>
      <c r="AZ134" s="15">
        <v>0</v>
      </c>
      <c r="BA134" s="15">
        <v>0</v>
      </c>
      <c r="BB134" s="15">
        <v>0</v>
      </c>
      <c r="BC134" s="15">
        <v>0</v>
      </c>
      <c r="BD134" s="15">
        <v>0</v>
      </c>
      <c r="BE134" s="15">
        <v>0</v>
      </c>
      <c r="BF134" s="15">
        <f t="shared" si="101"/>
        <v>0</v>
      </c>
      <c r="BG134" s="15">
        <f t="shared" si="102"/>
        <v>0</v>
      </c>
      <c r="BH134" s="15">
        <f t="shared" si="103"/>
        <v>0</v>
      </c>
      <c r="BI134" s="15">
        <f t="shared" si="104"/>
        <v>0</v>
      </c>
    </row>
    <row r="135" spans="2:61" x14ac:dyDescent="0.2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row>
    <row r="136" spans="2:61" x14ac:dyDescent="0.25">
      <c r="B136" s="128">
        <v>65</v>
      </c>
      <c r="C136" s="128"/>
      <c r="D136" s="128" t="s">
        <v>484</v>
      </c>
      <c r="E136" s="175">
        <f>E137+E138+E139+E140+E141+E142+E143+E144+E145</f>
        <v>0</v>
      </c>
      <c r="F136" s="175">
        <f t="shared" ref="F136:BI136" si="105">F137+F138+F139+F140+F141+F142+F143+F144+F145</f>
        <v>0</v>
      </c>
      <c r="G136" s="175">
        <f t="shared" si="105"/>
        <v>0</v>
      </c>
      <c r="H136" s="175">
        <f t="shared" si="105"/>
        <v>0</v>
      </c>
      <c r="I136" s="175">
        <f t="shared" si="105"/>
        <v>0</v>
      </c>
      <c r="J136" s="175">
        <f t="shared" si="105"/>
        <v>0</v>
      </c>
      <c r="K136" s="175">
        <f t="shared" si="105"/>
        <v>0</v>
      </c>
      <c r="L136" s="175">
        <f t="shared" si="105"/>
        <v>0</v>
      </c>
      <c r="M136" s="175">
        <f t="shared" si="105"/>
        <v>0</v>
      </c>
      <c r="N136" s="175">
        <f t="shared" si="105"/>
        <v>0</v>
      </c>
      <c r="O136" s="175">
        <f t="shared" si="105"/>
        <v>0</v>
      </c>
      <c r="P136" s="175">
        <f t="shared" si="105"/>
        <v>0</v>
      </c>
      <c r="Q136" s="175">
        <f t="shared" si="105"/>
        <v>0</v>
      </c>
      <c r="R136" s="175">
        <f t="shared" si="105"/>
        <v>0</v>
      </c>
      <c r="S136" s="175">
        <f t="shared" si="105"/>
        <v>0</v>
      </c>
      <c r="T136" s="175">
        <f t="shared" si="105"/>
        <v>0</v>
      </c>
      <c r="U136" s="175">
        <f t="shared" si="105"/>
        <v>0</v>
      </c>
      <c r="V136" s="175">
        <f t="shared" si="105"/>
        <v>0</v>
      </c>
      <c r="W136" s="175">
        <f t="shared" si="105"/>
        <v>0</v>
      </c>
      <c r="X136" s="175">
        <f t="shared" si="105"/>
        <v>0</v>
      </c>
      <c r="Y136" s="175">
        <f t="shared" si="105"/>
        <v>0</v>
      </c>
      <c r="Z136" s="175">
        <f t="shared" si="105"/>
        <v>0</v>
      </c>
      <c r="AA136" s="175">
        <f t="shared" si="105"/>
        <v>0</v>
      </c>
      <c r="AB136" s="175">
        <f t="shared" si="105"/>
        <v>0</v>
      </c>
      <c r="AC136" s="175">
        <f t="shared" si="105"/>
        <v>0</v>
      </c>
      <c r="AD136" s="175">
        <f t="shared" si="105"/>
        <v>0</v>
      </c>
      <c r="AE136" s="175">
        <f t="shared" si="105"/>
        <v>0</v>
      </c>
      <c r="AF136" s="175">
        <f t="shared" si="105"/>
        <v>0</v>
      </c>
      <c r="AG136" s="175">
        <f t="shared" si="105"/>
        <v>0</v>
      </c>
      <c r="AH136" s="175">
        <f t="shared" si="105"/>
        <v>0</v>
      </c>
      <c r="AI136" s="175">
        <f t="shared" si="105"/>
        <v>0</v>
      </c>
      <c r="AJ136" s="175">
        <f t="shared" si="105"/>
        <v>0</v>
      </c>
      <c r="AK136" s="175">
        <f t="shared" si="105"/>
        <v>0</v>
      </c>
      <c r="AL136" s="175">
        <f t="shared" si="105"/>
        <v>0</v>
      </c>
      <c r="AM136" s="175">
        <f t="shared" si="105"/>
        <v>0</v>
      </c>
      <c r="AN136" s="175">
        <f t="shared" si="105"/>
        <v>0</v>
      </c>
      <c r="AO136" s="175">
        <f t="shared" si="105"/>
        <v>0</v>
      </c>
      <c r="AP136" s="175">
        <f t="shared" si="105"/>
        <v>0</v>
      </c>
      <c r="AQ136" s="175">
        <f t="shared" si="105"/>
        <v>0</v>
      </c>
      <c r="AR136" s="175">
        <f t="shared" si="105"/>
        <v>0</v>
      </c>
      <c r="AS136" s="175">
        <f t="shared" si="105"/>
        <v>0</v>
      </c>
      <c r="AT136" s="175">
        <f t="shared" si="105"/>
        <v>0</v>
      </c>
      <c r="AU136" s="175">
        <f t="shared" si="105"/>
        <v>0</v>
      </c>
      <c r="AV136" s="175">
        <f t="shared" si="105"/>
        <v>0</v>
      </c>
      <c r="AW136" s="175">
        <f t="shared" si="105"/>
        <v>0</v>
      </c>
      <c r="AX136" s="175">
        <f t="shared" si="105"/>
        <v>0</v>
      </c>
      <c r="AY136" s="175">
        <f t="shared" si="105"/>
        <v>0</v>
      </c>
      <c r="AZ136" s="175">
        <f t="shared" si="105"/>
        <v>0</v>
      </c>
      <c r="BA136" s="175">
        <f t="shared" si="105"/>
        <v>0</v>
      </c>
      <c r="BB136" s="175">
        <f t="shared" si="105"/>
        <v>0</v>
      </c>
      <c r="BC136" s="175">
        <f t="shared" si="105"/>
        <v>0</v>
      </c>
      <c r="BD136" s="175">
        <f t="shared" si="105"/>
        <v>0</v>
      </c>
      <c r="BE136" s="175">
        <f t="shared" si="105"/>
        <v>0</v>
      </c>
      <c r="BF136" s="175">
        <f t="shared" si="105"/>
        <v>0</v>
      </c>
      <c r="BG136" s="175">
        <f t="shared" si="105"/>
        <v>0</v>
      </c>
      <c r="BH136" s="175">
        <f t="shared" si="105"/>
        <v>0</v>
      </c>
      <c r="BI136" s="175">
        <f t="shared" si="105"/>
        <v>0</v>
      </c>
    </row>
    <row r="137" spans="2:61" x14ac:dyDescent="0.25">
      <c r="C137" s="7">
        <v>650</v>
      </c>
      <c r="D137" s="7" t="s">
        <v>463</v>
      </c>
      <c r="E137" s="15">
        <v>0</v>
      </c>
      <c r="F137" s="15">
        <v>0</v>
      </c>
      <c r="G137" s="15">
        <v>0</v>
      </c>
      <c r="H137" s="15">
        <v>0</v>
      </c>
      <c r="I137" s="15">
        <v>0</v>
      </c>
      <c r="J137" s="15">
        <v>0</v>
      </c>
      <c r="K137" s="15">
        <v>0</v>
      </c>
      <c r="L137" s="15">
        <v>0</v>
      </c>
      <c r="M137" s="15">
        <v>0</v>
      </c>
      <c r="N137" s="15">
        <v>0</v>
      </c>
      <c r="O137" s="15">
        <v>0</v>
      </c>
      <c r="P137" s="15">
        <v>0</v>
      </c>
      <c r="Q137" s="15">
        <v>0</v>
      </c>
      <c r="R137" s="15">
        <v>0</v>
      </c>
      <c r="S137" s="15">
        <v>0</v>
      </c>
      <c r="T137" s="15">
        <v>0</v>
      </c>
      <c r="U137" s="15">
        <v>0</v>
      </c>
      <c r="V137" s="15">
        <v>0</v>
      </c>
      <c r="W137" s="15">
        <v>0</v>
      </c>
      <c r="X137" s="15">
        <v>0</v>
      </c>
      <c r="Y137" s="15">
        <v>0</v>
      </c>
      <c r="Z137" s="15">
        <v>0</v>
      </c>
      <c r="AA137" s="15">
        <v>0</v>
      </c>
      <c r="AB137" s="15">
        <v>0</v>
      </c>
      <c r="AC137" s="15">
        <v>0</v>
      </c>
      <c r="AD137" s="15">
        <v>0</v>
      </c>
      <c r="AE137" s="15">
        <v>0</v>
      </c>
      <c r="AF137" s="15">
        <v>0</v>
      </c>
      <c r="AG137" s="15">
        <v>0</v>
      </c>
      <c r="AH137" s="15">
        <v>0</v>
      </c>
      <c r="AI137" s="15">
        <v>0</v>
      </c>
      <c r="AJ137" s="15">
        <v>0</v>
      </c>
      <c r="AK137" s="15">
        <v>0</v>
      </c>
      <c r="AL137" s="15">
        <v>0</v>
      </c>
      <c r="AM137" s="15">
        <v>0</v>
      </c>
      <c r="AN137" s="15">
        <v>0</v>
      </c>
      <c r="AO137" s="15">
        <v>0</v>
      </c>
      <c r="AP137" s="15">
        <v>0</v>
      </c>
      <c r="AQ137" s="15">
        <v>0</v>
      </c>
      <c r="AR137" s="15">
        <v>0</v>
      </c>
      <c r="AS137" s="15">
        <v>0</v>
      </c>
      <c r="AT137" s="15">
        <v>0</v>
      </c>
      <c r="AU137" s="15">
        <v>0</v>
      </c>
      <c r="AV137" s="15">
        <v>0</v>
      </c>
      <c r="AW137" s="15">
        <v>0</v>
      </c>
      <c r="AX137" s="15">
        <v>0</v>
      </c>
      <c r="AY137" s="15">
        <v>0</v>
      </c>
      <c r="AZ137" s="15">
        <v>0</v>
      </c>
      <c r="BA137" s="15">
        <v>0</v>
      </c>
      <c r="BB137" s="15">
        <v>0</v>
      </c>
      <c r="BC137" s="15">
        <v>0</v>
      </c>
      <c r="BD137" s="15">
        <v>0</v>
      </c>
      <c r="BE137" s="15">
        <v>0</v>
      </c>
      <c r="BF137" s="15">
        <f t="shared" ref="BF137:BF145" si="106">SUM(E137:BE137)</f>
        <v>0</v>
      </c>
      <c r="BG137" s="15">
        <f t="shared" ref="BG137:BG145" si="107">SUM(E137:W137)</f>
        <v>0</v>
      </c>
      <c r="BH137" s="15">
        <f t="shared" ref="BH137:BH145" si="108">SUM(X137:AJ137)</f>
        <v>0</v>
      </c>
      <c r="BI137" s="15">
        <f t="shared" ref="BI137:BI145" si="109">SUM(AK137:BE137)</f>
        <v>0</v>
      </c>
    </row>
    <row r="138" spans="2:61" x14ac:dyDescent="0.25">
      <c r="C138" s="7">
        <v>651</v>
      </c>
      <c r="D138" s="7" t="s">
        <v>464</v>
      </c>
      <c r="E138" s="15">
        <v>0</v>
      </c>
      <c r="F138" s="15">
        <v>0</v>
      </c>
      <c r="G138" s="15">
        <v>0</v>
      </c>
      <c r="H138" s="15">
        <v>0</v>
      </c>
      <c r="I138" s="15">
        <v>0</v>
      </c>
      <c r="J138" s="15">
        <v>0</v>
      </c>
      <c r="K138" s="15">
        <v>0</v>
      </c>
      <c r="L138" s="15">
        <v>0</v>
      </c>
      <c r="M138" s="15">
        <v>0</v>
      </c>
      <c r="N138" s="15">
        <v>0</v>
      </c>
      <c r="O138" s="15">
        <v>0</v>
      </c>
      <c r="P138" s="15">
        <v>0</v>
      </c>
      <c r="Q138" s="15">
        <v>0</v>
      </c>
      <c r="R138" s="15">
        <v>0</v>
      </c>
      <c r="S138" s="15">
        <v>0</v>
      </c>
      <c r="T138" s="15">
        <v>0</v>
      </c>
      <c r="U138" s="15">
        <v>0</v>
      </c>
      <c r="V138" s="15">
        <v>0</v>
      </c>
      <c r="W138" s="15">
        <v>0</v>
      </c>
      <c r="X138" s="15">
        <v>0</v>
      </c>
      <c r="Y138" s="15">
        <v>0</v>
      </c>
      <c r="Z138" s="15">
        <v>0</v>
      </c>
      <c r="AA138" s="15">
        <v>0</v>
      </c>
      <c r="AB138" s="15">
        <v>0</v>
      </c>
      <c r="AC138" s="15">
        <v>0</v>
      </c>
      <c r="AD138" s="15">
        <v>0</v>
      </c>
      <c r="AE138" s="15">
        <v>0</v>
      </c>
      <c r="AF138" s="15">
        <v>0</v>
      </c>
      <c r="AG138" s="15">
        <v>0</v>
      </c>
      <c r="AH138" s="15">
        <v>0</v>
      </c>
      <c r="AI138" s="15">
        <v>0</v>
      </c>
      <c r="AJ138" s="15">
        <v>0</v>
      </c>
      <c r="AK138" s="15">
        <v>0</v>
      </c>
      <c r="AL138" s="15">
        <v>0</v>
      </c>
      <c r="AM138" s="15">
        <v>0</v>
      </c>
      <c r="AN138" s="15">
        <v>0</v>
      </c>
      <c r="AO138" s="15">
        <v>0</v>
      </c>
      <c r="AP138" s="15">
        <v>0</v>
      </c>
      <c r="AQ138" s="15">
        <v>0</v>
      </c>
      <c r="AR138" s="15">
        <v>0</v>
      </c>
      <c r="AS138" s="15">
        <v>0</v>
      </c>
      <c r="AT138" s="15">
        <v>0</v>
      </c>
      <c r="AU138" s="15">
        <v>0</v>
      </c>
      <c r="AV138" s="15">
        <v>0</v>
      </c>
      <c r="AW138" s="15">
        <v>0</v>
      </c>
      <c r="AX138" s="15">
        <v>0</v>
      </c>
      <c r="AY138" s="15">
        <v>0</v>
      </c>
      <c r="AZ138" s="15">
        <v>0</v>
      </c>
      <c r="BA138" s="15">
        <v>0</v>
      </c>
      <c r="BB138" s="15">
        <v>0</v>
      </c>
      <c r="BC138" s="15">
        <v>0</v>
      </c>
      <c r="BD138" s="15">
        <v>0</v>
      </c>
      <c r="BE138" s="15">
        <v>0</v>
      </c>
      <c r="BF138" s="15">
        <f t="shared" si="106"/>
        <v>0</v>
      </c>
      <c r="BG138" s="15">
        <f t="shared" si="107"/>
        <v>0</v>
      </c>
      <c r="BH138" s="15">
        <f t="shared" si="108"/>
        <v>0</v>
      </c>
      <c r="BI138" s="15">
        <f t="shared" si="109"/>
        <v>0</v>
      </c>
    </row>
    <row r="139" spans="2:61" x14ac:dyDescent="0.25">
      <c r="C139" s="7">
        <v>652</v>
      </c>
      <c r="D139" s="7" t="s">
        <v>465</v>
      </c>
      <c r="E139" s="15">
        <v>0</v>
      </c>
      <c r="F139" s="15">
        <v>0</v>
      </c>
      <c r="G139" s="15">
        <v>0</v>
      </c>
      <c r="H139" s="15">
        <v>0</v>
      </c>
      <c r="I139" s="15">
        <v>0</v>
      </c>
      <c r="J139" s="15">
        <v>0</v>
      </c>
      <c r="K139" s="15">
        <v>0</v>
      </c>
      <c r="L139" s="15">
        <v>0</v>
      </c>
      <c r="M139" s="15">
        <v>0</v>
      </c>
      <c r="N139" s="15">
        <v>0</v>
      </c>
      <c r="O139" s="15">
        <v>0</v>
      </c>
      <c r="P139" s="15">
        <v>0</v>
      </c>
      <c r="Q139" s="15">
        <v>0</v>
      </c>
      <c r="R139" s="15">
        <v>0</v>
      </c>
      <c r="S139" s="15">
        <v>0</v>
      </c>
      <c r="T139" s="15">
        <v>0</v>
      </c>
      <c r="U139" s="15">
        <v>0</v>
      </c>
      <c r="V139" s="15">
        <v>0</v>
      </c>
      <c r="W139" s="15">
        <v>0</v>
      </c>
      <c r="X139" s="15">
        <v>0</v>
      </c>
      <c r="Y139" s="15">
        <v>0</v>
      </c>
      <c r="Z139" s="15">
        <v>0</v>
      </c>
      <c r="AA139" s="15">
        <v>0</v>
      </c>
      <c r="AB139" s="15">
        <v>0</v>
      </c>
      <c r="AC139" s="15">
        <v>0</v>
      </c>
      <c r="AD139" s="15">
        <v>0</v>
      </c>
      <c r="AE139" s="15">
        <v>0</v>
      </c>
      <c r="AF139" s="15">
        <v>0</v>
      </c>
      <c r="AG139" s="15">
        <v>0</v>
      </c>
      <c r="AH139" s="15">
        <v>0</v>
      </c>
      <c r="AI139" s="15">
        <v>0</v>
      </c>
      <c r="AJ139" s="15">
        <v>0</v>
      </c>
      <c r="AK139" s="15">
        <v>0</v>
      </c>
      <c r="AL139" s="15">
        <v>0</v>
      </c>
      <c r="AM139" s="15">
        <v>0</v>
      </c>
      <c r="AN139" s="15">
        <v>0</v>
      </c>
      <c r="AO139" s="15">
        <v>0</v>
      </c>
      <c r="AP139" s="15">
        <v>0</v>
      </c>
      <c r="AQ139" s="15">
        <v>0</v>
      </c>
      <c r="AR139" s="15">
        <v>0</v>
      </c>
      <c r="AS139" s="15">
        <v>0</v>
      </c>
      <c r="AT139" s="15">
        <v>0</v>
      </c>
      <c r="AU139" s="15">
        <v>0</v>
      </c>
      <c r="AV139" s="15">
        <v>0</v>
      </c>
      <c r="AW139" s="15">
        <v>0</v>
      </c>
      <c r="AX139" s="15">
        <v>0</v>
      </c>
      <c r="AY139" s="15">
        <v>0</v>
      </c>
      <c r="AZ139" s="15">
        <v>0</v>
      </c>
      <c r="BA139" s="15">
        <v>0</v>
      </c>
      <c r="BB139" s="15">
        <v>0</v>
      </c>
      <c r="BC139" s="15">
        <v>0</v>
      </c>
      <c r="BD139" s="15">
        <v>0</v>
      </c>
      <c r="BE139" s="15">
        <v>0</v>
      </c>
      <c r="BF139" s="15">
        <f t="shared" si="106"/>
        <v>0</v>
      </c>
      <c r="BG139" s="15">
        <f t="shared" si="107"/>
        <v>0</v>
      </c>
      <c r="BH139" s="15">
        <f t="shared" si="108"/>
        <v>0</v>
      </c>
      <c r="BI139" s="15">
        <f t="shared" si="109"/>
        <v>0</v>
      </c>
    </row>
    <row r="140" spans="2:61" x14ac:dyDescent="0.25">
      <c r="C140" s="7">
        <v>653</v>
      </c>
      <c r="D140" s="7" t="s">
        <v>466</v>
      </c>
      <c r="E140" s="15">
        <v>0</v>
      </c>
      <c r="F140" s="15">
        <v>0</v>
      </c>
      <c r="G140" s="15">
        <v>0</v>
      </c>
      <c r="H140" s="15">
        <v>0</v>
      </c>
      <c r="I140" s="15">
        <v>0</v>
      </c>
      <c r="J140" s="15">
        <v>0</v>
      </c>
      <c r="K140" s="15">
        <v>0</v>
      </c>
      <c r="L140" s="15">
        <v>0</v>
      </c>
      <c r="M140" s="15">
        <v>0</v>
      </c>
      <c r="N140" s="15">
        <v>0</v>
      </c>
      <c r="O140" s="15">
        <v>0</v>
      </c>
      <c r="P140" s="15">
        <v>0</v>
      </c>
      <c r="Q140" s="15">
        <v>0</v>
      </c>
      <c r="R140" s="15">
        <v>0</v>
      </c>
      <c r="S140" s="15">
        <v>0</v>
      </c>
      <c r="T140" s="15">
        <v>0</v>
      </c>
      <c r="U140" s="15">
        <v>0</v>
      </c>
      <c r="V140" s="15">
        <v>0</v>
      </c>
      <c r="W140" s="15">
        <v>0</v>
      </c>
      <c r="X140" s="15">
        <v>0</v>
      </c>
      <c r="Y140" s="15">
        <v>0</v>
      </c>
      <c r="Z140" s="15">
        <v>0</v>
      </c>
      <c r="AA140" s="15">
        <v>0</v>
      </c>
      <c r="AB140" s="15">
        <v>0</v>
      </c>
      <c r="AC140" s="15">
        <v>0</v>
      </c>
      <c r="AD140" s="15">
        <v>0</v>
      </c>
      <c r="AE140" s="15">
        <v>0</v>
      </c>
      <c r="AF140" s="15">
        <v>0</v>
      </c>
      <c r="AG140" s="15">
        <v>0</v>
      </c>
      <c r="AH140" s="15">
        <v>0</v>
      </c>
      <c r="AI140" s="15">
        <v>0</v>
      </c>
      <c r="AJ140" s="15">
        <v>0</v>
      </c>
      <c r="AK140" s="15">
        <v>0</v>
      </c>
      <c r="AL140" s="15">
        <v>0</v>
      </c>
      <c r="AM140" s="15">
        <v>0</v>
      </c>
      <c r="AN140" s="15">
        <v>0</v>
      </c>
      <c r="AO140" s="15">
        <v>0</v>
      </c>
      <c r="AP140" s="15">
        <v>0</v>
      </c>
      <c r="AQ140" s="15">
        <v>0</v>
      </c>
      <c r="AR140" s="15">
        <v>0</v>
      </c>
      <c r="AS140" s="15">
        <v>0</v>
      </c>
      <c r="AT140" s="15">
        <v>0</v>
      </c>
      <c r="AU140" s="15">
        <v>0</v>
      </c>
      <c r="AV140" s="15">
        <v>0</v>
      </c>
      <c r="AW140" s="15">
        <v>0</v>
      </c>
      <c r="AX140" s="15">
        <v>0</v>
      </c>
      <c r="AY140" s="15">
        <v>0</v>
      </c>
      <c r="AZ140" s="15">
        <v>0</v>
      </c>
      <c r="BA140" s="15">
        <v>0</v>
      </c>
      <c r="BB140" s="15">
        <v>0</v>
      </c>
      <c r="BC140" s="15">
        <v>0</v>
      </c>
      <c r="BD140" s="15">
        <v>0</v>
      </c>
      <c r="BE140" s="15">
        <v>0</v>
      </c>
      <c r="BF140" s="15">
        <f t="shared" si="106"/>
        <v>0</v>
      </c>
      <c r="BG140" s="15">
        <f t="shared" si="107"/>
        <v>0</v>
      </c>
      <c r="BH140" s="15">
        <f t="shared" si="108"/>
        <v>0</v>
      </c>
      <c r="BI140" s="15">
        <f t="shared" si="109"/>
        <v>0</v>
      </c>
    </row>
    <row r="141" spans="2:61" x14ac:dyDescent="0.25">
      <c r="C141" s="7">
        <v>654</v>
      </c>
      <c r="D141" s="7" t="s">
        <v>467</v>
      </c>
      <c r="E141" s="15">
        <v>0</v>
      </c>
      <c r="F141" s="15">
        <v>0</v>
      </c>
      <c r="G141" s="15">
        <v>0</v>
      </c>
      <c r="H141" s="15">
        <v>0</v>
      </c>
      <c r="I141" s="15">
        <v>0</v>
      </c>
      <c r="J141" s="15">
        <v>0</v>
      </c>
      <c r="K141" s="15">
        <v>0</v>
      </c>
      <c r="L141" s="15">
        <v>0</v>
      </c>
      <c r="M141" s="15">
        <v>0</v>
      </c>
      <c r="N141" s="15">
        <v>0</v>
      </c>
      <c r="O141" s="15">
        <v>0</v>
      </c>
      <c r="P141" s="15">
        <v>0</v>
      </c>
      <c r="Q141" s="15">
        <v>0</v>
      </c>
      <c r="R141" s="15">
        <v>0</v>
      </c>
      <c r="S141" s="15">
        <v>0</v>
      </c>
      <c r="T141" s="15">
        <v>0</v>
      </c>
      <c r="U141" s="15">
        <v>0</v>
      </c>
      <c r="V141" s="15">
        <v>0</v>
      </c>
      <c r="W141" s="15">
        <v>0</v>
      </c>
      <c r="X141" s="15">
        <v>0</v>
      </c>
      <c r="Y141" s="15">
        <v>0</v>
      </c>
      <c r="Z141" s="15">
        <v>0</v>
      </c>
      <c r="AA141" s="15">
        <v>0</v>
      </c>
      <c r="AB141" s="15">
        <v>0</v>
      </c>
      <c r="AC141" s="15">
        <v>0</v>
      </c>
      <c r="AD141" s="15">
        <v>0</v>
      </c>
      <c r="AE141" s="15">
        <v>0</v>
      </c>
      <c r="AF141" s="15">
        <v>0</v>
      </c>
      <c r="AG141" s="15">
        <v>0</v>
      </c>
      <c r="AH141" s="15">
        <v>0</v>
      </c>
      <c r="AI141" s="15">
        <v>0</v>
      </c>
      <c r="AJ141" s="15">
        <v>0</v>
      </c>
      <c r="AK141" s="15">
        <v>0</v>
      </c>
      <c r="AL141" s="15">
        <v>0</v>
      </c>
      <c r="AM141" s="15">
        <v>0</v>
      </c>
      <c r="AN141" s="15">
        <v>0</v>
      </c>
      <c r="AO141" s="15">
        <v>0</v>
      </c>
      <c r="AP141" s="15">
        <v>0</v>
      </c>
      <c r="AQ141" s="15">
        <v>0</v>
      </c>
      <c r="AR141" s="15">
        <v>0</v>
      </c>
      <c r="AS141" s="15">
        <v>0</v>
      </c>
      <c r="AT141" s="15">
        <v>0</v>
      </c>
      <c r="AU141" s="15">
        <v>0</v>
      </c>
      <c r="AV141" s="15">
        <v>0</v>
      </c>
      <c r="AW141" s="15">
        <v>0</v>
      </c>
      <c r="AX141" s="15">
        <v>0</v>
      </c>
      <c r="AY141" s="15">
        <v>0</v>
      </c>
      <c r="AZ141" s="15">
        <v>0</v>
      </c>
      <c r="BA141" s="15">
        <v>0</v>
      </c>
      <c r="BB141" s="15">
        <v>0</v>
      </c>
      <c r="BC141" s="15">
        <v>0</v>
      </c>
      <c r="BD141" s="15">
        <v>0</v>
      </c>
      <c r="BE141" s="15">
        <v>0</v>
      </c>
      <c r="BF141" s="15">
        <f t="shared" si="106"/>
        <v>0</v>
      </c>
      <c r="BG141" s="15">
        <f t="shared" si="107"/>
        <v>0</v>
      </c>
      <c r="BH141" s="15">
        <f t="shared" si="108"/>
        <v>0</v>
      </c>
      <c r="BI141" s="15">
        <f t="shared" si="109"/>
        <v>0</v>
      </c>
    </row>
    <row r="142" spans="2:61" x14ac:dyDescent="0.25">
      <c r="C142" s="7">
        <v>655</v>
      </c>
      <c r="D142" s="7" t="s">
        <v>468</v>
      </c>
      <c r="E142" s="15">
        <v>0</v>
      </c>
      <c r="F142" s="15">
        <v>0</v>
      </c>
      <c r="G142" s="15">
        <v>0</v>
      </c>
      <c r="H142" s="15">
        <v>0</v>
      </c>
      <c r="I142" s="15">
        <v>0</v>
      </c>
      <c r="J142" s="15">
        <v>0</v>
      </c>
      <c r="K142" s="15">
        <v>0</v>
      </c>
      <c r="L142" s="15">
        <v>0</v>
      </c>
      <c r="M142" s="15">
        <v>0</v>
      </c>
      <c r="N142" s="15">
        <v>0</v>
      </c>
      <c r="O142" s="15">
        <v>0</v>
      </c>
      <c r="P142" s="15">
        <v>0</v>
      </c>
      <c r="Q142" s="15">
        <v>0</v>
      </c>
      <c r="R142" s="15">
        <v>0</v>
      </c>
      <c r="S142" s="15">
        <v>0</v>
      </c>
      <c r="T142" s="15">
        <v>0</v>
      </c>
      <c r="U142" s="15">
        <v>0</v>
      </c>
      <c r="V142" s="15">
        <v>0</v>
      </c>
      <c r="W142" s="15">
        <v>0</v>
      </c>
      <c r="X142" s="15">
        <v>0</v>
      </c>
      <c r="Y142" s="15">
        <v>0</v>
      </c>
      <c r="Z142" s="15">
        <v>0</v>
      </c>
      <c r="AA142" s="15">
        <v>0</v>
      </c>
      <c r="AB142" s="15">
        <v>0</v>
      </c>
      <c r="AC142" s="15">
        <v>0</v>
      </c>
      <c r="AD142" s="15">
        <v>0</v>
      </c>
      <c r="AE142" s="15">
        <v>0</v>
      </c>
      <c r="AF142" s="15">
        <v>0</v>
      </c>
      <c r="AG142" s="15">
        <v>0</v>
      </c>
      <c r="AH142" s="15">
        <v>0</v>
      </c>
      <c r="AI142" s="15">
        <v>0</v>
      </c>
      <c r="AJ142" s="15">
        <v>0</v>
      </c>
      <c r="AK142" s="15">
        <v>0</v>
      </c>
      <c r="AL142" s="15">
        <v>0</v>
      </c>
      <c r="AM142" s="15">
        <v>0</v>
      </c>
      <c r="AN142" s="15">
        <v>0</v>
      </c>
      <c r="AO142" s="15">
        <v>0</v>
      </c>
      <c r="AP142" s="15">
        <v>0</v>
      </c>
      <c r="AQ142" s="15">
        <v>0</v>
      </c>
      <c r="AR142" s="15">
        <v>0</v>
      </c>
      <c r="AS142" s="15">
        <v>0</v>
      </c>
      <c r="AT142" s="15">
        <v>0</v>
      </c>
      <c r="AU142" s="15">
        <v>0</v>
      </c>
      <c r="AV142" s="15">
        <v>0</v>
      </c>
      <c r="AW142" s="15">
        <v>0</v>
      </c>
      <c r="AX142" s="15">
        <v>0</v>
      </c>
      <c r="AY142" s="15">
        <v>0</v>
      </c>
      <c r="AZ142" s="15">
        <v>0</v>
      </c>
      <c r="BA142" s="15">
        <v>0</v>
      </c>
      <c r="BB142" s="15">
        <v>0</v>
      </c>
      <c r="BC142" s="15">
        <v>0</v>
      </c>
      <c r="BD142" s="15">
        <v>0</v>
      </c>
      <c r="BE142" s="15">
        <v>0</v>
      </c>
      <c r="BF142" s="15">
        <f t="shared" si="106"/>
        <v>0</v>
      </c>
      <c r="BG142" s="15">
        <f t="shared" si="107"/>
        <v>0</v>
      </c>
      <c r="BH142" s="15">
        <f t="shared" si="108"/>
        <v>0</v>
      </c>
      <c r="BI142" s="15">
        <f t="shared" si="109"/>
        <v>0</v>
      </c>
    </row>
    <row r="143" spans="2:61" x14ac:dyDescent="0.25">
      <c r="C143" s="7">
        <v>656</v>
      </c>
      <c r="D143" s="7" t="s">
        <v>469</v>
      </c>
      <c r="E143" s="15">
        <v>0</v>
      </c>
      <c r="F143" s="15">
        <v>0</v>
      </c>
      <c r="G143" s="15">
        <v>0</v>
      </c>
      <c r="H143" s="15">
        <v>0</v>
      </c>
      <c r="I143" s="15">
        <v>0</v>
      </c>
      <c r="J143" s="15">
        <v>0</v>
      </c>
      <c r="K143" s="15">
        <v>0</v>
      </c>
      <c r="L143" s="15">
        <v>0</v>
      </c>
      <c r="M143" s="15">
        <v>0</v>
      </c>
      <c r="N143" s="15">
        <v>0</v>
      </c>
      <c r="O143" s="15">
        <v>0</v>
      </c>
      <c r="P143" s="15">
        <v>0</v>
      </c>
      <c r="Q143" s="15">
        <v>0</v>
      </c>
      <c r="R143" s="15">
        <v>0</v>
      </c>
      <c r="S143" s="15">
        <v>0</v>
      </c>
      <c r="T143" s="15">
        <v>0</v>
      </c>
      <c r="U143" s="15">
        <v>0</v>
      </c>
      <c r="V143" s="15">
        <v>0</v>
      </c>
      <c r="W143" s="15">
        <v>0</v>
      </c>
      <c r="X143" s="15">
        <v>0</v>
      </c>
      <c r="Y143" s="15">
        <v>0</v>
      </c>
      <c r="Z143" s="15">
        <v>0</v>
      </c>
      <c r="AA143" s="15">
        <v>0</v>
      </c>
      <c r="AB143" s="15">
        <v>0</v>
      </c>
      <c r="AC143" s="15">
        <v>0</v>
      </c>
      <c r="AD143" s="15">
        <v>0</v>
      </c>
      <c r="AE143" s="15">
        <v>0</v>
      </c>
      <c r="AF143" s="15">
        <v>0</v>
      </c>
      <c r="AG143" s="15">
        <v>0</v>
      </c>
      <c r="AH143" s="15">
        <v>0</v>
      </c>
      <c r="AI143" s="15">
        <v>0</v>
      </c>
      <c r="AJ143" s="15">
        <v>0</v>
      </c>
      <c r="AK143" s="15">
        <v>0</v>
      </c>
      <c r="AL143" s="15">
        <v>0</v>
      </c>
      <c r="AM143" s="15">
        <v>0</v>
      </c>
      <c r="AN143" s="15">
        <v>0</v>
      </c>
      <c r="AO143" s="15">
        <v>0</v>
      </c>
      <c r="AP143" s="15">
        <v>0</v>
      </c>
      <c r="AQ143" s="15">
        <v>0</v>
      </c>
      <c r="AR143" s="15">
        <v>0</v>
      </c>
      <c r="AS143" s="15">
        <v>0</v>
      </c>
      <c r="AT143" s="15">
        <v>0</v>
      </c>
      <c r="AU143" s="15">
        <v>0</v>
      </c>
      <c r="AV143" s="15">
        <v>0</v>
      </c>
      <c r="AW143" s="15">
        <v>0</v>
      </c>
      <c r="AX143" s="15">
        <v>0</v>
      </c>
      <c r="AY143" s="15">
        <v>0</v>
      </c>
      <c r="AZ143" s="15">
        <v>0</v>
      </c>
      <c r="BA143" s="15">
        <v>0</v>
      </c>
      <c r="BB143" s="15">
        <v>0</v>
      </c>
      <c r="BC143" s="15">
        <v>0</v>
      </c>
      <c r="BD143" s="15">
        <v>0</v>
      </c>
      <c r="BE143" s="15">
        <v>0</v>
      </c>
      <c r="BF143" s="15">
        <f t="shared" si="106"/>
        <v>0</v>
      </c>
      <c r="BG143" s="15">
        <f t="shared" si="107"/>
        <v>0</v>
      </c>
      <c r="BH143" s="15">
        <f t="shared" si="108"/>
        <v>0</v>
      </c>
      <c r="BI143" s="15">
        <f t="shared" si="109"/>
        <v>0</v>
      </c>
    </row>
    <row r="144" spans="2:61" x14ac:dyDescent="0.25">
      <c r="C144" s="7">
        <v>657</v>
      </c>
      <c r="D144" s="7" t="s">
        <v>470</v>
      </c>
      <c r="E144" s="15">
        <v>0</v>
      </c>
      <c r="F144" s="15">
        <v>0</v>
      </c>
      <c r="G144" s="15">
        <v>0</v>
      </c>
      <c r="H144" s="15">
        <v>0</v>
      </c>
      <c r="I144" s="15">
        <v>0</v>
      </c>
      <c r="J144" s="15">
        <v>0</v>
      </c>
      <c r="K144" s="15">
        <v>0</v>
      </c>
      <c r="L144" s="15">
        <v>0</v>
      </c>
      <c r="M144" s="15">
        <v>0</v>
      </c>
      <c r="N144" s="15">
        <v>0</v>
      </c>
      <c r="O144" s="15">
        <v>0</v>
      </c>
      <c r="P144" s="15">
        <v>0</v>
      </c>
      <c r="Q144" s="15">
        <v>0</v>
      </c>
      <c r="R144" s="15">
        <v>0</v>
      </c>
      <c r="S144" s="15">
        <v>0</v>
      </c>
      <c r="T144" s="15">
        <v>0</v>
      </c>
      <c r="U144" s="15">
        <v>0</v>
      </c>
      <c r="V144" s="15">
        <v>0</v>
      </c>
      <c r="W144" s="15">
        <v>0</v>
      </c>
      <c r="X144" s="15">
        <v>0</v>
      </c>
      <c r="Y144" s="15">
        <v>0</v>
      </c>
      <c r="Z144" s="15">
        <v>0</v>
      </c>
      <c r="AA144" s="15">
        <v>0</v>
      </c>
      <c r="AB144" s="15">
        <v>0</v>
      </c>
      <c r="AC144" s="15">
        <v>0</v>
      </c>
      <c r="AD144" s="15">
        <v>0</v>
      </c>
      <c r="AE144" s="15">
        <v>0</v>
      </c>
      <c r="AF144" s="15">
        <v>0</v>
      </c>
      <c r="AG144" s="15">
        <v>0</v>
      </c>
      <c r="AH144" s="15">
        <v>0</v>
      </c>
      <c r="AI144" s="15">
        <v>0</v>
      </c>
      <c r="AJ144" s="15">
        <v>0</v>
      </c>
      <c r="AK144" s="15">
        <v>0</v>
      </c>
      <c r="AL144" s="15">
        <v>0</v>
      </c>
      <c r="AM144" s="15">
        <v>0</v>
      </c>
      <c r="AN144" s="15">
        <v>0</v>
      </c>
      <c r="AO144" s="15">
        <v>0</v>
      </c>
      <c r="AP144" s="15">
        <v>0</v>
      </c>
      <c r="AQ144" s="15">
        <v>0</v>
      </c>
      <c r="AR144" s="15">
        <v>0</v>
      </c>
      <c r="AS144" s="15">
        <v>0</v>
      </c>
      <c r="AT144" s="15">
        <v>0</v>
      </c>
      <c r="AU144" s="15">
        <v>0</v>
      </c>
      <c r="AV144" s="15">
        <v>0</v>
      </c>
      <c r="AW144" s="15">
        <v>0</v>
      </c>
      <c r="AX144" s="15">
        <v>0</v>
      </c>
      <c r="AY144" s="15">
        <v>0</v>
      </c>
      <c r="AZ144" s="15">
        <v>0</v>
      </c>
      <c r="BA144" s="15">
        <v>0</v>
      </c>
      <c r="BB144" s="15">
        <v>0</v>
      </c>
      <c r="BC144" s="15">
        <v>0</v>
      </c>
      <c r="BD144" s="15">
        <v>0</v>
      </c>
      <c r="BE144" s="15">
        <v>0</v>
      </c>
      <c r="BF144" s="15">
        <f t="shared" si="106"/>
        <v>0</v>
      </c>
      <c r="BG144" s="15">
        <f t="shared" si="107"/>
        <v>0</v>
      </c>
      <c r="BH144" s="15">
        <f t="shared" si="108"/>
        <v>0</v>
      </c>
      <c r="BI144" s="15">
        <f t="shared" si="109"/>
        <v>0</v>
      </c>
    </row>
    <row r="145" spans="2:61" x14ac:dyDescent="0.25">
      <c r="C145" s="7">
        <v>658</v>
      </c>
      <c r="D145" s="7" t="s">
        <v>471</v>
      </c>
      <c r="E145" s="15">
        <v>0</v>
      </c>
      <c r="F145" s="15">
        <v>0</v>
      </c>
      <c r="G145" s="15">
        <v>0</v>
      </c>
      <c r="H145" s="15">
        <v>0</v>
      </c>
      <c r="I145" s="15">
        <v>0</v>
      </c>
      <c r="J145" s="15">
        <v>0</v>
      </c>
      <c r="K145" s="15">
        <v>0</v>
      </c>
      <c r="L145" s="15">
        <v>0</v>
      </c>
      <c r="M145" s="15">
        <v>0</v>
      </c>
      <c r="N145" s="15">
        <v>0</v>
      </c>
      <c r="O145" s="15">
        <v>0</v>
      </c>
      <c r="P145" s="15">
        <v>0</v>
      </c>
      <c r="Q145" s="15">
        <v>0</v>
      </c>
      <c r="R145" s="15">
        <v>0</v>
      </c>
      <c r="S145" s="15">
        <v>0</v>
      </c>
      <c r="T145" s="15">
        <v>0</v>
      </c>
      <c r="U145" s="15">
        <v>0</v>
      </c>
      <c r="V145" s="15">
        <v>0</v>
      </c>
      <c r="W145" s="15">
        <v>0</v>
      </c>
      <c r="X145" s="15">
        <v>0</v>
      </c>
      <c r="Y145" s="15">
        <v>0</v>
      </c>
      <c r="Z145" s="15">
        <v>0</v>
      </c>
      <c r="AA145" s="15">
        <v>0</v>
      </c>
      <c r="AB145" s="15">
        <v>0</v>
      </c>
      <c r="AC145" s="15">
        <v>0</v>
      </c>
      <c r="AD145" s="15">
        <v>0</v>
      </c>
      <c r="AE145" s="15">
        <v>0</v>
      </c>
      <c r="AF145" s="15">
        <v>0</v>
      </c>
      <c r="AG145" s="15">
        <v>0</v>
      </c>
      <c r="AH145" s="15">
        <v>0</v>
      </c>
      <c r="AI145" s="15">
        <v>0</v>
      </c>
      <c r="AJ145" s="15">
        <v>0</v>
      </c>
      <c r="AK145" s="15">
        <v>0</v>
      </c>
      <c r="AL145" s="15">
        <v>0</v>
      </c>
      <c r="AM145" s="15">
        <v>0</v>
      </c>
      <c r="AN145" s="15">
        <v>0</v>
      </c>
      <c r="AO145" s="15">
        <v>0</v>
      </c>
      <c r="AP145" s="15">
        <v>0</v>
      </c>
      <c r="AQ145" s="15">
        <v>0</v>
      </c>
      <c r="AR145" s="15">
        <v>0</v>
      </c>
      <c r="AS145" s="15">
        <v>0</v>
      </c>
      <c r="AT145" s="15">
        <v>0</v>
      </c>
      <c r="AU145" s="15">
        <v>0</v>
      </c>
      <c r="AV145" s="15">
        <v>0</v>
      </c>
      <c r="AW145" s="15">
        <v>0</v>
      </c>
      <c r="AX145" s="15">
        <v>0</v>
      </c>
      <c r="AY145" s="15">
        <v>0</v>
      </c>
      <c r="AZ145" s="15">
        <v>0</v>
      </c>
      <c r="BA145" s="15">
        <v>0</v>
      </c>
      <c r="BB145" s="15">
        <v>0</v>
      </c>
      <c r="BC145" s="15">
        <v>0</v>
      </c>
      <c r="BD145" s="15">
        <v>0</v>
      </c>
      <c r="BE145" s="15">
        <v>0</v>
      </c>
      <c r="BF145" s="15">
        <f t="shared" si="106"/>
        <v>0</v>
      </c>
      <c r="BG145" s="15">
        <f t="shared" si="107"/>
        <v>0</v>
      </c>
      <c r="BH145" s="15">
        <f t="shared" si="108"/>
        <v>0</v>
      </c>
      <c r="BI145" s="15">
        <f t="shared" si="109"/>
        <v>0</v>
      </c>
    </row>
    <row r="146" spans="2:61" x14ac:dyDescent="0.2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row>
    <row r="147" spans="2:61" x14ac:dyDescent="0.25">
      <c r="B147" s="128">
        <v>66</v>
      </c>
      <c r="C147" s="128"/>
      <c r="D147" s="128" t="s">
        <v>485</v>
      </c>
      <c r="E147" s="175">
        <f>E148+E149+E150+E151+E152+E153+E154+E155+E156</f>
        <v>0</v>
      </c>
      <c r="F147" s="175">
        <f t="shared" ref="F147:BI147" si="110">F148+F149+F150+F151+F152+F153+F154+F155+F156</f>
        <v>0</v>
      </c>
      <c r="G147" s="175">
        <f t="shared" si="110"/>
        <v>0</v>
      </c>
      <c r="H147" s="175">
        <f t="shared" si="110"/>
        <v>0</v>
      </c>
      <c r="I147" s="175">
        <f t="shared" si="110"/>
        <v>200000</v>
      </c>
      <c r="J147" s="175">
        <f t="shared" si="110"/>
        <v>0</v>
      </c>
      <c r="K147" s="175">
        <f t="shared" si="110"/>
        <v>0</v>
      </c>
      <c r="L147" s="175">
        <f t="shared" si="110"/>
        <v>0</v>
      </c>
      <c r="M147" s="175">
        <f t="shared" si="110"/>
        <v>0</v>
      </c>
      <c r="N147" s="175">
        <f t="shared" si="110"/>
        <v>0</v>
      </c>
      <c r="O147" s="175">
        <f t="shared" si="110"/>
        <v>0</v>
      </c>
      <c r="P147" s="175">
        <f t="shared" si="110"/>
        <v>0</v>
      </c>
      <c r="Q147" s="175">
        <f t="shared" si="110"/>
        <v>0</v>
      </c>
      <c r="R147" s="175">
        <f t="shared" si="110"/>
        <v>0</v>
      </c>
      <c r="S147" s="175">
        <f t="shared" si="110"/>
        <v>0</v>
      </c>
      <c r="T147" s="175">
        <f t="shared" si="110"/>
        <v>0</v>
      </c>
      <c r="U147" s="175">
        <f t="shared" si="110"/>
        <v>0</v>
      </c>
      <c r="V147" s="175">
        <f t="shared" si="110"/>
        <v>0</v>
      </c>
      <c r="W147" s="175">
        <f t="shared" si="110"/>
        <v>0</v>
      </c>
      <c r="X147" s="175">
        <f t="shared" si="110"/>
        <v>0</v>
      </c>
      <c r="Y147" s="175">
        <f t="shared" si="110"/>
        <v>0</v>
      </c>
      <c r="Z147" s="175">
        <f t="shared" si="110"/>
        <v>0</v>
      </c>
      <c r="AA147" s="175">
        <f t="shared" si="110"/>
        <v>0</v>
      </c>
      <c r="AB147" s="175">
        <f t="shared" si="110"/>
        <v>0</v>
      </c>
      <c r="AC147" s="175">
        <f t="shared" si="110"/>
        <v>0</v>
      </c>
      <c r="AD147" s="175">
        <f t="shared" si="110"/>
        <v>0</v>
      </c>
      <c r="AE147" s="175">
        <f t="shared" si="110"/>
        <v>0</v>
      </c>
      <c r="AF147" s="175">
        <f t="shared" si="110"/>
        <v>0</v>
      </c>
      <c r="AG147" s="175">
        <f t="shared" si="110"/>
        <v>0</v>
      </c>
      <c r="AH147" s="175">
        <f t="shared" si="110"/>
        <v>0</v>
      </c>
      <c r="AI147" s="175">
        <f t="shared" si="110"/>
        <v>0</v>
      </c>
      <c r="AJ147" s="175">
        <f t="shared" si="110"/>
        <v>0</v>
      </c>
      <c r="AK147" s="175">
        <f t="shared" si="110"/>
        <v>0</v>
      </c>
      <c r="AL147" s="175">
        <f t="shared" si="110"/>
        <v>0</v>
      </c>
      <c r="AM147" s="175">
        <f t="shared" si="110"/>
        <v>0</v>
      </c>
      <c r="AN147" s="175">
        <f t="shared" si="110"/>
        <v>0</v>
      </c>
      <c r="AO147" s="175">
        <f t="shared" si="110"/>
        <v>0</v>
      </c>
      <c r="AP147" s="175">
        <f t="shared" si="110"/>
        <v>0</v>
      </c>
      <c r="AQ147" s="175">
        <f t="shared" si="110"/>
        <v>0</v>
      </c>
      <c r="AR147" s="175">
        <f t="shared" si="110"/>
        <v>0</v>
      </c>
      <c r="AS147" s="175">
        <f t="shared" si="110"/>
        <v>0</v>
      </c>
      <c r="AT147" s="175">
        <f t="shared" si="110"/>
        <v>0</v>
      </c>
      <c r="AU147" s="175">
        <f t="shared" si="110"/>
        <v>0</v>
      </c>
      <c r="AV147" s="175">
        <f t="shared" si="110"/>
        <v>0</v>
      </c>
      <c r="AW147" s="175">
        <f t="shared" si="110"/>
        <v>0</v>
      </c>
      <c r="AX147" s="175">
        <f t="shared" si="110"/>
        <v>0</v>
      </c>
      <c r="AY147" s="175">
        <f t="shared" si="110"/>
        <v>0</v>
      </c>
      <c r="AZ147" s="175">
        <f t="shared" si="110"/>
        <v>0</v>
      </c>
      <c r="BA147" s="175">
        <f t="shared" si="110"/>
        <v>0</v>
      </c>
      <c r="BB147" s="175">
        <f t="shared" si="110"/>
        <v>0</v>
      </c>
      <c r="BC147" s="175">
        <f t="shared" si="110"/>
        <v>0</v>
      </c>
      <c r="BD147" s="175">
        <f t="shared" si="110"/>
        <v>0</v>
      </c>
      <c r="BE147" s="175">
        <f t="shared" si="110"/>
        <v>0</v>
      </c>
      <c r="BF147" s="175">
        <f t="shared" si="110"/>
        <v>200000</v>
      </c>
      <c r="BG147" s="175">
        <f t="shared" si="110"/>
        <v>200000</v>
      </c>
      <c r="BH147" s="175">
        <f t="shared" si="110"/>
        <v>0</v>
      </c>
      <c r="BI147" s="175">
        <f t="shared" si="110"/>
        <v>0</v>
      </c>
    </row>
    <row r="148" spans="2:61" x14ac:dyDescent="0.25">
      <c r="C148" s="7">
        <v>660</v>
      </c>
      <c r="D148" s="7" t="s">
        <v>463</v>
      </c>
      <c r="E148" s="15">
        <v>0</v>
      </c>
      <c r="F148" s="15">
        <v>0</v>
      </c>
      <c r="G148" s="15">
        <v>0</v>
      </c>
      <c r="H148" s="15">
        <v>0</v>
      </c>
      <c r="I148" s="15">
        <v>0</v>
      </c>
      <c r="J148" s="15">
        <v>0</v>
      </c>
      <c r="K148" s="15">
        <v>0</v>
      </c>
      <c r="L148" s="15">
        <v>0</v>
      </c>
      <c r="M148" s="15">
        <v>0</v>
      </c>
      <c r="N148" s="15">
        <v>0</v>
      </c>
      <c r="O148" s="15">
        <v>0</v>
      </c>
      <c r="P148" s="15">
        <v>0</v>
      </c>
      <c r="Q148" s="15">
        <v>0</v>
      </c>
      <c r="R148" s="15">
        <v>0</v>
      </c>
      <c r="S148" s="15">
        <v>0</v>
      </c>
      <c r="T148" s="15">
        <v>0</v>
      </c>
      <c r="U148" s="15">
        <v>0</v>
      </c>
      <c r="V148" s="15">
        <v>0</v>
      </c>
      <c r="W148" s="15">
        <v>0</v>
      </c>
      <c r="X148" s="15">
        <v>0</v>
      </c>
      <c r="Y148" s="15">
        <v>0</v>
      </c>
      <c r="Z148" s="15">
        <v>0</v>
      </c>
      <c r="AA148" s="15">
        <v>0</v>
      </c>
      <c r="AB148" s="15">
        <v>0</v>
      </c>
      <c r="AC148" s="15">
        <v>0</v>
      </c>
      <c r="AD148" s="15">
        <v>0</v>
      </c>
      <c r="AE148" s="15">
        <v>0</v>
      </c>
      <c r="AF148" s="15">
        <v>0</v>
      </c>
      <c r="AG148" s="15">
        <v>0</v>
      </c>
      <c r="AH148" s="15">
        <v>0</v>
      </c>
      <c r="AI148" s="15">
        <v>0</v>
      </c>
      <c r="AJ148" s="15">
        <v>0</v>
      </c>
      <c r="AK148" s="15">
        <v>0</v>
      </c>
      <c r="AL148" s="15">
        <v>0</v>
      </c>
      <c r="AM148" s="15">
        <v>0</v>
      </c>
      <c r="AN148" s="15">
        <v>0</v>
      </c>
      <c r="AO148" s="15">
        <v>0</v>
      </c>
      <c r="AP148" s="15">
        <v>0</v>
      </c>
      <c r="AQ148" s="15">
        <v>0</v>
      </c>
      <c r="AR148" s="15">
        <v>0</v>
      </c>
      <c r="AS148" s="15">
        <v>0</v>
      </c>
      <c r="AT148" s="15">
        <v>0</v>
      </c>
      <c r="AU148" s="15">
        <v>0</v>
      </c>
      <c r="AV148" s="15">
        <v>0</v>
      </c>
      <c r="AW148" s="15">
        <v>0</v>
      </c>
      <c r="AX148" s="15">
        <v>0</v>
      </c>
      <c r="AY148" s="15">
        <v>0</v>
      </c>
      <c r="AZ148" s="15">
        <v>0</v>
      </c>
      <c r="BA148" s="15">
        <v>0</v>
      </c>
      <c r="BB148" s="15">
        <v>0</v>
      </c>
      <c r="BC148" s="15">
        <v>0</v>
      </c>
      <c r="BD148" s="15">
        <v>0</v>
      </c>
      <c r="BE148" s="15">
        <v>0</v>
      </c>
      <c r="BF148" s="15">
        <f t="shared" ref="BF148:BF156" si="111">SUM(E148:BE148)</f>
        <v>0</v>
      </c>
      <c r="BG148" s="15">
        <f t="shared" ref="BG148:BG156" si="112">SUM(E148:W148)</f>
        <v>0</v>
      </c>
      <c r="BH148" s="15">
        <f t="shared" ref="BH148:BH156" si="113">SUM(X148:AJ148)</f>
        <v>0</v>
      </c>
      <c r="BI148" s="15">
        <f t="shared" ref="BI148:BI156" si="114">SUM(AK148:BE148)</f>
        <v>0</v>
      </c>
    </row>
    <row r="149" spans="2:61" x14ac:dyDescent="0.25">
      <c r="C149" s="7">
        <v>661</v>
      </c>
      <c r="D149" s="7" t="s">
        <v>464</v>
      </c>
      <c r="E149" s="15">
        <v>0</v>
      </c>
      <c r="F149" s="15">
        <v>0</v>
      </c>
      <c r="G149" s="15">
        <v>0</v>
      </c>
      <c r="H149" s="15">
        <v>0</v>
      </c>
      <c r="I149" s="15">
        <v>0</v>
      </c>
      <c r="J149" s="15">
        <v>0</v>
      </c>
      <c r="K149" s="15">
        <v>0</v>
      </c>
      <c r="L149" s="15">
        <v>0</v>
      </c>
      <c r="M149" s="15">
        <v>0</v>
      </c>
      <c r="N149" s="15">
        <v>0</v>
      </c>
      <c r="O149" s="15">
        <v>0</v>
      </c>
      <c r="P149" s="15">
        <v>0</v>
      </c>
      <c r="Q149" s="15">
        <v>0</v>
      </c>
      <c r="R149" s="15">
        <v>0</v>
      </c>
      <c r="S149" s="15">
        <v>0</v>
      </c>
      <c r="T149" s="15">
        <v>0</v>
      </c>
      <c r="U149" s="15">
        <v>0</v>
      </c>
      <c r="V149" s="15">
        <v>0</v>
      </c>
      <c r="W149" s="15">
        <v>0</v>
      </c>
      <c r="X149" s="15">
        <v>0</v>
      </c>
      <c r="Y149" s="15">
        <v>0</v>
      </c>
      <c r="Z149" s="15">
        <v>0</v>
      </c>
      <c r="AA149" s="15">
        <v>0</v>
      </c>
      <c r="AB149" s="15">
        <v>0</v>
      </c>
      <c r="AC149" s="15">
        <v>0</v>
      </c>
      <c r="AD149" s="15">
        <v>0</v>
      </c>
      <c r="AE149" s="15">
        <v>0</v>
      </c>
      <c r="AF149" s="15">
        <v>0</v>
      </c>
      <c r="AG149" s="15">
        <v>0</v>
      </c>
      <c r="AH149" s="15">
        <v>0</v>
      </c>
      <c r="AI149" s="15">
        <v>0</v>
      </c>
      <c r="AJ149" s="15">
        <v>0</v>
      </c>
      <c r="AK149" s="15">
        <v>0</v>
      </c>
      <c r="AL149" s="15">
        <v>0</v>
      </c>
      <c r="AM149" s="15">
        <v>0</v>
      </c>
      <c r="AN149" s="15">
        <v>0</v>
      </c>
      <c r="AO149" s="15">
        <v>0</v>
      </c>
      <c r="AP149" s="15">
        <v>0</v>
      </c>
      <c r="AQ149" s="15">
        <v>0</v>
      </c>
      <c r="AR149" s="15">
        <v>0</v>
      </c>
      <c r="AS149" s="15">
        <v>0</v>
      </c>
      <c r="AT149" s="15">
        <v>0</v>
      </c>
      <c r="AU149" s="15">
        <v>0</v>
      </c>
      <c r="AV149" s="15">
        <v>0</v>
      </c>
      <c r="AW149" s="15">
        <v>0</v>
      </c>
      <c r="AX149" s="15">
        <v>0</v>
      </c>
      <c r="AY149" s="15">
        <v>0</v>
      </c>
      <c r="AZ149" s="15">
        <v>0</v>
      </c>
      <c r="BA149" s="15">
        <v>0</v>
      </c>
      <c r="BB149" s="15">
        <v>0</v>
      </c>
      <c r="BC149" s="15">
        <v>0</v>
      </c>
      <c r="BD149" s="15">
        <v>0</v>
      </c>
      <c r="BE149" s="15">
        <v>0</v>
      </c>
      <c r="BF149" s="15">
        <f t="shared" si="111"/>
        <v>0</v>
      </c>
      <c r="BG149" s="15">
        <f t="shared" si="112"/>
        <v>0</v>
      </c>
      <c r="BH149" s="15">
        <f t="shared" si="113"/>
        <v>0</v>
      </c>
      <c r="BI149" s="15">
        <f t="shared" si="114"/>
        <v>0</v>
      </c>
    </row>
    <row r="150" spans="2:61" x14ac:dyDescent="0.25">
      <c r="C150" s="7">
        <v>662</v>
      </c>
      <c r="D150" s="7" t="s">
        <v>465</v>
      </c>
      <c r="E150" s="15">
        <v>0</v>
      </c>
      <c r="F150" s="15">
        <v>0</v>
      </c>
      <c r="G150" s="15">
        <v>0</v>
      </c>
      <c r="H150" s="15">
        <v>0</v>
      </c>
      <c r="I150" s="15">
        <v>0</v>
      </c>
      <c r="J150" s="15">
        <v>0</v>
      </c>
      <c r="K150" s="15">
        <v>0</v>
      </c>
      <c r="L150" s="15">
        <v>0</v>
      </c>
      <c r="M150" s="15">
        <v>0</v>
      </c>
      <c r="N150" s="15">
        <v>0</v>
      </c>
      <c r="O150" s="15">
        <v>0</v>
      </c>
      <c r="P150" s="15">
        <v>0</v>
      </c>
      <c r="Q150" s="15">
        <v>0</v>
      </c>
      <c r="R150" s="15">
        <v>0</v>
      </c>
      <c r="S150" s="15">
        <v>0</v>
      </c>
      <c r="T150" s="15">
        <v>0</v>
      </c>
      <c r="U150" s="15">
        <v>0</v>
      </c>
      <c r="V150" s="15">
        <v>0</v>
      </c>
      <c r="W150" s="15">
        <v>0</v>
      </c>
      <c r="X150" s="15">
        <v>0</v>
      </c>
      <c r="Y150" s="15">
        <v>0</v>
      </c>
      <c r="Z150" s="15">
        <v>0</v>
      </c>
      <c r="AA150" s="15">
        <v>0</v>
      </c>
      <c r="AB150" s="15">
        <v>0</v>
      </c>
      <c r="AC150" s="15">
        <v>0</v>
      </c>
      <c r="AD150" s="15">
        <v>0</v>
      </c>
      <c r="AE150" s="15">
        <v>0</v>
      </c>
      <c r="AF150" s="15">
        <v>0</v>
      </c>
      <c r="AG150" s="15">
        <v>0</v>
      </c>
      <c r="AH150" s="15">
        <v>0</v>
      </c>
      <c r="AI150" s="15">
        <v>0</v>
      </c>
      <c r="AJ150" s="15">
        <v>0</v>
      </c>
      <c r="AK150" s="15">
        <v>0</v>
      </c>
      <c r="AL150" s="15">
        <v>0</v>
      </c>
      <c r="AM150" s="15">
        <v>0</v>
      </c>
      <c r="AN150" s="15">
        <v>0</v>
      </c>
      <c r="AO150" s="15">
        <v>0</v>
      </c>
      <c r="AP150" s="15">
        <v>0</v>
      </c>
      <c r="AQ150" s="15">
        <v>0</v>
      </c>
      <c r="AR150" s="15">
        <v>0</v>
      </c>
      <c r="AS150" s="15">
        <v>0</v>
      </c>
      <c r="AT150" s="15">
        <v>0</v>
      </c>
      <c r="AU150" s="15">
        <v>0</v>
      </c>
      <c r="AV150" s="15">
        <v>0</v>
      </c>
      <c r="AW150" s="15">
        <v>0</v>
      </c>
      <c r="AX150" s="15">
        <v>0</v>
      </c>
      <c r="AY150" s="15">
        <v>0</v>
      </c>
      <c r="AZ150" s="15">
        <v>0</v>
      </c>
      <c r="BA150" s="15">
        <v>0</v>
      </c>
      <c r="BB150" s="15">
        <v>0</v>
      </c>
      <c r="BC150" s="15">
        <v>0</v>
      </c>
      <c r="BD150" s="15">
        <v>0</v>
      </c>
      <c r="BE150" s="15">
        <v>0</v>
      </c>
      <c r="BF150" s="15">
        <f t="shared" si="111"/>
        <v>0</v>
      </c>
      <c r="BG150" s="15">
        <f t="shared" si="112"/>
        <v>0</v>
      </c>
      <c r="BH150" s="15">
        <f t="shared" si="113"/>
        <v>0</v>
      </c>
      <c r="BI150" s="15">
        <f t="shared" si="114"/>
        <v>0</v>
      </c>
    </row>
    <row r="151" spans="2:61" x14ac:dyDescent="0.25">
      <c r="C151" s="7">
        <v>663</v>
      </c>
      <c r="D151" s="7" t="s">
        <v>466</v>
      </c>
      <c r="E151" s="15">
        <v>0</v>
      </c>
      <c r="F151" s="15">
        <v>0</v>
      </c>
      <c r="G151" s="15">
        <v>0</v>
      </c>
      <c r="H151" s="15">
        <v>0</v>
      </c>
      <c r="I151" s="15">
        <v>0</v>
      </c>
      <c r="J151" s="15">
        <v>0</v>
      </c>
      <c r="K151" s="15">
        <v>0</v>
      </c>
      <c r="L151" s="15">
        <v>0</v>
      </c>
      <c r="M151" s="15">
        <v>0</v>
      </c>
      <c r="N151" s="15">
        <v>0</v>
      </c>
      <c r="O151" s="15">
        <v>0</v>
      </c>
      <c r="P151" s="15">
        <v>0</v>
      </c>
      <c r="Q151" s="15">
        <v>0</v>
      </c>
      <c r="R151" s="15">
        <v>0</v>
      </c>
      <c r="S151" s="15">
        <v>0</v>
      </c>
      <c r="T151" s="15">
        <v>0</v>
      </c>
      <c r="U151" s="15">
        <v>0</v>
      </c>
      <c r="V151" s="15">
        <v>0</v>
      </c>
      <c r="W151" s="15">
        <v>0</v>
      </c>
      <c r="X151" s="15">
        <v>0</v>
      </c>
      <c r="Y151" s="15">
        <v>0</v>
      </c>
      <c r="Z151" s="15">
        <v>0</v>
      </c>
      <c r="AA151" s="15">
        <v>0</v>
      </c>
      <c r="AB151" s="15">
        <v>0</v>
      </c>
      <c r="AC151" s="15">
        <v>0</v>
      </c>
      <c r="AD151" s="15">
        <v>0</v>
      </c>
      <c r="AE151" s="15">
        <v>0</v>
      </c>
      <c r="AF151" s="15">
        <v>0</v>
      </c>
      <c r="AG151" s="15">
        <v>0</v>
      </c>
      <c r="AH151" s="15">
        <v>0</v>
      </c>
      <c r="AI151" s="15">
        <v>0</v>
      </c>
      <c r="AJ151" s="15">
        <v>0</v>
      </c>
      <c r="AK151" s="15">
        <v>0</v>
      </c>
      <c r="AL151" s="15">
        <v>0</v>
      </c>
      <c r="AM151" s="15">
        <v>0</v>
      </c>
      <c r="AN151" s="15">
        <v>0</v>
      </c>
      <c r="AO151" s="15">
        <v>0</v>
      </c>
      <c r="AP151" s="15">
        <v>0</v>
      </c>
      <c r="AQ151" s="15">
        <v>0</v>
      </c>
      <c r="AR151" s="15">
        <v>0</v>
      </c>
      <c r="AS151" s="15">
        <v>0</v>
      </c>
      <c r="AT151" s="15">
        <v>0</v>
      </c>
      <c r="AU151" s="15">
        <v>0</v>
      </c>
      <c r="AV151" s="15">
        <v>0</v>
      </c>
      <c r="AW151" s="15">
        <v>0</v>
      </c>
      <c r="AX151" s="15">
        <v>0</v>
      </c>
      <c r="AY151" s="15">
        <v>0</v>
      </c>
      <c r="AZ151" s="15">
        <v>0</v>
      </c>
      <c r="BA151" s="15">
        <v>0</v>
      </c>
      <c r="BB151" s="15">
        <v>0</v>
      </c>
      <c r="BC151" s="15">
        <v>0</v>
      </c>
      <c r="BD151" s="15">
        <v>0</v>
      </c>
      <c r="BE151" s="15">
        <v>0</v>
      </c>
      <c r="BF151" s="15">
        <f t="shared" si="111"/>
        <v>0</v>
      </c>
      <c r="BG151" s="15">
        <f t="shared" si="112"/>
        <v>0</v>
      </c>
      <c r="BH151" s="15">
        <f t="shared" si="113"/>
        <v>0</v>
      </c>
      <c r="BI151" s="15">
        <f t="shared" si="114"/>
        <v>0</v>
      </c>
    </row>
    <row r="152" spans="2:61" x14ac:dyDescent="0.25">
      <c r="C152" s="7">
        <v>664</v>
      </c>
      <c r="D152" s="7" t="s">
        <v>467</v>
      </c>
      <c r="E152" s="15">
        <v>0</v>
      </c>
      <c r="F152" s="15">
        <v>0</v>
      </c>
      <c r="G152" s="15">
        <v>0</v>
      </c>
      <c r="H152" s="15">
        <v>0</v>
      </c>
      <c r="I152" s="15">
        <v>0</v>
      </c>
      <c r="J152" s="15">
        <v>0</v>
      </c>
      <c r="K152" s="15">
        <v>0</v>
      </c>
      <c r="L152" s="15">
        <v>0</v>
      </c>
      <c r="M152" s="15">
        <v>0</v>
      </c>
      <c r="N152" s="15">
        <v>0</v>
      </c>
      <c r="O152" s="15">
        <v>0</v>
      </c>
      <c r="P152" s="15">
        <v>0</v>
      </c>
      <c r="Q152" s="15">
        <v>0</v>
      </c>
      <c r="R152" s="15">
        <v>0</v>
      </c>
      <c r="S152" s="15">
        <v>0</v>
      </c>
      <c r="T152" s="15">
        <v>0</v>
      </c>
      <c r="U152" s="15">
        <v>0</v>
      </c>
      <c r="V152" s="15">
        <v>0</v>
      </c>
      <c r="W152" s="15">
        <v>0</v>
      </c>
      <c r="X152" s="15">
        <v>0</v>
      </c>
      <c r="Y152" s="15">
        <v>0</v>
      </c>
      <c r="Z152" s="15">
        <v>0</v>
      </c>
      <c r="AA152" s="15">
        <v>0</v>
      </c>
      <c r="AB152" s="15">
        <v>0</v>
      </c>
      <c r="AC152" s="15">
        <v>0</v>
      </c>
      <c r="AD152" s="15">
        <v>0</v>
      </c>
      <c r="AE152" s="15">
        <v>0</v>
      </c>
      <c r="AF152" s="15">
        <v>0</v>
      </c>
      <c r="AG152" s="15">
        <v>0</v>
      </c>
      <c r="AH152" s="15">
        <v>0</v>
      </c>
      <c r="AI152" s="15">
        <v>0</v>
      </c>
      <c r="AJ152" s="15">
        <v>0</v>
      </c>
      <c r="AK152" s="15">
        <v>0</v>
      </c>
      <c r="AL152" s="15">
        <v>0</v>
      </c>
      <c r="AM152" s="15">
        <v>0</v>
      </c>
      <c r="AN152" s="15">
        <v>0</v>
      </c>
      <c r="AO152" s="15">
        <v>0</v>
      </c>
      <c r="AP152" s="15">
        <v>0</v>
      </c>
      <c r="AQ152" s="15">
        <v>0</v>
      </c>
      <c r="AR152" s="15">
        <v>0</v>
      </c>
      <c r="AS152" s="15">
        <v>0</v>
      </c>
      <c r="AT152" s="15">
        <v>0</v>
      </c>
      <c r="AU152" s="15">
        <v>0</v>
      </c>
      <c r="AV152" s="15">
        <v>0</v>
      </c>
      <c r="AW152" s="15">
        <v>0</v>
      </c>
      <c r="AX152" s="15">
        <v>0</v>
      </c>
      <c r="AY152" s="15">
        <v>0</v>
      </c>
      <c r="AZ152" s="15">
        <v>0</v>
      </c>
      <c r="BA152" s="15">
        <v>0</v>
      </c>
      <c r="BB152" s="15">
        <v>0</v>
      </c>
      <c r="BC152" s="15">
        <v>0</v>
      </c>
      <c r="BD152" s="15">
        <v>0</v>
      </c>
      <c r="BE152" s="15">
        <v>0</v>
      </c>
      <c r="BF152" s="15">
        <f t="shared" si="111"/>
        <v>0</v>
      </c>
      <c r="BG152" s="15">
        <f t="shared" si="112"/>
        <v>0</v>
      </c>
      <c r="BH152" s="15">
        <f t="shared" si="113"/>
        <v>0</v>
      </c>
      <c r="BI152" s="15">
        <f t="shared" si="114"/>
        <v>0</v>
      </c>
    </row>
    <row r="153" spans="2:61" x14ac:dyDescent="0.25">
      <c r="C153" s="7">
        <v>665</v>
      </c>
      <c r="D153" s="7" t="s">
        <v>468</v>
      </c>
      <c r="E153" s="15">
        <v>0</v>
      </c>
      <c r="F153" s="15">
        <v>0</v>
      </c>
      <c r="G153" s="15">
        <v>0</v>
      </c>
      <c r="H153" s="15">
        <v>0</v>
      </c>
      <c r="I153" s="15">
        <v>200000</v>
      </c>
      <c r="J153" s="15">
        <v>0</v>
      </c>
      <c r="K153" s="15">
        <v>0</v>
      </c>
      <c r="L153" s="15">
        <v>0</v>
      </c>
      <c r="M153" s="15">
        <v>0</v>
      </c>
      <c r="N153" s="15">
        <v>0</v>
      </c>
      <c r="O153" s="15">
        <v>0</v>
      </c>
      <c r="P153" s="15">
        <v>0</v>
      </c>
      <c r="Q153" s="15">
        <v>0</v>
      </c>
      <c r="R153" s="15">
        <v>0</v>
      </c>
      <c r="S153" s="15">
        <v>0</v>
      </c>
      <c r="T153" s="15">
        <v>0</v>
      </c>
      <c r="U153" s="15">
        <v>0</v>
      </c>
      <c r="V153" s="15">
        <v>0</v>
      </c>
      <c r="W153" s="15">
        <v>0</v>
      </c>
      <c r="X153" s="15">
        <v>0</v>
      </c>
      <c r="Y153" s="15">
        <v>0</v>
      </c>
      <c r="Z153" s="15">
        <v>0</v>
      </c>
      <c r="AA153" s="15">
        <v>0</v>
      </c>
      <c r="AB153" s="15">
        <v>0</v>
      </c>
      <c r="AC153" s="15">
        <v>0</v>
      </c>
      <c r="AD153" s="15">
        <v>0</v>
      </c>
      <c r="AE153" s="15">
        <v>0</v>
      </c>
      <c r="AF153" s="15">
        <v>0</v>
      </c>
      <c r="AG153" s="15">
        <v>0</v>
      </c>
      <c r="AH153" s="15">
        <v>0</v>
      </c>
      <c r="AI153" s="15">
        <v>0</v>
      </c>
      <c r="AJ153" s="15">
        <v>0</v>
      </c>
      <c r="AK153" s="15">
        <v>0</v>
      </c>
      <c r="AL153" s="15">
        <v>0</v>
      </c>
      <c r="AM153" s="15">
        <v>0</v>
      </c>
      <c r="AN153" s="15">
        <v>0</v>
      </c>
      <c r="AO153" s="15">
        <v>0</v>
      </c>
      <c r="AP153" s="15">
        <v>0</v>
      </c>
      <c r="AQ153" s="15">
        <v>0</v>
      </c>
      <c r="AR153" s="15">
        <v>0</v>
      </c>
      <c r="AS153" s="15">
        <v>0</v>
      </c>
      <c r="AT153" s="15">
        <v>0</v>
      </c>
      <c r="AU153" s="15">
        <v>0</v>
      </c>
      <c r="AV153" s="15">
        <v>0</v>
      </c>
      <c r="AW153" s="15">
        <v>0</v>
      </c>
      <c r="AX153" s="15">
        <v>0</v>
      </c>
      <c r="AY153" s="15">
        <v>0</v>
      </c>
      <c r="AZ153" s="15">
        <v>0</v>
      </c>
      <c r="BA153" s="15">
        <v>0</v>
      </c>
      <c r="BB153" s="15">
        <v>0</v>
      </c>
      <c r="BC153" s="15">
        <v>0</v>
      </c>
      <c r="BD153" s="15">
        <v>0</v>
      </c>
      <c r="BE153" s="15">
        <v>0</v>
      </c>
      <c r="BF153" s="15">
        <f t="shared" si="111"/>
        <v>200000</v>
      </c>
      <c r="BG153" s="15">
        <f t="shared" si="112"/>
        <v>200000</v>
      </c>
      <c r="BH153" s="15">
        <f t="shared" si="113"/>
        <v>0</v>
      </c>
      <c r="BI153" s="15">
        <f t="shared" si="114"/>
        <v>0</v>
      </c>
    </row>
    <row r="154" spans="2:61" x14ac:dyDescent="0.25">
      <c r="C154" s="7">
        <v>666</v>
      </c>
      <c r="D154" s="7" t="s">
        <v>469</v>
      </c>
      <c r="E154" s="15">
        <v>0</v>
      </c>
      <c r="F154" s="15">
        <v>0</v>
      </c>
      <c r="G154" s="15">
        <v>0</v>
      </c>
      <c r="H154" s="15">
        <v>0</v>
      </c>
      <c r="I154" s="15">
        <v>0</v>
      </c>
      <c r="J154" s="15">
        <v>0</v>
      </c>
      <c r="K154" s="15">
        <v>0</v>
      </c>
      <c r="L154" s="15">
        <v>0</v>
      </c>
      <c r="M154" s="15">
        <v>0</v>
      </c>
      <c r="N154" s="15">
        <v>0</v>
      </c>
      <c r="O154" s="15">
        <v>0</v>
      </c>
      <c r="P154" s="15">
        <v>0</v>
      </c>
      <c r="Q154" s="15">
        <v>0</v>
      </c>
      <c r="R154" s="15">
        <v>0</v>
      </c>
      <c r="S154" s="15">
        <v>0</v>
      </c>
      <c r="T154" s="15">
        <v>0</v>
      </c>
      <c r="U154" s="15">
        <v>0</v>
      </c>
      <c r="V154" s="15">
        <v>0</v>
      </c>
      <c r="W154" s="15">
        <v>0</v>
      </c>
      <c r="X154" s="15">
        <v>0</v>
      </c>
      <c r="Y154" s="15">
        <v>0</v>
      </c>
      <c r="Z154" s="15">
        <v>0</v>
      </c>
      <c r="AA154" s="15">
        <v>0</v>
      </c>
      <c r="AB154" s="15">
        <v>0</v>
      </c>
      <c r="AC154" s="15">
        <v>0</v>
      </c>
      <c r="AD154" s="15">
        <v>0</v>
      </c>
      <c r="AE154" s="15">
        <v>0</v>
      </c>
      <c r="AF154" s="15">
        <v>0</v>
      </c>
      <c r="AG154" s="15">
        <v>0</v>
      </c>
      <c r="AH154" s="15">
        <v>0</v>
      </c>
      <c r="AI154" s="15">
        <v>0</v>
      </c>
      <c r="AJ154" s="15">
        <v>0</v>
      </c>
      <c r="AK154" s="15">
        <v>0</v>
      </c>
      <c r="AL154" s="15">
        <v>0</v>
      </c>
      <c r="AM154" s="15">
        <v>0</v>
      </c>
      <c r="AN154" s="15">
        <v>0</v>
      </c>
      <c r="AO154" s="15">
        <v>0</v>
      </c>
      <c r="AP154" s="15">
        <v>0</v>
      </c>
      <c r="AQ154" s="15">
        <v>0</v>
      </c>
      <c r="AR154" s="15">
        <v>0</v>
      </c>
      <c r="AS154" s="15">
        <v>0</v>
      </c>
      <c r="AT154" s="15">
        <v>0</v>
      </c>
      <c r="AU154" s="15">
        <v>0</v>
      </c>
      <c r="AV154" s="15">
        <v>0</v>
      </c>
      <c r="AW154" s="15">
        <v>0</v>
      </c>
      <c r="AX154" s="15">
        <v>0</v>
      </c>
      <c r="AY154" s="15">
        <v>0</v>
      </c>
      <c r="AZ154" s="15">
        <v>0</v>
      </c>
      <c r="BA154" s="15">
        <v>0</v>
      </c>
      <c r="BB154" s="15">
        <v>0</v>
      </c>
      <c r="BC154" s="15">
        <v>0</v>
      </c>
      <c r="BD154" s="15">
        <v>0</v>
      </c>
      <c r="BE154" s="15">
        <v>0</v>
      </c>
      <c r="BF154" s="15">
        <f t="shared" si="111"/>
        <v>0</v>
      </c>
      <c r="BG154" s="15">
        <f t="shared" si="112"/>
        <v>0</v>
      </c>
      <c r="BH154" s="15">
        <f t="shared" si="113"/>
        <v>0</v>
      </c>
      <c r="BI154" s="15">
        <f t="shared" si="114"/>
        <v>0</v>
      </c>
    </row>
    <row r="155" spans="2:61" x14ac:dyDescent="0.25">
      <c r="C155" s="7">
        <v>667</v>
      </c>
      <c r="D155" s="7" t="s">
        <v>470</v>
      </c>
      <c r="E155" s="15">
        <v>0</v>
      </c>
      <c r="F155" s="15">
        <v>0</v>
      </c>
      <c r="G155" s="15">
        <v>0</v>
      </c>
      <c r="H155" s="15">
        <v>0</v>
      </c>
      <c r="I155" s="15">
        <v>0</v>
      </c>
      <c r="J155" s="15">
        <v>0</v>
      </c>
      <c r="K155" s="15">
        <v>0</v>
      </c>
      <c r="L155" s="15">
        <v>0</v>
      </c>
      <c r="M155" s="15">
        <v>0</v>
      </c>
      <c r="N155" s="15">
        <v>0</v>
      </c>
      <c r="O155" s="15">
        <v>0</v>
      </c>
      <c r="P155" s="15">
        <v>0</v>
      </c>
      <c r="Q155" s="15">
        <v>0</v>
      </c>
      <c r="R155" s="15">
        <v>0</v>
      </c>
      <c r="S155" s="15">
        <v>0</v>
      </c>
      <c r="T155" s="15">
        <v>0</v>
      </c>
      <c r="U155" s="15">
        <v>0</v>
      </c>
      <c r="V155" s="15">
        <v>0</v>
      </c>
      <c r="W155" s="15">
        <v>0</v>
      </c>
      <c r="X155" s="15">
        <v>0</v>
      </c>
      <c r="Y155" s="15">
        <v>0</v>
      </c>
      <c r="Z155" s="15">
        <v>0</v>
      </c>
      <c r="AA155" s="15">
        <v>0</v>
      </c>
      <c r="AB155" s="15">
        <v>0</v>
      </c>
      <c r="AC155" s="15">
        <v>0</v>
      </c>
      <c r="AD155" s="15">
        <v>0</v>
      </c>
      <c r="AE155" s="15">
        <v>0</v>
      </c>
      <c r="AF155" s="15">
        <v>0</v>
      </c>
      <c r="AG155" s="15">
        <v>0</v>
      </c>
      <c r="AH155" s="15">
        <v>0</v>
      </c>
      <c r="AI155" s="15">
        <v>0</v>
      </c>
      <c r="AJ155" s="15">
        <v>0</v>
      </c>
      <c r="AK155" s="15">
        <v>0</v>
      </c>
      <c r="AL155" s="15">
        <v>0</v>
      </c>
      <c r="AM155" s="15">
        <v>0</v>
      </c>
      <c r="AN155" s="15">
        <v>0</v>
      </c>
      <c r="AO155" s="15">
        <v>0</v>
      </c>
      <c r="AP155" s="15">
        <v>0</v>
      </c>
      <c r="AQ155" s="15">
        <v>0</v>
      </c>
      <c r="AR155" s="15">
        <v>0</v>
      </c>
      <c r="AS155" s="15">
        <v>0</v>
      </c>
      <c r="AT155" s="15">
        <v>0</v>
      </c>
      <c r="AU155" s="15">
        <v>0</v>
      </c>
      <c r="AV155" s="15">
        <v>0</v>
      </c>
      <c r="AW155" s="15">
        <v>0</v>
      </c>
      <c r="AX155" s="15">
        <v>0</v>
      </c>
      <c r="AY155" s="15">
        <v>0</v>
      </c>
      <c r="AZ155" s="15">
        <v>0</v>
      </c>
      <c r="BA155" s="15">
        <v>0</v>
      </c>
      <c r="BB155" s="15">
        <v>0</v>
      </c>
      <c r="BC155" s="15">
        <v>0</v>
      </c>
      <c r="BD155" s="15">
        <v>0</v>
      </c>
      <c r="BE155" s="15">
        <v>0</v>
      </c>
      <c r="BF155" s="15">
        <f t="shared" si="111"/>
        <v>0</v>
      </c>
      <c r="BG155" s="15">
        <f t="shared" si="112"/>
        <v>0</v>
      </c>
      <c r="BH155" s="15">
        <f t="shared" si="113"/>
        <v>0</v>
      </c>
      <c r="BI155" s="15">
        <f t="shared" si="114"/>
        <v>0</v>
      </c>
    </row>
    <row r="156" spans="2:61" x14ac:dyDescent="0.25">
      <c r="C156" s="7">
        <v>668</v>
      </c>
      <c r="D156" s="7" t="s">
        <v>471</v>
      </c>
      <c r="E156" s="15">
        <v>0</v>
      </c>
      <c r="F156" s="15">
        <v>0</v>
      </c>
      <c r="G156" s="15">
        <v>0</v>
      </c>
      <c r="H156" s="15">
        <v>0</v>
      </c>
      <c r="I156" s="15">
        <v>0</v>
      </c>
      <c r="J156" s="15">
        <v>0</v>
      </c>
      <c r="K156" s="15">
        <v>0</v>
      </c>
      <c r="L156" s="15">
        <v>0</v>
      </c>
      <c r="M156" s="15">
        <v>0</v>
      </c>
      <c r="N156" s="15">
        <v>0</v>
      </c>
      <c r="O156" s="15">
        <v>0</v>
      </c>
      <c r="P156" s="15">
        <v>0</v>
      </c>
      <c r="Q156" s="15">
        <v>0</v>
      </c>
      <c r="R156" s="15">
        <v>0</v>
      </c>
      <c r="S156" s="15">
        <v>0</v>
      </c>
      <c r="T156" s="15">
        <v>0</v>
      </c>
      <c r="U156" s="15">
        <v>0</v>
      </c>
      <c r="V156" s="15">
        <v>0</v>
      </c>
      <c r="W156" s="15">
        <v>0</v>
      </c>
      <c r="X156" s="15">
        <v>0</v>
      </c>
      <c r="Y156" s="15">
        <v>0</v>
      </c>
      <c r="Z156" s="15">
        <v>0</v>
      </c>
      <c r="AA156" s="15">
        <v>0</v>
      </c>
      <c r="AB156" s="15">
        <v>0</v>
      </c>
      <c r="AC156" s="15">
        <v>0</v>
      </c>
      <c r="AD156" s="15">
        <v>0</v>
      </c>
      <c r="AE156" s="15">
        <v>0</v>
      </c>
      <c r="AF156" s="15">
        <v>0</v>
      </c>
      <c r="AG156" s="15">
        <v>0</v>
      </c>
      <c r="AH156" s="15">
        <v>0</v>
      </c>
      <c r="AI156" s="15">
        <v>0</v>
      </c>
      <c r="AJ156" s="15">
        <v>0</v>
      </c>
      <c r="AK156" s="15">
        <v>0</v>
      </c>
      <c r="AL156" s="15">
        <v>0</v>
      </c>
      <c r="AM156" s="15">
        <v>0</v>
      </c>
      <c r="AN156" s="15">
        <v>0</v>
      </c>
      <c r="AO156" s="15">
        <v>0</v>
      </c>
      <c r="AP156" s="15">
        <v>0</v>
      </c>
      <c r="AQ156" s="15">
        <v>0</v>
      </c>
      <c r="AR156" s="15">
        <v>0</v>
      </c>
      <c r="AS156" s="15">
        <v>0</v>
      </c>
      <c r="AT156" s="15">
        <v>0</v>
      </c>
      <c r="AU156" s="15">
        <v>0</v>
      </c>
      <c r="AV156" s="15">
        <v>0</v>
      </c>
      <c r="AW156" s="15">
        <v>0</v>
      </c>
      <c r="AX156" s="15">
        <v>0</v>
      </c>
      <c r="AY156" s="15">
        <v>0</v>
      </c>
      <c r="AZ156" s="15">
        <v>0</v>
      </c>
      <c r="BA156" s="15">
        <v>0</v>
      </c>
      <c r="BB156" s="15">
        <v>0</v>
      </c>
      <c r="BC156" s="15">
        <v>0</v>
      </c>
      <c r="BD156" s="15">
        <v>0</v>
      </c>
      <c r="BE156" s="15">
        <v>0</v>
      </c>
      <c r="BF156" s="15">
        <f t="shared" si="111"/>
        <v>0</v>
      </c>
      <c r="BG156" s="15">
        <f t="shared" si="112"/>
        <v>0</v>
      </c>
      <c r="BH156" s="15">
        <f t="shared" si="113"/>
        <v>0</v>
      </c>
      <c r="BI156" s="15">
        <f t="shared" si="114"/>
        <v>0</v>
      </c>
    </row>
    <row r="157" spans="2:61" x14ac:dyDescent="0.2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row>
    <row r="158" spans="2:61" x14ac:dyDescent="0.25">
      <c r="B158" s="128">
        <v>67</v>
      </c>
      <c r="C158" s="128"/>
      <c r="D158" s="128" t="s">
        <v>473</v>
      </c>
      <c r="E158" s="175">
        <f>E159+E160+E161+E162+E163+E164+E165+E166+E167</f>
        <v>0</v>
      </c>
      <c r="F158" s="175">
        <f t="shared" ref="F158:BI158" si="115">F159+F160+F161+F162+F163+F164+F165+F166+F167</f>
        <v>0</v>
      </c>
      <c r="G158" s="175">
        <f t="shared" si="115"/>
        <v>0</v>
      </c>
      <c r="H158" s="175">
        <f t="shared" si="115"/>
        <v>0</v>
      </c>
      <c r="I158" s="175">
        <f t="shared" si="115"/>
        <v>0</v>
      </c>
      <c r="J158" s="175">
        <f t="shared" si="115"/>
        <v>0</v>
      </c>
      <c r="K158" s="175">
        <f t="shared" si="115"/>
        <v>0</v>
      </c>
      <c r="L158" s="175">
        <f t="shared" si="115"/>
        <v>0</v>
      </c>
      <c r="M158" s="175">
        <f t="shared" si="115"/>
        <v>0</v>
      </c>
      <c r="N158" s="175">
        <f t="shared" si="115"/>
        <v>0</v>
      </c>
      <c r="O158" s="175">
        <f t="shared" si="115"/>
        <v>0</v>
      </c>
      <c r="P158" s="175">
        <f t="shared" si="115"/>
        <v>0</v>
      </c>
      <c r="Q158" s="175">
        <f t="shared" si="115"/>
        <v>0</v>
      </c>
      <c r="R158" s="175">
        <f t="shared" si="115"/>
        <v>0</v>
      </c>
      <c r="S158" s="175">
        <f t="shared" si="115"/>
        <v>0</v>
      </c>
      <c r="T158" s="175">
        <f t="shared" si="115"/>
        <v>0</v>
      </c>
      <c r="U158" s="175">
        <f t="shared" si="115"/>
        <v>0</v>
      </c>
      <c r="V158" s="175">
        <f t="shared" si="115"/>
        <v>0</v>
      </c>
      <c r="W158" s="175">
        <f t="shared" si="115"/>
        <v>0</v>
      </c>
      <c r="X158" s="175">
        <f t="shared" si="115"/>
        <v>0</v>
      </c>
      <c r="Y158" s="175">
        <f t="shared" si="115"/>
        <v>0</v>
      </c>
      <c r="Z158" s="175">
        <f t="shared" si="115"/>
        <v>0</v>
      </c>
      <c r="AA158" s="175">
        <f t="shared" si="115"/>
        <v>0</v>
      </c>
      <c r="AB158" s="175">
        <f t="shared" si="115"/>
        <v>0</v>
      </c>
      <c r="AC158" s="175">
        <f t="shared" si="115"/>
        <v>0</v>
      </c>
      <c r="AD158" s="175">
        <f t="shared" si="115"/>
        <v>0</v>
      </c>
      <c r="AE158" s="175">
        <f t="shared" si="115"/>
        <v>0</v>
      </c>
      <c r="AF158" s="175">
        <f t="shared" si="115"/>
        <v>0</v>
      </c>
      <c r="AG158" s="175">
        <f t="shared" si="115"/>
        <v>0</v>
      </c>
      <c r="AH158" s="175">
        <f t="shared" si="115"/>
        <v>0</v>
      </c>
      <c r="AI158" s="175">
        <f t="shared" si="115"/>
        <v>0</v>
      </c>
      <c r="AJ158" s="175">
        <f t="shared" si="115"/>
        <v>0</v>
      </c>
      <c r="AK158" s="175">
        <f t="shared" si="115"/>
        <v>149129.4</v>
      </c>
      <c r="AL158" s="175">
        <f t="shared" si="115"/>
        <v>0</v>
      </c>
      <c r="AM158" s="175">
        <f t="shared" si="115"/>
        <v>0</v>
      </c>
      <c r="AN158" s="175">
        <f t="shared" si="115"/>
        <v>0</v>
      </c>
      <c r="AO158" s="175">
        <f t="shared" si="115"/>
        <v>0</v>
      </c>
      <c r="AP158" s="175">
        <f t="shared" si="115"/>
        <v>0</v>
      </c>
      <c r="AQ158" s="175">
        <f t="shared" si="115"/>
        <v>0</v>
      </c>
      <c r="AR158" s="175">
        <f t="shared" si="115"/>
        <v>0</v>
      </c>
      <c r="AS158" s="175">
        <f t="shared" si="115"/>
        <v>0</v>
      </c>
      <c r="AT158" s="175">
        <f t="shared" si="115"/>
        <v>0</v>
      </c>
      <c r="AU158" s="175">
        <f t="shared" si="115"/>
        <v>0</v>
      </c>
      <c r="AV158" s="175">
        <f t="shared" si="115"/>
        <v>0</v>
      </c>
      <c r="AW158" s="175">
        <f t="shared" si="115"/>
        <v>0</v>
      </c>
      <c r="AX158" s="175">
        <f t="shared" si="115"/>
        <v>0</v>
      </c>
      <c r="AY158" s="175">
        <f t="shared" si="115"/>
        <v>0</v>
      </c>
      <c r="AZ158" s="175">
        <f t="shared" si="115"/>
        <v>0</v>
      </c>
      <c r="BA158" s="175">
        <f t="shared" si="115"/>
        <v>0</v>
      </c>
      <c r="BB158" s="175">
        <f t="shared" si="115"/>
        <v>0</v>
      </c>
      <c r="BC158" s="175">
        <f t="shared" si="115"/>
        <v>0</v>
      </c>
      <c r="BD158" s="175">
        <f t="shared" si="115"/>
        <v>0</v>
      </c>
      <c r="BE158" s="175">
        <f t="shared" si="115"/>
        <v>0</v>
      </c>
      <c r="BF158" s="175">
        <f t="shared" si="115"/>
        <v>149129.4</v>
      </c>
      <c r="BG158" s="175">
        <f t="shared" si="115"/>
        <v>0</v>
      </c>
      <c r="BH158" s="175">
        <f t="shared" si="115"/>
        <v>0</v>
      </c>
      <c r="BI158" s="175">
        <f t="shared" si="115"/>
        <v>149129.4</v>
      </c>
    </row>
    <row r="159" spans="2:61" x14ac:dyDescent="0.25">
      <c r="C159" s="7">
        <v>670</v>
      </c>
      <c r="D159" s="7" t="s">
        <v>463</v>
      </c>
      <c r="E159" s="15">
        <v>0</v>
      </c>
      <c r="F159" s="15">
        <v>0</v>
      </c>
      <c r="G159" s="15">
        <v>0</v>
      </c>
      <c r="H159" s="15">
        <v>0</v>
      </c>
      <c r="I159" s="15">
        <v>0</v>
      </c>
      <c r="J159" s="15">
        <v>0</v>
      </c>
      <c r="K159" s="15">
        <v>0</v>
      </c>
      <c r="L159" s="15">
        <v>0</v>
      </c>
      <c r="M159" s="15">
        <v>0</v>
      </c>
      <c r="N159" s="15">
        <v>0</v>
      </c>
      <c r="O159" s="15">
        <v>0</v>
      </c>
      <c r="P159" s="15">
        <v>0</v>
      </c>
      <c r="Q159" s="15">
        <v>0</v>
      </c>
      <c r="R159" s="15">
        <v>0</v>
      </c>
      <c r="S159" s="15">
        <v>0</v>
      </c>
      <c r="T159" s="15">
        <v>0</v>
      </c>
      <c r="U159" s="15">
        <v>0</v>
      </c>
      <c r="V159" s="15">
        <v>0</v>
      </c>
      <c r="W159" s="15">
        <v>0</v>
      </c>
      <c r="X159" s="15">
        <v>0</v>
      </c>
      <c r="Y159" s="15">
        <v>0</v>
      </c>
      <c r="Z159" s="15">
        <v>0</v>
      </c>
      <c r="AA159" s="15">
        <v>0</v>
      </c>
      <c r="AB159" s="15">
        <v>0</v>
      </c>
      <c r="AC159" s="15">
        <v>0</v>
      </c>
      <c r="AD159" s="15">
        <v>0</v>
      </c>
      <c r="AE159" s="15">
        <v>0</v>
      </c>
      <c r="AF159" s="15">
        <v>0</v>
      </c>
      <c r="AG159" s="15">
        <v>0</v>
      </c>
      <c r="AH159" s="15">
        <v>0</v>
      </c>
      <c r="AI159" s="15">
        <v>0</v>
      </c>
      <c r="AJ159" s="15">
        <v>0</v>
      </c>
      <c r="AK159" s="15">
        <v>0</v>
      </c>
      <c r="AL159" s="15">
        <v>0</v>
      </c>
      <c r="AM159" s="15">
        <v>0</v>
      </c>
      <c r="AN159" s="15">
        <v>0</v>
      </c>
      <c r="AO159" s="15">
        <v>0</v>
      </c>
      <c r="AP159" s="15">
        <v>0</v>
      </c>
      <c r="AQ159" s="15">
        <v>0</v>
      </c>
      <c r="AR159" s="15">
        <v>0</v>
      </c>
      <c r="AS159" s="15">
        <v>0</v>
      </c>
      <c r="AT159" s="15">
        <v>0</v>
      </c>
      <c r="AU159" s="15">
        <v>0</v>
      </c>
      <c r="AV159" s="15">
        <v>0</v>
      </c>
      <c r="AW159" s="15">
        <v>0</v>
      </c>
      <c r="AX159" s="15">
        <v>0</v>
      </c>
      <c r="AY159" s="15">
        <v>0</v>
      </c>
      <c r="AZ159" s="15">
        <v>0</v>
      </c>
      <c r="BA159" s="15">
        <v>0</v>
      </c>
      <c r="BB159" s="15">
        <v>0</v>
      </c>
      <c r="BC159" s="15">
        <v>0</v>
      </c>
      <c r="BD159" s="15">
        <v>0</v>
      </c>
      <c r="BE159" s="15">
        <v>0</v>
      </c>
      <c r="BF159" s="15">
        <f t="shared" ref="BF159:BF167" si="116">SUM(E159:BE159)</f>
        <v>0</v>
      </c>
      <c r="BG159" s="15">
        <f t="shared" ref="BG159:BG167" si="117">SUM(E159:W159)</f>
        <v>0</v>
      </c>
      <c r="BH159" s="15">
        <f t="shared" ref="BH159:BH167" si="118">SUM(X159:AJ159)</f>
        <v>0</v>
      </c>
      <c r="BI159" s="15">
        <f t="shared" ref="BI159:BI168" si="119">SUM(AK159:BE159)</f>
        <v>0</v>
      </c>
    </row>
    <row r="160" spans="2:61" x14ac:dyDescent="0.25">
      <c r="C160" s="7">
        <v>671</v>
      </c>
      <c r="D160" s="7" t="s">
        <v>464</v>
      </c>
      <c r="E160" s="15">
        <v>0</v>
      </c>
      <c r="F160" s="15">
        <v>0</v>
      </c>
      <c r="G160" s="15">
        <v>0</v>
      </c>
      <c r="H160" s="15">
        <v>0</v>
      </c>
      <c r="I160" s="15">
        <v>0</v>
      </c>
      <c r="J160" s="15">
        <v>0</v>
      </c>
      <c r="K160" s="15">
        <v>0</v>
      </c>
      <c r="L160" s="15">
        <v>0</v>
      </c>
      <c r="M160" s="15">
        <v>0</v>
      </c>
      <c r="N160" s="15">
        <v>0</v>
      </c>
      <c r="O160" s="15">
        <v>0</v>
      </c>
      <c r="P160" s="15">
        <v>0</v>
      </c>
      <c r="Q160" s="15">
        <v>0</v>
      </c>
      <c r="R160" s="15">
        <v>0</v>
      </c>
      <c r="S160" s="15">
        <v>0</v>
      </c>
      <c r="T160" s="15">
        <v>0</v>
      </c>
      <c r="U160" s="15">
        <v>0</v>
      </c>
      <c r="V160" s="15">
        <v>0</v>
      </c>
      <c r="W160" s="15">
        <v>0</v>
      </c>
      <c r="X160" s="15">
        <v>0</v>
      </c>
      <c r="Y160" s="15">
        <v>0</v>
      </c>
      <c r="Z160" s="15">
        <v>0</v>
      </c>
      <c r="AA160" s="15">
        <v>0</v>
      </c>
      <c r="AB160" s="15">
        <v>0</v>
      </c>
      <c r="AC160" s="15">
        <v>0</v>
      </c>
      <c r="AD160" s="15">
        <v>0</v>
      </c>
      <c r="AE160" s="15">
        <v>0</v>
      </c>
      <c r="AF160" s="15">
        <v>0</v>
      </c>
      <c r="AG160" s="15">
        <v>0</v>
      </c>
      <c r="AH160" s="15">
        <v>0</v>
      </c>
      <c r="AI160" s="15">
        <v>0</v>
      </c>
      <c r="AJ160" s="15">
        <v>0</v>
      </c>
      <c r="AK160" s="15">
        <v>149129.4</v>
      </c>
      <c r="AL160" s="15">
        <v>0</v>
      </c>
      <c r="AM160" s="15">
        <v>0</v>
      </c>
      <c r="AN160" s="15">
        <v>0</v>
      </c>
      <c r="AO160" s="15">
        <v>0</v>
      </c>
      <c r="AP160" s="15">
        <v>0</v>
      </c>
      <c r="AQ160" s="15">
        <v>0</v>
      </c>
      <c r="AR160" s="15">
        <v>0</v>
      </c>
      <c r="AS160" s="15">
        <v>0</v>
      </c>
      <c r="AT160" s="15">
        <v>0</v>
      </c>
      <c r="AU160" s="15">
        <v>0</v>
      </c>
      <c r="AV160" s="15">
        <v>0</v>
      </c>
      <c r="AW160" s="15">
        <v>0</v>
      </c>
      <c r="AX160" s="15">
        <v>0</v>
      </c>
      <c r="AY160" s="15">
        <v>0</v>
      </c>
      <c r="AZ160" s="15">
        <v>0</v>
      </c>
      <c r="BA160" s="15">
        <v>0</v>
      </c>
      <c r="BB160" s="15">
        <v>0</v>
      </c>
      <c r="BC160" s="15">
        <v>0</v>
      </c>
      <c r="BD160" s="15">
        <v>0</v>
      </c>
      <c r="BE160" s="15">
        <v>0</v>
      </c>
      <c r="BF160" s="15">
        <f t="shared" si="116"/>
        <v>149129.4</v>
      </c>
      <c r="BG160" s="15">
        <f t="shared" si="117"/>
        <v>0</v>
      </c>
      <c r="BH160" s="15">
        <f t="shared" si="118"/>
        <v>0</v>
      </c>
      <c r="BI160" s="15">
        <f t="shared" si="119"/>
        <v>149129.4</v>
      </c>
    </row>
    <row r="161" spans="2:61" x14ac:dyDescent="0.25">
      <c r="C161" s="7">
        <v>672</v>
      </c>
      <c r="D161" s="7" t="s">
        <v>465</v>
      </c>
      <c r="E161" s="15">
        <v>0</v>
      </c>
      <c r="F161" s="15">
        <v>0</v>
      </c>
      <c r="G161" s="15">
        <v>0</v>
      </c>
      <c r="H161" s="15">
        <v>0</v>
      </c>
      <c r="I161" s="15">
        <v>0</v>
      </c>
      <c r="J161" s="15">
        <v>0</v>
      </c>
      <c r="K161" s="15">
        <v>0</v>
      </c>
      <c r="L161" s="15">
        <v>0</v>
      </c>
      <c r="M161" s="15">
        <v>0</v>
      </c>
      <c r="N161" s="15">
        <v>0</v>
      </c>
      <c r="O161" s="15">
        <v>0</v>
      </c>
      <c r="P161" s="15">
        <v>0</v>
      </c>
      <c r="Q161" s="15">
        <v>0</v>
      </c>
      <c r="R161" s="15">
        <v>0</v>
      </c>
      <c r="S161" s="15">
        <v>0</v>
      </c>
      <c r="T161" s="15">
        <v>0</v>
      </c>
      <c r="U161" s="15">
        <v>0</v>
      </c>
      <c r="V161" s="15">
        <v>0</v>
      </c>
      <c r="W161" s="15">
        <v>0</v>
      </c>
      <c r="X161" s="15">
        <v>0</v>
      </c>
      <c r="Y161" s="15">
        <v>0</v>
      </c>
      <c r="Z161" s="15">
        <v>0</v>
      </c>
      <c r="AA161" s="15">
        <v>0</v>
      </c>
      <c r="AB161" s="15">
        <v>0</v>
      </c>
      <c r="AC161" s="15">
        <v>0</v>
      </c>
      <c r="AD161" s="15">
        <v>0</v>
      </c>
      <c r="AE161" s="15">
        <v>0</v>
      </c>
      <c r="AF161" s="15">
        <v>0</v>
      </c>
      <c r="AG161" s="15">
        <v>0</v>
      </c>
      <c r="AH161" s="15">
        <v>0</v>
      </c>
      <c r="AI161" s="15">
        <v>0</v>
      </c>
      <c r="AJ161" s="15">
        <v>0</v>
      </c>
      <c r="AK161" s="15">
        <v>0</v>
      </c>
      <c r="AL161" s="15">
        <v>0</v>
      </c>
      <c r="AM161" s="15">
        <v>0</v>
      </c>
      <c r="AN161" s="15">
        <v>0</v>
      </c>
      <c r="AO161" s="15">
        <v>0</v>
      </c>
      <c r="AP161" s="15">
        <v>0</v>
      </c>
      <c r="AQ161" s="15">
        <v>0</v>
      </c>
      <c r="AR161" s="15">
        <v>0</v>
      </c>
      <c r="AS161" s="15">
        <v>0</v>
      </c>
      <c r="AT161" s="15">
        <v>0</v>
      </c>
      <c r="AU161" s="15">
        <v>0</v>
      </c>
      <c r="AV161" s="15">
        <v>0</v>
      </c>
      <c r="AW161" s="15">
        <v>0</v>
      </c>
      <c r="AX161" s="15">
        <v>0</v>
      </c>
      <c r="AY161" s="15">
        <v>0</v>
      </c>
      <c r="AZ161" s="15">
        <v>0</v>
      </c>
      <c r="BA161" s="15">
        <v>0</v>
      </c>
      <c r="BB161" s="15">
        <v>0</v>
      </c>
      <c r="BC161" s="15">
        <v>0</v>
      </c>
      <c r="BD161" s="15">
        <v>0</v>
      </c>
      <c r="BE161" s="15">
        <v>0</v>
      </c>
      <c r="BF161" s="15">
        <f t="shared" si="116"/>
        <v>0</v>
      </c>
      <c r="BG161" s="15">
        <f t="shared" si="117"/>
        <v>0</v>
      </c>
      <c r="BH161" s="15">
        <f t="shared" si="118"/>
        <v>0</v>
      </c>
      <c r="BI161" s="15">
        <f t="shared" si="119"/>
        <v>0</v>
      </c>
    </row>
    <row r="162" spans="2:61" x14ac:dyDescent="0.25">
      <c r="C162" s="7">
        <v>673</v>
      </c>
      <c r="D162" s="7" t="s">
        <v>466</v>
      </c>
      <c r="E162" s="15">
        <v>0</v>
      </c>
      <c r="F162" s="15">
        <v>0</v>
      </c>
      <c r="G162" s="15">
        <v>0</v>
      </c>
      <c r="H162" s="15">
        <v>0</v>
      </c>
      <c r="I162" s="15">
        <v>0</v>
      </c>
      <c r="J162" s="15">
        <v>0</v>
      </c>
      <c r="K162" s="15">
        <v>0</v>
      </c>
      <c r="L162" s="15">
        <v>0</v>
      </c>
      <c r="M162" s="15">
        <v>0</v>
      </c>
      <c r="N162" s="15">
        <v>0</v>
      </c>
      <c r="O162" s="15">
        <v>0</v>
      </c>
      <c r="P162" s="15">
        <v>0</v>
      </c>
      <c r="Q162" s="15">
        <v>0</v>
      </c>
      <c r="R162" s="15">
        <v>0</v>
      </c>
      <c r="S162" s="15">
        <v>0</v>
      </c>
      <c r="T162" s="15">
        <v>0</v>
      </c>
      <c r="U162" s="15">
        <v>0</v>
      </c>
      <c r="V162" s="15">
        <v>0</v>
      </c>
      <c r="W162" s="15">
        <v>0</v>
      </c>
      <c r="X162" s="15">
        <v>0</v>
      </c>
      <c r="Y162" s="15">
        <v>0</v>
      </c>
      <c r="Z162" s="15">
        <v>0</v>
      </c>
      <c r="AA162" s="15">
        <v>0</v>
      </c>
      <c r="AB162" s="15">
        <v>0</v>
      </c>
      <c r="AC162" s="15">
        <v>0</v>
      </c>
      <c r="AD162" s="15">
        <v>0</v>
      </c>
      <c r="AE162" s="15">
        <v>0</v>
      </c>
      <c r="AF162" s="15">
        <v>0</v>
      </c>
      <c r="AG162" s="15">
        <v>0</v>
      </c>
      <c r="AH162" s="15">
        <v>0</v>
      </c>
      <c r="AI162" s="15">
        <v>0</v>
      </c>
      <c r="AJ162" s="15">
        <v>0</v>
      </c>
      <c r="AK162" s="15">
        <v>0</v>
      </c>
      <c r="AL162" s="15">
        <v>0</v>
      </c>
      <c r="AM162" s="15">
        <v>0</v>
      </c>
      <c r="AN162" s="15">
        <v>0</v>
      </c>
      <c r="AO162" s="15">
        <v>0</v>
      </c>
      <c r="AP162" s="15">
        <v>0</v>
      </c>
      <c r="AQ162" s="15">
        <v>0</v>
      </c>
      <c r="AR162" s="15">
        <v>0</v>
      </c>
      <c r="AS162" s="15">
        <v>0</v>
      </c>
      <c r="AT162" s="15">
        <v>0</v>
      </c>
      <c r="AU162" s="15">
        <v>0</v>
      </c>
      <c r="AV162" s="15">
        <v>0</v>
      </c>
      <c r="AW162" s="15">
        <v>0</v>
      </c>
      <c r="AX162" s="15">
        <v>0</v>
      </c>
      <c r="AY162" s="15">
        <v>0</v>
      </c>
      <c r="AZ162" s="15">
        <v>0</v>
      </c>
      <c r="BA162" s="15">
        <v>0</v>
      </c>
      <c r="BB162" s="15">
        <v>0</v>
      </c>
      <c r="BC162" s="15">
        <v>0</v>
      </c>
      <c r="BD162" s="15">
        <v>0</v>
      </c>
      <c r="BE162" s="15">
        <v>0</v>
      </c>
      <c r="BF162" s="15">
        <f t="shared" si="116"/>
        <v>0</v>
      </c>
      <c r="BG162" s="15">
        <f t="shared" si="117"/>
        <v>0</v>
      </c>
      <c r="BH162" s="15">
        <f t="shared" si="118"/>
        <v>0</v>
      </c>
      <c r="BI162" s="15">
        <f t="shared" si="119"/>
        <v>0</v>
      </c>
    </row>
    <row r="163" spans="2:61" x14ac:dyDescent="0.25">
      <c r="C163" s="7">
        <v>674</v>
      </c>
      <c r="D163" s="7" t="s">
        <v>467</v>
      </c>
      <c r="E163" s="15">
        <v>0</v>
      </c>
      <c r="F163" s="15">
        <v>0</v>
      </c>
      <c r="G163" s="15">
        <v>0</v>
      </c>
      <c r="H163" s="15">
        <v>0</v>
      </c>
      <c r="I163" s="15">
        <v>0</v>
      </c>
      <c r="J163" s="15">
        <v>0</v>
      </c>
      <c r="K163" s="15">
        <v>0</v>
      </c>
      <c r="L163" s="15">
        <v>0</v>
      </c>
      <c r="M163" s="15">
        <v>0</v>
      </c>
      <c r="N163" s="15">
        <v>0</v>
      </c>
      <c r="O163" s="15">
        <v>0</v>
      </c>
      <c r="P163" s="15">
        <v>0</v>
      </c>
      <c r="Q163" s="15">
        <v>0</v>
      </c>
      <c r="R163" s="15">
        <v>0</v>
      </c>
      <c r="S163" s="15">
        <v>0</v>
      </c>
      <c r="T163" s="15">
        <v>0</v>
      </c>
      <c r="U163" s="15">
        <v>0</v>
      </c>
      <c r="V163" s="15">
        <v>0</v>
      </c>
      <c r="W163" s="15">
        <v>0</v>
      </c>
      <c r="X163" s="15">
        <v>0</v>
      </c>
      <c r="Y163" s="15">
        <v>0</v>
      </c>
      <c r="Z163" s="15">
        <v>0</v>
      </c>
      <c r="AA163" s="15">
        <v>0</v>
      </c>
      <c r="AB163" s="15">
        <v>0</v>
      </c>
      <c r="AC163" s="15">
        <v>0</v>
      </c>
      <c r="AD163" s="15">
        <v>0</v>
      </c>
      <c r="AE163" s="15">
        <v>0</v>
      </c>
      <c r="AF163" s="15">
        <v>0</v>
      </c>
      <c r="AG163" s="15">
        <v>0</v>
      </c>
      <c r="AH163" s="15">
        <v>0</v>
      </c>
      <c r="AI163" s="15">
        <v>0</v>
      </c>
      <c r="AJ163" s="15">
        <v>0</v>
      </c>
      <c r="AK163" s="15">
        <v>0</v>
      </c>
      <c r="AL163" s="15">
        <v>0</v>
      </c>
      <c r="AM163" s="15">
        <v>0</v>
      </c>
      <c r="AN163" s="15">
        <v>0</v>
      </c>
      <c r="AO163" s="15">
        <v>0</v>
      </c>
      <c r="AP163" s="15">
        <v>0</v>
      </c>
      <c r="AQ163" s="15">
        <v>0</v>
      </c>
      <c r="AR163" s="15">
        <v>0</v>
      </c>
      <c r="AS163" s="15">
        <v>0</v>
      </c>
      <c r="AT163" s="15">
        <v>0</v>
      </c>
      <c r="AU163" s="15">
        <v>0</v>
      </c>
      <c r="AV163" s="15">
        <v>0</v>
      </c>
      <c r="AW163" s="15">
        <v>0</v>
      </c>
      <c r="AX163" s="15">
        <v>0</v>
      </c>
      <c r="AY163" s="15">
        <v>0</v>
      </c>
      <c r="AZ163" s="15">
        <v>0</v>
      </c>
      <c r="BA163" s="15">
        <v>0</v>
      </c>
      <c r="BB163" s="15">
        <v>0</v>
      </c>
      <c r="BC163" s="15">
        <v>0</v>
      </c>
      <c r="BD163" s="15">
        <v>0</v>
      </c>
      <c r="BE163" s="15">
        <v>0</v>
      </c>
      <c r="BF163" s="15">
        <f t="shared" si="116"/>
        <v>0</v>
      </c>
      <c r="BG163" s="15">
        <f t="shared" si="117"/>
        <v>0</v>
      </c>
      <c r="BH163" s="15">
        <f t="shared" si="118"/>
        <v>0</v>
      </c>
      <c r="BI163" s="15">
        <f t="shared" si="119"/>
        <v>0</v>
      </c>
    </row>
    <row r="164" spans="2:61" x14ac:dyDescent="0.25">
      <c r="C164" s="7">
        <v>675</v>
      </c>
      <c r="D164" s="7" t="s">
        <v>468</v>
      </c>
      <c r="E164" s="15">
        <v>0</v>
      </c>
      <c r="F164" s="15">
        <v>0</v>
      </c>
      <c r="G164" s="15">
        <v>0</v>
      </c>
      <c r="H164" s="15">
        <v>0</v>
      </c>
      <c r="I164" s="15">
        <v>0</v>
      </c>
      <c r="J164" s="15">
        <v>0</v>
      </c>
      <c r="K164" s="15">
        <v>0</v>
      </c>
      <c r="L164" s="15">
        <v>0</v>
      </c>
      <c r="M164" s="15">
        <v>0</v>
      </c>
      <c r="N164" s="15">
        <v>0</v>
      </c>
      <c r="O164" s="15">
        <v>0</v>
      </c>
      <c r="P164" s="15">
        <v>0</v>
      </c>
      <c r="Q164" s="15">
        <v>0</v>
      </c>
      <c r="R164" s="15">
        <v>0</v>
      </c>
      <c r="S164" s="15">
        <v>0</v>
      </c>
      <c r="T164" s="15">
        <v>0</v>
      </c>
      <c r="U164" s="15">
        <v>0</v>
      </c>
      <c r="V164" s="15">
        <v>0</v>
      </c>
      <c r="W164" s="15">
        <v>0</v>
      </c>
      <c r="X164" s="15">
        <v>0</v>
      </c>
      <c r="Y164" s="15">
        <v>0</v>
      </c>
      <c r="Z164" s="15">
        <v>0</v>
      </c>
      <c r="AA164" s="15">
        <v>0</v>
      </c>
      <c r="AB164" s="15">
        <v>0</v>
      </c>
      <c r="AC164" s="15">
        <v>0</v>
      </c>
      <c r="AD164" s="15">
        <v>0</v>
      </c>
      <c r="AE164" s="15">
        <v>0</v>
      </c>
      <c r="AF164" s="15">
        <v>0</v>
      </c>
      <c r="AG164" s="15">
        <v>0</v>
      </c>
      <c r="AH164" s="15">
        <v>0</v>
      </c>
      <c r="AI164" s="15">
        <v>0</v>
      </c>
      <c r="AJ164" s="15">
        <v>0</v>
      </c>
      <c r="AK164" s="15">
        <v>0</v>
      </c>
      <c r="AL164" s="15">
        <v>0</v>
      </c>
      <c r="AM164" s="15">
        <v>0</v>
      </c>
      <c r="AN164" s="15">
        <v>0</v>
      </c>
      <c r="AO164" s="15">
        <v>0</v>
      </c>
      <c r="AP164" s="15">
        <v>0</v>
      </c>
      <c r="AQ164" s="15">
        <v>0</v>
      </c>
      <c r="AR164" s="15">
        <v>0</v>
      </c>
      <c r="AS164" s="15">
        <v>0</v>
      </c>
      <c r="AT164" s="15">
        <v>0</v>
      </c>
      <c r="AU164" s="15">
        <v>0</v>
      </c>
      <c r="AV164" s="15">
        <v>0</v>
      </c>
      <c r="AW164" s="15">
        <v>0</v>
      </c>
      <c r="AX164" s="15">
        <v>0</v>
      </c>
      <c r="AY164" s="15">
        <v>0</v>
      </c>
      <c r="AZ164" s="15">
        <v>0</v>
      </c>
      <c r="BA164" s="15">
        <v>0</v>
      </c>
      <c r="BB164" s="15">
        <v>0</v>
      </c>
      <c r="BC164" s="15">
        <v>0</v>
      </c>
      <c r="BD164" s="15">
        <v>0</v>
      </c>
      <c r="BE164" s="15">
        <v>0</v>
      </c>
      <c r="BF164" s="15">
        <f t="shared" si="116"/>
        <v>0</v>
      </c>
      <c r="BG164" s="15">
        <f t="shared" si="117"/>
        <v>0</v>
      </c>
      <c r="BH164" s="15">
        <f t="shared" si="118"/>
        <v>0</v>
      </c>
      <c r="BI164" s="15">
        <f t="shared" si="119"/>
        <v>0</v>
      </c>
    </row>
    <row r="165" spans="2:61" x14ac:dyDescent="0.25">
      <c r="C165" s="7">
        <v>676</v>
      </c>
      <c r="D165" s="7" t="s">
        <v>469</v>
      </c>
      <c r="E165" s="15">
        <v>0</v>
      </c>
      <c r="F165" s="15">
        <v>0</v>
      </c>
      <c r="G165" s="15">
        <v>0</v>
      </c>
      <c r="H165" s="15">
        <v>0</v>
      </c>
      <c r="I165" s="15">
        <v>0</v>
      </c>
      <c r="J165" s="15">
        <v>0</v>
      </c>
      <c r="K165" s="15">
        <v>0</v>
      </c>
      <c r="L165" s="15">
        <v>0</v>
      </c>
      <c r="M165" s="15">
        <v>0</v>
      </c>
      <c r="N165" s="15">
        <v>0</v>
      </c>
      <c r="O165" s="15">
        <v>0</v>
      </c>
      <c r="P165" s="15">
        <v>0</v>
      </c>
      <c r="Q165" s="15">
        <v>0</v>
      </c>
      <c r="R165" s="15">
        <v>0</v>
      </c>
      <c r="S165" s="15">
        <v>0</v>
      </c>
      <c r="T165" s="15">
        <v>0</v>
      </c>
      <c r="U165" s="15">
        <v>0</v>
      </c>
      <c r="V165" s="15">
        <v>0</v>
      </c>
      <c r="W165" s="15">
        <v>0</v>
      </c>
      <c r="X165" s="15">
        <v>0</v>
      </c>
      <c r="Y165" s="15">
        <v>0</v>
      </c>
      <c r="Z165" s="15">
        <v>0</v>
      </c>
      <c r="AA165" s="15">
        <v>0</v>
      </c>
      <c r="AB165" s="15">
        <v>0</v>
      </c>
      <c r="AC165" s="15">
        <v>0</v>
      </c>
      <c r="AD165" s="15">
        <v>0</v>
      </c>
      <c r="AE165" s="15">
        <v>0</v>
      </c>
      <c r="AF165" s="15">
        <v>0</v>
      </c>
      <c r="AG165" s="15">
        <v>0</v>
      </c>
      <c r="AH165" s="15">
        <v>0</v>
      </c>
      <c r="AI165" s="15">
        <v>0</v>
      </c>
      <c r="AJ165" s="15">
        <v>0</v>
      </c>
      <c r="AK165" s="15">
        <v>0</v>
      </c>
      <c r="AL165" s="15">
        <v>0</v>
      </c>
      <c r="AM165" s="15">
        <v>0</v>
      </c>
      <c r="AN165" s="15">
        <v>0</v>
      </c>
      <c r="AO165" s="15">
        <v>0</v>
      </c>
      <c r="AP165" s="15">
        <v>0</v>
      </c>
      <c r="AQ165" s="15">
        <v>0</v>
      </c>
      <c r="AR165" s="15">
        <v>0</v>
      </c>
      <c r="AS165" s="15">
        <v>0</v>
      </c>
      <c r="AT165" s="15">
        <v>0</v>
      </c>
      <c r="AU165" s="15">
        <v>0</v>
      </c>
      <c r="AV165" s="15">
        <v>0</v>
      </c>
      <c r="AW165" s="15">
        <v>0</v>
      </c>
      <c r="AX165" s="15">
        <v>0</v>
      </c>
      <c r="AY165" s="15">
        <v>0</v>
      </c>
      <c r="AZ165" s="15">
        <v>0</v>
      </c>
      <c r="BA165" s="15">
        <v>0</v>
      </c>
      <c r="BB165" s="15">
        <v>0</v>
      </c>
      <c r="BC165" s="15">
        <v>0</v>
      </c>
      <c r="BD165" s="15">
        <v>0</v>
      </c>
      <c r="BE165" s="15">
        <v>0</v>
      </c>
      <c r="BF165" s="15">
        <f t="shared" si="116"/>
        <v>0</v>
      </c>
      <c r="BG165" s="15">
        <f t="shared" si="117"/>
        <v>0</v>
      </c>
      <c r="BH165" s="15">
        <f t="shared" si="118"/>
        <v>0</v>
      </c>
      <c r="BI165" s="15">
        <f t="shared" si="119"/>
        <v>0</v>
      </c>
    </row>
    <row r="166" spans="2:61" x14ac:dyDescent="0.25">
      <c r="C166" s="7">
        <v>677</v>
      </c>
      <c r="D166" s="7" t="s">
        <v>470</v>
      </c>
      <c r="E166" s="15">
        <v>0</v>
      </c>
      <c r="F166" s="15">
        <v>0</v>
      </c>
      <c r="G166" s="15">
        <v>0</v>
      </c>
      <c r="H166" s="15">
        <v>0</v>
      </c>
      <c r="I166" s="15">
        <v>0</v>
      </c>
      <c r="J166" s="15">
        <v>0</v>
      </c>
      <c r="K166" s="15">
        <v>0</v>
      </c>
      <c r="L166" s="15">
        <v>0</v>
      </c>
      <c r="M166" s="15">
        <v>0</v>
      </c>
      <c r="N166" s="15">
        <v>0</v>
      </c>
      <c r="O166" s="15">
        <v>0</v>
      </c>
      <c r="P166" s="15">
        <v>0</v>
      </c>
      <c r="Q166" s="15">
        <v>0</v>
      </c>
      <c r="R166" s="15">
        <v>0</v>
      </c>
      <c r="S166" s="15">
        <v>0</v>
      </c>
      <c r="T166" s="15">
        <v>0</v>
      </c>
      <c r="U166" s="15">
        <v>0</v>
      </c>
      <c r="V166" s="15">
        <v>0</v>
      </c>
      <c r="W166" s="15">
        <v>0</v>
      </c>
      <c r="X166" s="15">
        <v>0</v>
      </c>
      <c r="Y166" s="15">
        <v>0</v>
      </c>
      <c r="Z166" s="15">
        <v>0</v>
      </c>
      <c r="AA166" s="15">
        <v>0</v>
      </c>
      <c r="AB166" s="15">
        <v>0</v>
      </c>
      <c r="AC166" s="15">
        <v>0</v>
      </c>
      <c r="AD166" s="15">
        <v>0</v>
      </c>
      <c r="AE166" s="15">
        <v>0</v>
      </c>
      <c r="AF166" s="15">
        <v>0</v>
      </c>
      <c r="AG166" s="15">
        <v>0</v>
      </c>
      <c r="AH166" s="15">
        <v>0</v>
      </c>
      <c r="AI166" s="15">
        <v>0</v>
      </c>
      <c r="AJ166" s="15">
        <v>0</v>
      </c>
      <c r="AK166" s="15">
        <v>0</v>
      </c>
      <c r="AL166" s="15">
        <v>0</v>
      </c>
      <c r="AM166" s="15">
        <v>0</v>
      </c>
      <c r="AN166" s="15">
        <v>0</v>
      </c>
      <c r="AO166" s="15">
        <v>0</v>
      </c>
      <c r="AP166" s="15">
        <v>0</v>
      </c>
      <c r="AQ166" s="15">
        <v>0</v>
      </c>
      <c r="AR166" s="15">
        <v>0</v>
      </c>
      <c r="AS166" s="15">
        <v>0</v>
      </c>
      <c r="AT166" s="15">
        <v>0</v>
      </c>
      <c r="AU166" s="15">
        <v>0</v>
      </c>
      <c r="AV166" s="15">
        <v>0</v>
      </c>
      <c r="AW166" s="15">
        <v>0</v>
      </c>
      <c r="AX166" s="15">
        <v>0</v>
      </c>
      <c r="AY166" s="15">
        <v>0</v>
      </c>
      <c r="AZ166" s="15">
        <v>0</v>
      </c>
      <c r="BA166" s="15">
        <v>0</v>
      </c>
      <c r="BB166" s="15">
        <v>0</v>
      </c>
      <c r="BC166" s="15">
        <v>0</v>
      </c>
      <c r="BD166" s="15">
        <v>0</v>
      </c>
      <c r="BE166" s="15">
        <v>0</v>
      </c>
      <c r="BF166" s="15">
        <f t="shared" si="116"/>
        <v>0</v>
      </c>
      <c r="BG166" s="15">
        <f t="shared" si="117"/>
        <v>0</v>
      </c>
      <c r="BH166" s="15">
        <f t="shared" si="118"/>
        <v>0</v>
      </c>
      <c r="BI166" s="15">
        <f t="shared" si="119"/>
        <v>0</v>
      </c>
    </row>
    <row r="167" spans="2:61" x14ac:dyDescent="0.25">
      <c r="C167" s="7">
        <v>678</v>
      </c>
      <c r="D167" s="7" t="s">
        <v>471</v>
      </c>
      <c r="E167" s="15">
        <v>0</v>
      </c>
      <c r="F167" s="15">
        <v>0</v>
      </c>
      <c r="G167" s="15">
        <v>0</v>
      </c>
      <c r="H167" s="15">
        <v>0</v>
      </c>
      <c r="I167" s="15">
        <v>0</v>
      </c>
      <c r="J167" s="15">
        <v>0</v>
      </c>
      <c r="K167" s="15">
        <v>0</v>
      </c>
      <c r="L167" s="15">
        <v>0</v>
      </c>
      <c r="M167" s="15">
        <v>0</v>
      </c>
      <c r="N167" s="15">
        <v>0</v>
      </c>
      <c r="O167" s="15">
        <v>0</v>
      </c>
      <c r="P167" s="15">
        <v>0</v>
      </c>
      <c r="Q167" s="15">
        <v>0</v>
      </c>
      <c r="R167" s="15">
        <v>0</v>
      </c>
      <c r="S167" s="15">
        <v>0</v>
      </c>
      <c r="T167" s="15">
        <v>0</v>
      </c>
      <c r="U167" s="15">
        <v>0</v>
      </c>
      <c r="V167" s="15">
        <v>0</v>
      </c>
      <c r="W167" s="15">
        <v>0</v>
      </c>
      <c r="X167" s="15">
        <v>0</v>
      </c>
      <c r="Y167" s="15">
        <v>0</v>
      </c>
      <c r="Z167" s="15">
        <v>0</v>
      </c>
      <c r="AA167" s="15">
        <v>0</v>
      </c>
      <c r="AB167" s="15">
        <v>0</v>
      </c>
      <c r="AC167" s="15">
        <v>0</v>
      </c>
      <c r="AD167" s="15">
        <v>0</v>
      </c>
      <c r="AE167" s="15">
        <v>0</v>
      </c>
      <c r="AF167" s="15">
        <v>0</v>
      </c>
      <c r="AG167" s="15">
        <v>0</v>
      </c>
      <c r="AH167" s="15">
        <v>0</v>
      </c>
      <c r="AI167" s="15">
        <v>0</v>
      </c>
      <c r="AJ167" s="15">
        <v>0</v>
      </c>
      <c r="AK167" s="15">
        <v>0</v>
      </c>
      <c r="AL167" s="15">
        <v>0</v>
      </c>
      <c r="AM167" s="15">
        <v>0</v>
      </c>
      <c r="AN167" s="15">
        <v>0</v>
      </c>
      <c r="AO167" s="15">
        <v>0</v>
      </c>
      <c r="AP167" s="15">
        <v>0</v>
      </c>
      <c r="AQ167" s="15">
        <v>0</v>
      </c>
      <c r="AR167" s="15">
        <v>0</v>
      </c>
      <c r="AS167" s="15">
        <v>0</v>
      </c>
      <c r="AT167" s="15">
        <v>0</v>
      </c>
      <c r="AU167" s="15">
        <v>0</v>
      </c>
      <c r="AV167" s="15">
        <v>0</v>
      </c>
      <c r="AW167" s="15">
        <v>0</v>
      </c>
      <c r="AX167" s="15">
        <v>0</v>
      </c>
      <c r="AY167" s="15">
        <v>0</v>
      </c>
      <c r="AZ167" s="15">
        <v>0</v>
      </c>
      <c r="BA167" s="15">
        <v>0</v>
      </c>
      <c r="BB167" s="15">
        <v>0</v>
      </c>
      <c r="BC167" s="15">
        <v>0</v>
      </c>
      <c r="BD167" s="15">
        <v>0</v>
      </c>
      <c r="BE167" s="15">
        <v>0</v>
      </c>
      <c r="BF167" s="15">
        <f t="shared" si="116"/>
        <v>0</v>
      </c>
      <c r="BG167" s="15">
        <f t="shared" si="117"/>
        <v>0</v>
      </c>
      <c r="BH167" s="15">
        <f t="shared" si="118"/>
        <v>0</v>
      </c>
      <c r="BI167" s="15">
        <f t="shared" si="119"/>
        <v>0</v>
      </c>
    </row>
    <row r="168" spans="2:61" x14ac:dyDescent="0.2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v>0</v>
      </c>
      <c r="AV168" s="15"/>
      <c r="AW168" s="15"/>
      <c r="AX168" s="15"/>
      <c r="AY168" s="15"/>
      <c r="AZ168" s="15"/>
      <c r="BA168" s="15"/>
      <c r="BB168" s="15"/>
      <c r="BC168" s="15"/>
      <c r="BD168" s="15"/>
      <c r="BE168" s="15"/>
      <c r="BF168" s="15"/>
      <c r="BG168" s="15"/>
      <c r="BH168" s="15"/>
      <c r="BI168" s="15">
        <f t="shared" si="119"/>
        <v>0</v>
      </c>
    </row>
    <row r="169" spans="2:61" x14ac:dyDescent="0.25">
      <c r="B169" s="128">
        <v>68</v>
      </c>
      <c r="C169" s="128"/>
      <c r="D169" s="128" t="s">
        <v>486</v>
      </c>
      <c r="E169" s="175">
        <f>E170+E171+E172+E173+E174+E175+E176</f>
        <v>0</v>
      </c>
      <c r="F169" s="175">
        <f t="shared" ref="F169:BI169" si="120">F170+F171+F172+F173+F174+F175+F176</f>
        <v>0</v>
      </c>
      <c r="G169" s="175">
        <f t="shared" si="120"/>
        <v>0</v>
      </c>
      <c r="H169" s="175">
        <f t="shared" si="120"/>
        <v>0</v>
      </c>
      <c r="I169" s="175">
        <f t="shared" si="120"/>
        <v>0</v>
      </c>
      <c r="J169" s="175">
        <f t="shared" si="120"/>
        <v>0</v>
      </c>
      <c r="K169" s="175">
        <f t="shared" si="120"/>
        <v>0</v>
      </c>
      <c r="L169" s="175">
        <f t="shared" si="120"/>
        <v>0</v>
      </c>
      <c r="M169" s="175">
        <f t="shared" si="120"/>
        <v>0</v>
      </c>
      <c r="N169" s="175">
        <f t="shared" si="120"/>
        <v>0</v>
      </c>
      <c r="O169" s="175">
        <f t="shared" si="120"/>
        <v>0</v>
      </c>
      <c r="P169" s="175">
        <f t="shared" si="120"/>
        <v>0</v>
      </c>
      <c r="Q169" s="175">
        <f t="shared" si="120"/>
        <v>0</v>
      </c>
      <c r="R169" s="175">
        <f t="shared" si="120"/>
        <v>0</v>
      </c>
      <c r="S169" s="175">
        <f t="shared" si="120"/>
        <v>0</v>
      </c>
      <c r="T169" s="175">
        <f t="shared" si="120"/>
        <v>0</v>
      </c>
      <c r="U169" s="175">
        <f t="shared" si="120"/>
        <v>0</v>
      </c>
      <c r="V169" s="175">
        <f t="shared" si="120"/>
        <v>0</v>
      </c>
      <c r="W169" s="175">
        <f t="shared" si="120"/>
        <v>0</v>
      </c>
      <c r="X169" s="175">
        <f t="shared" si="120"/>
        <v>0</v>
      </c>
      <c r="Y169" s="175">
        <f t="shared" si="120"/>
        <v>0</v>
      </c>
      <c r="Z169" s="175">
        <f t="shared" si="120"/>
        <v>0</v>
      </c>
      <c r="AA169" s="175">
        <f t="shared" si="120"/>
        <v>0</v>
      </c>
      <c r="AB169" s="175">
        <f t="shared" si="120"/>
        <v>0</v>
      </c>
      <c r="AC169" s="175">
        <f t="shared" si="120"/>
        <v>0</v>
      </c>
      <c r="AD169" s="175">
        <f t="shared" si="120"/>
        <v>50000</v>
      </c>
      <c r="AE169" s="175">
        <f t="shared" si="120"/>
        <v>0</v>
      </c>
      <c r="AF169" s="175">
        <f t="shared" si="120"/>
        <v>0</v>
      </c>
      <c r="AG169" s="175">
        <f t="shared" si="120"/>
        <v>0</v>
      </c>
      <c r="AH169" s="175">
        <f t="shared" si="120"/>
        <v>0</v>
      </c>
      <c r="AI169" s="175">
        <f t="shared" si="120"/>
        <v>0</v>
      </c>
      <c r="AJ169" s="175">
        <f t="shared" si="120"/>
        <v>0</v>
      </c>
      <c r="AK169" s="175">
        <f t="shared" si="120"/>
        <v>0</v>
      </c>
      <c r="AL169" s="175">
        <f t="shared" si="120"/>
        <v>0</v>
      </c>
      <c r="AM169" s="175">
        <f t="shared" si="120"/>
        <v>0</v>
      </c>
      <c r="AN169" s="175">
        <f t="shared" si="120"/>
        <v>0</v>
      </c>
      <c r="AO169" s="175">
        <f t="shared" si="120"/>
        <v>0</v>
      </c>
      <c r="AP169" s="175">
        <f t="shared" si="120"/>
        <v>0</v>
      </c>
      <c r="AQ169" s="175">
        <f t="shared" si="120"/>
        <v>0</v>
      </c>
      <c r="AR169" s="175">
        <f t="shared" si="120"/>
        <v>0</v>
      </c>
      <c r="AS169" s="175">
        <f t="shared" si="120"/>
        <v>73000</v>
      </c>
      <c r="AT169" s="175">
        <f t="shared" si="120"/>
        <v>0</v>
      </c>
      <c r="AU169" s="175">
        <f t="shared" si="120"/>
        <v>0</v>
      </c>
      <c r="AV169" s="175">
        <f t="shared" si="120"/>
        <v>0</v>
      </c>
      <c r="AW169" s="175">
        <f t="shared" si="120"/>
        <v>0</v>
      </c>
      <c r="AX169" s="175">
        <f t="shared" si="120"/>
        <v>0</v>
      </c>
      <c r="AY169" s="175">
        <f t="shared" si="120"/>
        <v>0</v>
      </c>
      <c r="AZ169" s="175">
        <f t="shared" si="120"/>
        <v>0</v>
      </c>
      <c r="BA169" s="175">
        <f t="shared" si="120"/>
        <v>0</v>
      </c>
      <c r="BB169" s="175">
        <f t="shared" si="120"/>
        <v>0</v>
      </c>
      <c r="BC169" s="175">
        <f t="shared" si="120"/>
        <v>203366</v>
      </c>
      <c r="BD169" s="175">
        <f t="shared" si="120"/>
        <v>0</v>
      </c>
      <c r="BE169" s="175">
        <f t="shared" si="120"/>
        <v>0</v>
      </c>
      <c r="BF169" s="175">
        <f t="shared" si="120"/>
        <v>326366</v>
      </c>
      <c r="BG169" s="175">
        <f t="shared" si="120"/>
        <v>0</v>
      </c>
      <c r="BH169" s="175">
        <f t="shared" si="120"/>
        <v>50000</v>
      </c>
      <c r="BI169" s="175">
        <f t="shared" si="120"/>
        <v>276366</v>
      </c>
    </row>
    <row r="170" spans="2:61" x14ac:dyDescent="0.25">
      <c r="C170" s="7">
        <v>680</v>
      </c>
      <c r="D170" s="7" t="s">
        <v>451</v>
      </c>
      <c r="E170" s="15">
        <v>0</v>
      </c>
      <c r="F170" s="15">
        <v>0</v>
      </c>
      <c r="G170" s="15">
        <v>0</v>
      </c>
      <c r="H170" s="15">
        <v>0</v>
      </c>
      <c r="I170" s="15">
        <v>0</v>
      </c>
      <c r="J170" s="15">
        <v>0</v>
      </c>
      <c r="K170" s="15">
        <v>0</v>
      </c>
      <c r="L170" s="15">
        <v>0</v>
      </c>
      <c r="M170" s="15">
        <v>0</v>
      </c>
      <c r="N170" s="15">
        <v>0</v>
      </c>
      <c r="O170" s="15">
        <v>0</v>
      </c>
      <c r="P170" s="15">
        <v>0</v>
      </c>
      <c r="Q170" s="15">
        <v>0</v>
      </c>
      <c r="R170" s="15">
        <v>0</v>
      </c>
      <c r="S170" s="15">
        <v>0</v>
      </c>
      <c r="T170" s="15">
        <v>0</v>
      </c>
      <c r="U170" s="15">
        <v>0</v>
      </c>
      <c r="V170" s="15">
        <v>0</v>
      </c>
      <c r="W170" s="15">
        <v>0</v>
      </c>
      <c r="X170" s="15">
        <v>0</v>
      </c>
      <c r="Y170" s="15">
        <v>0</v>
      </c>
      <c r="Z170" s="15">
        <v>0</v>
      </c>
      <c r="AA170" s="15">
        <v>0</v>
      </c>
      <c r="AB170" s="15">
        <v>0</v>
      </c>
      <c r="AC170" s="15">
        <v>0</v>
      </c>
      <c r="AD170" s="15">
        <v>50000</v>
      </c>
      <c r="AE170" s="15">
        <v>0</v>
      </c>
      <c r="AF170" s="15">
        <v>0</v>
      </c>
      <c r="AG170" s="15">
        <v>0</v>
      </c>
      <c r="AH170" s="15">
        <v>0</v>
      </c>
      <c r="AI170" s="15">
        <v>0</v>
      </c>
      <c r="AJ170" s="15">
        <v>0</v>
      </c>
      <c r="AK170" s="15">
        <v>0</v>
      </c>
      <c r="AL170" s="15">
        <v>0</v>
      </c>
      <c r="AM170" s="15">
        <v>0</v>
      </c>
      <c r="AN170" s="15">
        <v>0</v>
      </c>
      <c r="AO170" s="15">
        <v>0</v>
      </c>
      <c r="AP170" s="15">
        <v>0</v>
      </c>
      <c r="AQ170" s="15">
        <v>0</v>
      </c>
      <c r="AR170" s="15">
        <v>0</v>
      </c>
      <c r="AS170" s="15">
        <v>73000</v>
      </c>
      <c r="AT170" s="15">
        <v>0</v>
      </c>
      <c r="AU170" s="15">
        <v>0</v>
      </c>
      <c r="AV170" s="15">
        <v>0</v>
      </c>
      <c r="AW170" s="15">
        <v>0</v>
      </c>
      <c r="AX170" s="15">
        <v>0</v>
      </c>
      <c r="AY170" s="15">
        <v>0</v>
      </c>
      <c r="AZ170" s="15">
        <v>0</v>
      </c>
      <c r="BA170" s="15">
        <v>0</v>
      </c>
      <c r="BB170" s="15">
        <v>0</v>
      </c>
      <c r="BC170" s="15">
        <v>203366</v>
      </c>
      <c r="BD170" s="15">
        <v>0</v>
      </c>
      <c r="BE170" s="15">
        <v>0</v>
      </c>
      <c r="BF170" s="15">
        <f t="shared" ref="BF170:BF176" si="121">SUM(E170:BE170)</f>
        <v>326366</v>
      </c>
      <c r="BG170" s="15">
        <f t="shared" ref="BG170:BG176" si="122">SUM(E170:W170)</f>
        <v>0</v>
      </c>
      <c r="BH170" s="15">
        <f t="shared" ref="BH170:BH176" si="123">SUM(X170:AJ170)</f>
        <v>50000</v>
      </c>
      <c r="BI170" s="15">
        <f t="shared" ref="BI170:BI176" si="124">SUM(AK170:BE170)</f>
        <v>276366</v>
      </c>
    </row>
    <row r="171" spans="2:61" x14ac:dyDescent="0.25">
      <c r="C171" s="7">
        <v>682</v>
      </c>
      <c r="D171" s="7" t="s">
        <v>461</v>
      </c>
      <c r="E171" s="15">
        <v>0</v>
      </c>
      <c r="F171" s="15">
        <v>0</v>
      </c>
      <c r="G171" s="15">
        <v>0</v>
      </c>
      <c r="H171" s="15">
        <v>0</v>
      </c>
      <c r="I171" s="15">
        <v>0</v>
      </c>
      <c r="J171" s="15">
        <v>0</v>
      </c>
      <c r="K171" s="15">
        <v>0</v>
      </c>
      <c r="L171" s="15">
        <v>0</v>
      </c>
      <c r="M171" s="15">
        <v>0</v>
      </c>
      <c r="N171" s="15">
        <v>0</v>
      </c>
      <c r="O171" s="15">
        <v>0</v>
      </c>
      <c r="P171" s="15">
        <v>0</v>
      </c>
      <c r="Q171" s="15">
        <v>0</v>
      </c>
      <c r="R171" s="15">
        <v>0</v>
      </c>
      <c r="S171" s="15">
        <v>0</v>
      </c>
      <c r="T171" s="15">
        <v>0</v>
      </c>
      <c r="U171" s="15">
        <v>0</v>
      </c>
      <c r="V171" s="15">
        <v>0</v>
      </c>
      <c r="W171" s="15">
        <v>0</v>
      </c>
      <c r="X171" s="15">
        <v>0</v>
      </c>
      <c r="Y171" s="15">
        <v>0</v>
      </c>
      <c r="Z171" s="15">
        <v>0</v>
      </c>
      <c r="AA171" s="15">
        <v>0</v>
      </c>
      <c r="AB171" s="15">
        <v>0</v>
      </c>
      <c r="AC171" s="15">
        <v>0</v>
      </c>
      <c r="AD171" s="15">
        <v>0</v>
      </c>
      <c r="AE171" s="15">
        <v>0</v>
      </c>
      <c r="AF171" s="15">
        <v>0</v>
      </c>
      <c r="AG171" s="15">
        <v>0</v>
      </c>
      <c r="AH171" s="15">
        <v>0</v>
      </c>
      <c r="AI171" s="15">
        <v>0</v>
      </c>
      <c r="AJ171" s="15">
        <v>0</v>
      </c>
      <c r="AK171" s="15">
        <v>0</v>
      </c>
      <c r="AL171" s="15">
        <v>0</v>
      </c>
      <c r="AM171" s="15">
        <v>0</v>
      </c>
      <c r="AN171" s="15">
        <v>0</v>
      </c>
      <c r="AO171" s="15">
        <v>0</v>
      </c>
      <c r="AP171" s="15">
        <v>0</v>
      </c>
      <c r="AQ171" s="15">
        <v>0</v>
      </c>
      <c r="AR171" s="15">
        <v>0</v>
      </c>
      <c r="AS171" s="15">
        <v>0</v>
      </c>
      <c r="AT171" s="15">
        <v>0</v>
      </c>
      <c r="AU171" s="15">
        <v>0</v>
      </c>
      <c r="AV171" s="15">
        <v>0</v>
      </c>
      <c r="AW171" s="15">
        <v>0</v>
      </c>
      <c r="AX171" s="15">
        <v>0</v>
      </c>
      <c r="AY171" s="15">
        <v>0</v>
      </c>
      <c r="AZ171" s="15">
        <v>0</v>
      </c>
      <c r="BA171" s="15">
        <v>0</v>
      </c>
      <c r="BB171" s="15">
        <v>0</v>
      </c>
      <c r="BC171" s="15">
        <v>0</v>
      </c>
      <c r="BD171" s="15">
        <v>0</v>
      </c>
      <c r="BE171" s="15">
        <v>0</v>
      </c>
      <c r="BF171" s="15">
        <f t="shared" si="121"/>
        <v>0</v>
      </c>
      <c r="BG171" s="15">
        <f t="shared" si="122"/>
        <v>0</v>
      </c>
      <c r="BH171" s="15">
        <f t="shared" si="123"/>
        <v>0</v>
      </c>
      <c r="BI171" s="15">
        <f t="shared" si="124"/>
        <v>0</v>
      </c>
    </row>
    <row r="172" spans="2:61" x14ac:dyDescent="0.25">
      <c r="C172" s="7">
        <v>683</v>
      </c>
      <c r="D172" s="7" t="s">
        <v>487</v>
      </c>
      <c r="E172" s="15">
        <v>0</v>
      </c>
      <c r="F172" s="15">
        <v>0</v>
      </c>
      <c r="G172" s="15">
        <v>0</v>
      </c>
      <c r="H172" s="15">
        <v>0</v>
      </c>
      <c r="I172" s="15">
        <v>0</v>
      </c>
      <c r="J172" s="15">
        <v>0</v>
      </c>
      <c r="K172" s="15">
        <v>0</v>
      </c>
      <c r="L172" s="15">
        <v>0</v>
      </c>
      <c r="M172" s="15">
        <v>0</v>
      </c>
      <c r="N172" s="15">
        <v>0</v>
      </c>
      <c r="O172" s="15">
        <v>0</v>
      </c>
      <c r="P172" s="15">
        <v>0</v>
      </c>
      <c r="Q172" s="15">
        <v>0</v>
      </c>
      <c r="R172" s="15">
        <v>0</v>
      </c>
      <c r="S172" s="15">
        <v>0</v>
      </c>
      <c r="T172" s="15">
        <v>0</v>
      </c>
      <c r="U172" s="15">
        <v>0</v>
      </c>
      <c r="V172" s="15">
        <v>0</v>
      </c>
      <c r="W172" s="15">
        <v>0</v>
      </c>
      <c r="X172" s="15">
        <v>0</v>
      </c>
      <c r="Y172" s="15">
        <v>0</v>
      </c>
      <c r="Z172" s="15">
        <v>0</v>
      </c>
      <c r="AA172" s="15">
        <v>0</v>
      </c>
      <c r="AB172" s="15">
        <v>0</v>
      </c>
      <c r="AC172" s="15">
        <v>0</v>
      </c>
      <c r="AD172" s="15">
        <v>0</v>
      </c>
      <c r="AE172" s="15">
        <v>0</v>
      </c>
      <c r="AF172" s="15">
        <v>0</v>
      </c>
      <c r="AG172" s="15">
        <v>0</v>
      </c>
      <c r="AH172" s="15">
        <v>0</v>
      </c>
      <c r="AI172" s="15">
        <v>0</v>
      </c>
      <c r="AJ172" s="15">
        <v>0</v>
      </c>
      <c r="AK172" s="15">
        <v>0</v>
      </c>
      <c r="AL172" s="15">
        <v>0</v>
      </c>
      <c r="AM172" s="15">
        <v>0</v>
      </c>
      <c r="AN172" s="15">
        <v>0</v>
      </c>
      <c r="AO172" s="15">
        <v>0</v>
      </c>
      <c r="AP172" s="15">
        <v>0</v>
      </c>
      <c r="AQ172" s="15">
        <v>0</v>
      </c>
      <c r="AR172" s="15">
        <v>0</v>
      </c>
      <c r="AS172" s="15">
        <v>0</v>
      </c>
      <c r="AT172" s="15">
        <v>0</v>
      </c>
      <c r="AU172" s="15">
        <v>0</v>
      </c>
      <c r="AV172" s="15">
        <v>0</v>
      </c>
      <c r="AW172" s="15">
        <v>0</v>
      </c>
      <c r="AX172" s="15">
        <v>0</v>
      </c>
      <c r="AY172" s="15">
        <v>0</v>
      </c>
      <c r="AZ172" s="15">
        <v>0</v>
      </c>
      <c r="BA172" s="15">
        <v>0</v>
      </c>
      <c r="BB172" s="15">
        <v>0</v>
      </c>
      <c r="BC172" s="15">
        <v>0</v>
      </c>
      <c r="BD172" s="15">
        <v>0</v>
      </c>
      <c r="BE172" s="15">
        <v>0</v>
      </c>
      <c r="BF172" s="15">
        <f t="shared" si="121"/>
        <v>0</v>
      </c>
      <c r="BG172" s="15">
        <f t="shared" si="122"/>
        <v>0</v>
      </c>
      <c r="BH172" s="15">
        <f t="shared" si="123"/>
        <v>0</v>
      </c>
      <c r="BI172" s="15">
        <f t="shared" si="124"/>
        <v>0</v>
      </c>
    </row>
    <row r="173" spans="2:61" x14ac:dyDescent="0.25">
      <c r="C173" s="7">
        <v>684</v>
      </c>
      <c r="D173" s="7" t="s">
        <v>249</v>
      </c>
      <c r="E173" s="15">
        <v>0</v>
      </c>
      <c r="F173" s="15">
        <v>0</v>
      </c>
      <c r="G173" s="15">
        <v>0</v>
      </c>
      <c r="H173" s="15">
        <v>0</v>
      </c>
      <c r="I173" s="15">
        <v>0</v>
      </c>
      <c r="J173" s="15">
        <v>0</v>
      </c>
      <c r="K173" s="15">
        <v>0</v>
      </c>
      <c r="L173" s="15">
        <v>0</v>
      </c>
      <c r="M173" s="15">
        <v>0</v>
      </c>
      <c r="N173" s="15">
        <v>0</v>
      </c>
      <c r="O173" s="15">
        <v>0</v>
      </c>
      <c r="P173" s="15">
        <v>0</v>
      </c>
      <c r="Q173" s="15">
        <v>0</v>
      </c>
      <c r="R173" s="15">
        <v>0</v>
      </c>
      <c r="S173" s="15">
        <v>0</v>
      </c>
      <c r="T173" s="15">
        <v>0</v>
      </c>
      <c r="U173" s="15">
        <v>0</v>
      </c>
      <c r="V173" s="15">
        <v>0</v>
      </c>
      <c r="W173" s="15">
        <v>0</v>
      </c>
      <c r="X173" s="15">
        <v>0</v>
      </c>
      <c r="Y173" s="15">
        <v>0</v>
      </c>
      <c r="Z173" s="15">
        <v>0</v>
      </c>
      <c r="AA173" s="15">
        <v>0</v>
      </c>
      <c r="AB173" s="15">
        <v>0</v>
      </c>
      <c r="AC173" s="15">
        <v>0</v>
      </c>
      <c r="AD173" s="15">
        <v>0</v>
      </c>
      <c r="AE173" s="15">
        <v>0</v>
      </c>
      <c r="AF173" s="15">
        <v>0</v>
      </c>
      <c r="AG173" s="15">
        <v>0</v>
      </c>
      <c r="AH173" s="15">
        <v>0</v>
      </c>
      <c r="AI173" s="15">
        <v>0</v>
      </c>
      <c r="AJ173" s="15">
        <v>0</v>
      </c>
      <c r="AK173" s="15">
        <v>0</v>
      </c>
      <c r="AL173" s="15">
        <v>0</v>
      </c>
      <c r="AM173" s="15">
        <v>0</v>
      </c>
      <c r="AN173" s="15">
        <v>0</v>
      </c>
      <c r="AO173" s="15">
        <v>0</v>
      </c>
      <c r="AP173" s="15">
        <v>0</v>
      </c>
      <c r="AQ173" s="15">
        <v>0</v>
      </c>
      <c r="AR173" s="15">
        <v>0</v>
      </c>
      <c r="AS173" s="15">
        <v>0</v>
      </c>
      <c r="AT173" s="15">
        <v>0</v>
      </c>
      <c r="AU173" s="15">
        <v>0</v>
      </c>
      <c r="AV173" s="15">
        <v>0</v>
      </c>
      <c r="AW173" s="15">
        <v>0</v>
      </c>
      <c r="AX173" s="15">
        <v>0</v>
      </c>
      <c r="AY173" s="15">
        <v>0</v>
      </c>
      <c r="AZ173" s="15">
        <v>0</v>
      </c>
      <c r="BA173" s="15">
        <v>0</v>
      </c>
      <c r="BB173" s="15">
        <v>0</v>
      </c>
      <c r="BC173" s="15">
        <v>0</v>
      </c>
      <c r="BD173" s="15">
        <v>0</v>
      </c>
      <c r="BE173" s="15">
        <v>0</v>
      </c>
      <c r="BF173" s="15">
        <f t="shared" si="121"/>
        <v>0</v>
      </c>
      <c r="BG173" s="15">
        <f t="shared" si="122"/>
        <v>0</v>
      </c>
      <c r="BH173" s="15">
        <f t="shared" si="123"/>
        <v>0</v>
      </c>
      <c r="BI173" s="15">
        <f t="shared" si="124"/>
        <v>0</v>
      </c>
    </row>
    <row r="174" spans="2:61" x14ac:dyDescent="0.25">
      <c r="C174" s="7">
        <v>685</v>
      </c>
      <c r="D174" s="7" t="s">
        <v>376</v>
      </c>
      <c r="E174" s="15">
        <v>0</v>
      </c>
      <c r="F174" s="15">
        <v>0</v>
      </c>
      <c r="G174" s="15">
        <v>0</v>
      </c>
      <c r="H174" s="15">
        <v>0</v>
      </c>
      <c r="I174" s="15">
        <v>0</v>
      </c>
      <c r="J174" s="15">
        <v>0</v>
      </c>
      <c r="K174" s="15">
        <v>0</v>
      </c>
      <c r="L174" s="15">
        <v>0</v>
      </c>
      <c r="M174" s="15">
        <v>0</v>
      </c>
      <c r="N174" s="15">
        <v>0</v>
      </c>
      <c r="O174" s="15">
        <v>0</v>
      </c>
      <c r="P174" s="15">
        <v>0</v>
      </c>
      <c r="Q174" s="15">
        <v>0</v>
      </c>
      <c r="R174" s="15">
        <v>0</v>
      </c>
      <c r="S174" s="15">
        <v>0</v>
      </c>
      <c r="T174" s="15">
        <v>0</v>
      </c>
      <c r="U174" s="15">
        <v>0</v>
      </c>
      <c r="V174" s="15">
        <v>0</v>
      </c>
      <c r="W174" s="15">
        <v>0</v>
      </c>
      <c r="X174" s="15">
        <v>0</v>
      </c>
      <c r="Y174" s="15">
        <v>0</v>
      </c>
      <c r="Z174" s="15">
        <v>0</v>
      </c>
      <c r="AA174" s="15">
        <v>0</v>
      </c>
      <c r="AB174" s="15">
        <v>0</v>
      </c>
      <c r="AC174" s="15">
        <v>0</v>
      </c>
      <c r="AD174" s="15">
        <v>0</v>
      </c>
      <c r="AE174" s="15">
        <v>0</v>
      </c>
      <c r="AF174" s="15">
        <v>0</v>
      </c>
      <c r="AG174" s="15">
        <v>0</v>
      </c>
      <c r="AH174" s="15">
        <v>0</v>
      </c>
      <c r="AI174" s="15">
        <v>0</v>
      </c>
      <c r="AJ174" s="15">
        <v>0</v>
      </c>
      <c r="AK174" s="15">
        <v>0</v>
      </c>
      <c r="AL174" s="15">
        <v>0</v>
      </c>
      <c r="AM174" s="15">
        <v>0</v>
      </c>
      <c r="AN174" s="15">
        <v>0</v>
      </c>
      <c r="AO174" s="15">
        <v>0</v>
      </c>
      <c r="AP174" s="15">
        <v>0</v>
      </c>
      <c r="AQ174" s="15">
        <v>0</v>
      </c>
      <c r="AR174" s="15">
        <v>0</v>
      </c>
      <c r="AS174" s="15">
        <v>0</v>
      </c>
      <c r="AT174" s="15">
        <v>0</v>
      </c>
      <c r="AU174" s="15">
        <v>0</v>
      </c>
      <c r="AV174" s="15">
        <v>0</v>
      </c>
      <c r="AW174" s="15">
        <v>0</v>
      </c>
      <c r="AX174" s="15">
        <v>0</v>
      </c>
      <c r="AY174" s="15">
        <v>0</v>
      </c>
      <c r="AZ174" s="15">
        <v>0</v>
      </c>
      <c r="BA174" s="15">
        <v>0</v>
      </c>
      <c r="BB174" s="15">
        <v>0</v>
      </c>
      <c r="BC174" s="15">
        <v>0</v>
      </c>
      <c r="BD174" s="15">
        <v>0</v>
      </c>
      <c r="BE174" s="15">
        <v>0</v>
      </c>
      <c r="BF174" s="15">
        <f t="shared" si="121"/>
        <v>0</v>
      </c>
      <c r="BG174" s="15">
        <f t="shared" si="122"/>
        <v>0</v>
      </c>
      <c r="BH174" s="15">
        <f t="shared" si="123"/>
        <v>0</v>
      </c>
      <c r="BI174" s="15">
        <f t="shared" si="124"/>
        <v>0</v>
      </c>
    </row>
    <row r="175" spans="2:61" x14ac:dyDescent="0.25">
      <c r="C175" s="7">
        <v>686</v>
      </c>
      <c r="D175" s="7" t="s">
        <v>488</v>
      </c>
      <c r="E175" s="15">
        <v>0</v>
      </c>
      <c r="F175" s="15">
        <v>0</v>
      </c>
      <c r="G175" s="15">
        <v>0</v>
      </c>
      <c r="H175" s="15">
        <v>0</v>
      </c>
      <c r="I175" s="15">
        <v>0</v>
      </c>
      <c r="J175" s="15">
        <v>0</v>
      </c>
      <c r="K175" s="15">
        <v>0</v>
      </c>
      <c r="L175" s="15">
        <v>0</v>
      </c>
      <c r="M175" s="15">
        <v>0</v>
      </c>
      <c r="N175" s="15">
        <v>0</v>
      </c>
      <c r="O175" s="15">
        <v>0</v>
      </c>
      <c r="P175" s="15">
        <v>0</v>
      </c>
      <c r="Q175" s="15">
        <v>0</v>
      </c>
      <c r="R175" s="15">
        <v>0</v>
      </c>
      <c r="S175" s="15">
        <v>0</v>
      </c>
      <c r="T175" s="15">
        <v>0</v>
      </c>
      <c r="U175" s="15">
        <v>0</v>
      </c>
      <c r="V175" s="15">
        <v>0</v>
      </c>
      <c r="W175" s="15">
        <v>0</v>
      </c>
      <c r="X175" s="15">
        <v>0</v>
      </c>
      <c r="Y175" s="15">
        <v>0</v>
      </c>
      <c r="Z175" s="15">
        <v>0</v>
      </c>
      <c r="AA175" s="15">
        <v>0</v>
      </c>
      <c r="AB175" s="15">
        <v>0</v>
      </c>
      <c r="AC175" s="15">
        <v>0</v>
      </c>
      <c r="AD175" s="15">
        <v>0</v>
      </c>
      <c r="AE175" s="15">
        <v>0</v>
      </c>
      <c r="AF175" s="15">
        <v>0</v>
      </c>
      <c r="AG175" s="15">
        <v>0</v>
      </c>
      <c r="AH175" s="15">
        <v>0</v>
      </c>
      <c r="AI175" s="15">
        <v>0</v>
      </c>
      <c r="AJ175" s="15">
        <v>0</v>
      </c>
      <c r="AK175" s="15">
        <v>0</v>
      </c>
      <c r="AL175" s="15">
        <v>0</v>
      </c>
      <c r="AM175" s="15">
        <v>0</v>
      </c>
      <c r="AN175" s="15">
        <v>0</v>
      </c>
      <c r="AO175" s="15">
        <v>0</v>
      </c>
      <c r="AP175" s="15">
        <v>0</v>
      </c>
      <c r="AQ175" s="15">
        <v>0</v>
      </c>
      <c r="AR175" s="15">
        <v>0</v>
      </c>
      <c r="AS175" s="15">
        <v>0</v>
      </c>
      <c r="AT175" s="15">
        <v>0</v>
      </c>
      <c r="AU175" s="15">
        <v>0</v>
      </c>
      <c r="AV175" s="15">
        <v>0</v>
      </c>
      <c r="AW175" s="15">
        <v>0</v>
      </c>
      <c r="AX175" s="15">
        <v>0</v>
      </c>
      <c r="AY175" s="15">
        <v>0</v>
      </c>
      <c r="AZ175" s="15">
        <v>0</v>
      </c>
      <c r="BA175" s="15">
        <v>0</v>
      </c>
      <c r="BB175" s="15">
        <v>0</v>
      </c>
      <c r="BC175" s="15">
        <v>0</v>
      </c>
      <c r="BD175" s="15">
        <v>0</v>
      </c>
      <c r="BE175" s="15">
        <v>0</v>
      </c>
      <c r="BF175" s="15">
        <f t="shared" si="121"/>
        <v>0</v>
      </c>
      <c r="BG175" s="15">
        <f t="shared" si="122"/>
        <v>0</v>
      </c>
      <c r="BH175" s="15">
        <f t="shared" si="123"/>
        <v>0</v>
      </c>
      <c r="BI175" s="15">
        <f t="shared" si="124"/>
        <v>0</v>
      </c>
    </row>
    <row r="176" spans="2:61" x14ac:dyDescent="0.25">
      <c r="C176" s="7">
        <v>689</v>
      </c>
      <c r="D176" s="7" t="s">
        <v>489</v>
      </c>
      <c r="E176" s="15">
        <v>0</v>
      </c>
      <c r="F176" s="15">
        <v>0</v>
      </c>
      <c r="G176" s="15">
        <v>0</v>
      </c>
      <c r="H176" s="15">
        <v>0</v>
      </c>
      <c r="I176" s="15">
        <v>0</v>
      </c>
      <c r="J176" s="15">
        <v>0</v>
      </c>
      <c r="K176" s="15">
        <v>0</v>
      </c>
      <c r="L176" s="15">
        <v>0</v>
      </c>
      <c r="M176" s="15">
        <v>0</v>
      </c>
      <c r="N176" s="15">
        <v>0</v>
      </c>
      <c r="O176" s="15">
        <v>0</v>
      </c>
      <c r="P176" s="15">
        <v>0</v>
      </c>
      <c r="Q176" s="15">
        <v>0</v>
      </c>
      <c r="R176" s="15">
        <v>0</v>
      </c>
      <c r="S176" s="15">
        <v>0</v>
      </c>
      <c r="T176" s="15">
        <v>0</v>
      </c>
      <c r="U176" s="15">
        <v>0</v>
      </c>
      <c r="V176" s="15">
        <v>0</v>
      </c>
      <c r="W176" s="15">
        <v>0</v>
      </c>
      <c r="X176" s="15">
        <v>0</v>
      </c>
      <c r="Y176" s="15">
        <v>0</v>
      </c>
      <c r="Z176" s="15">
        <v>0</v>
      </c>
      <c r="AA176" s="15">
        <v>0</v>
      </c>
      <c r="AB176" s="15">
        <v>0</v>
      </c>
      <c r="AC176" s="15">
        <v>0</v>
      </c>
      <c r="AD176" s="15">
        <v>0</v>
      </c>
      <c r="AE176" s="15">
        <v>0</v>
      </c>
      <c r="AF176" s="15">
        <v>0</v>
      </c>
      <c r="AG176" s="15">
        <v>0</v>
      </c>
      <c r="AH176" s="15">
        <v>0</v>
      </c>
      <c r="AI176" s="15">
        <v>0</v>
      </c>
      <c r="AJ176" s="15">
        <v>0</v>
      </c>
      <c r="AK176" s="15">
        <v>0</v>
      </c>
      <c r="AL176" s="15">
        <v>0</v>
      </c>
      <c r="AM176" s="15">
        <v>0</v>
      </c>
      <c r="AN176" s="15">
        <v>0</v>
      </c>
      <c r="AO176" s="15">
        <v>0</v>
      </c>
      <c r="AP176" s="15">
        <v>0</v>
      </c>
      <c r="AQ176" s="15">
        <v>0</v>
      </c>
      <c r="AR176" s="15">
        <v>0</v>
      </c>
      <c r="AS176" s="15">
        <v>0</v>
      </c>
      <c r="AT176" s="15">
        <v>0</v>
      </c>
      <c r="AU176" s="15">
        <v>0</v>
      </c>
      <c r="AV176" s="15">
        <v>0</v>
      </c>
      <c r="AW176" s="15">
        <v>0</v>
      </c>
      <c r="AX176" s="15">
        <v>0</v>
      </c>
      <c r="AY176" s="15">
        <v>0</v>
      </c>
      <c r="AZ176" s="15">
        <v>0</v>
      </c>
      <c r="BA176" s="15">
        <v>0</v>
      </c>
      <c r="BB176" s="15">
        <v>0</v>
      </c>
      <c r="BC176" s="15">
        <v>0</v>
      </c>
      <c r="BD176" s="15">
        <v>0</v>
      </c>
      <c r="BE176" s="15">
        <v>0</v>
      </c>
      <c r="BF176" s="15">
        <f t="shared" si="121"/>
        <v>0</v>
      </c>
      <c r="BG176" s="15">
        <f t="shared" si="122"/>
        <v>0</v>
      </c>
      <c r="BH176" s="15">
        <f t="shared" si="123"/>
        <v>0</v>
      </c>
      <c r="BI176" s="15">
        <f t="shared" si="124"/>
        <v>0</v>
      </c>
    </row>
    <row r="177" spans="2:61" x14ac:dyDescent="0.2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row>
    <row r="178" spans="2:61" x14ac:dyDescent="0.25">
      <c r="B178" s="128">
        <v>69</v>
      </c>
      <c r="C178" s="128"/>
      <c r="D178" s="128" t="s">
        <v>490</v>
      </c>
      <c r="E178" s="175">
        <f>E179</f>
        <v>371702.39</v>
      </c>
      <c r="F178" s="175">
        <f t="shared" ref="F178:BI178" si="125">F179</f>
        <v>28081.5</v>
      </c>
      <c r="G178" s="175">
        <f t="shared" si="125"/>
        <v>242182.39999999999</v>
      </c>
      <c r="H178" s="175">
        <f t="shared" si="125"/>
        <v>62259.15</v>
      </c>
      <c r="I178" s="175">
        <f t="shared" si="125"/>
        <v>2378465.62</v>
      </c>
      <c r="J178" s="175">
        <f t="shared" si="125"/>
        <v>2202642.27</v>
      </c>
      <c r="K178" s="175">
        <f t="shared" si="125"/>
        <v>979069.46</v>
      </c>
      <c r="L178" s="175">
        <f t="shared" si="125"/>
        <v>12017308.6</v>
      </c>
      <c r="M178" s="175">
        <f t="shared" si="125"/>
        <v>1910906.37</v>
      </c>
      <c r="N178" s="175">
        <f t="shared" si="125"/>
        <v>41267.75</v>
      </c>
      <c r="O178" s="175">
        <f t="shared" si="125"/>
        <v>5431484.6500000004</v>
      </c>
      <c r="P178" s="175">
        <f t="shared" si="125"/>
        <v>50979.71</v>
      </c>
      <c r="Q178" s="175">
        <f t="shared" si="125"/>
        <v>2188.15</v>
      </c>
      <c r="R178" s="175">
        <f t="shared" si="125"/>
        <v>43432.21</v>
      </c>
      <c r="S178" s="175">
        <f t="shared" si="125"/>
        <v>209.25</v>
      </c>
      <c r="T178" s="175">
        <f t="shared" si="125"/>
        <v>198621.2</v>
      </c>
      <c r="U178" s="175">
        <f t="shared" si="125"/>
        <v>112192.75</v>
      </c>
      <c r="V178" s="175">
        <f t="shared" si="125"/>
        <v>65376</v>
      </c>
      <c r="W178" s="175">
        <f t="shared" si="125"/>
        <v>4915498.45</v>
      </c>
      <c r="X178" s="175">
        <f t="shared" si="125"/>
        <v>331568.45</v>
      </c>
      <c r="Y178" s="175">
        <f t="shared" si="125"/>
        <v>568913.5</v>
      </c>
      <c r="Z178" s="175">
        <f t="shared" si="125"/>
        <v>356335.8</v>
      </c>
      <c r="AA178" s="175">
        <f t="shared" si="125"/>
        <v>339692.7</v>
      </c>
      <c r="AB178" s="175">
        <f t="shared" si="125"/>
        <v>178259.75</v>
      </c>
      <c r="AC178" s="175">
        <f t="shared" si="125"/>
        <v>373782</v>
      </c>
      <c r="AD178" s="175">
        <f t="shared" si="125"/>
        <v>1534075.49</v>
      </c>
      <c r="AE178" s="175">
        <f t="shared" si="125"/>
        <v>482944.8</v>
      </c>
      <c r="AF178" s="175">
        <f t="shared" si="125"/>
        <v>606075.91</v>
      </c>
      <c r="AG178" s="175">
        <f t="shared" si="125"/>
        <v>830847.02</v>
      </c>
      <c r="AH178" s="175">
        <f t="shared" si="125"/>
        <v>1171479.83</v>
      </c>
      <c r="AI178" s="175">
        <f t="shared" si="125"/>
        <v>25468.85</v>
      </c>
      <c r="AJ178" s="175">
        <f t="shared" si="125"/>
        <v>66722.850000000006</v>
      </c>
      <c r="AK178" s="175">
        <f t="shared" si="125"/>
        <v>723238.84</v>
      </c>
      <c r="AL178" s="175">
        <f t="shared" si="125"/>
        <v>248880.85</v>
      </c>
      <c r="AM178" s="175">
        <f t="shared" si="125"/>
        <v>463854.36</v>
      </c>
      <c r="AN178" s="175">
        <f t="shared" si="125"/>
        <v>19656.5</v>
      </c>
      <c r="AO178" s="175">
        <f t="shared" si="125"/>
        <v>1528389.06</v>
      </c>
      <c r="AP178" s="175">
        <f t="shared" si="125"/>
        <v>334781.95</v>
      </c>
      <c r="AQ178" s="175">
        <f t="shared" si="125"/>
        <v>1123724.8</v>
      </c>
      <c r="AR178" s="175">
        <f t="shared" si="125"/>
        <v>1965475.15</v>
      </c>
      <c r="AS178" s="175">
        <f t="shared" si="125"/>
        <v>152819.9</v>
      </c>
      <c r="AT178" s="175">
        <f t="shared" si="125"/>
        <v>1040598.75</v>
      </c>
      <c r="AU178" s="175">
        <f t="shared" si="125"/>
        <v>177717.8</v>
      </c>
      <c r="AV178" s="175">
        <f t="shared" si="125"/>
        <v>2134973.85</v>
      </c>
      <c r="AW178" s="175">
        <f t="shared" si="125"/>
        <v>344279.7</v>
      </c>
      <c r="AX178" s="175">
        <f t="shared" si="125"/>
        <v>0</v>
      </c>
      <c r="AY178" s="175">
        <f t="shared" si="125"/>
        <v>84585.35</v>
      </c>
      <c r="AZ178" s="175">
        <f t="shared" si="125"/>
        <v>264388.7</v>
      </c>
      <c r="BA178" s="175">
        <f t="shared" si="125"/>
        <v>1181638.93</v>
      </c>
      <c r="BB178" s="175">
        <f t="shared" si="125"/>
        <v>944192.91</v>
      </c>
      <c r="BC178" s="175">
        <f t="shared" si="125"/>
        <v>469551.45</v>
      </c>
      <c r="BD178" s="175">
        <f>BD179</f>
        <v>6984682.2400000002</v>
      </c>
      <c r="BE178" s="175">
        <f t="shared" si="125"/>
        <v>34005.9</v>
      </c>
      <c r="BF178" s="175">
        <f t="shared" si="125"/>
        <v>58141471.820000008</v>
      </c>
      <c r="BG178" s="175">
        <f t="shared" si="125"/>
        <v>31053867.880000003</v>
      </c>
      <c r="BH178" s="175">
        <f t="shared" si="125"/>
        <v>6866166.9499999993</v>
      </c>
      <c r="BI178" s="175">
        <f t="shared" si="125"/>
        <v>20221436.989999995</v>
      </c>
    </row>
    <row r="179" spans="2:61" x14ac:dyDescent="0.25">
      <c r="C179" s="7">
        <v>690</v>
      </c>
      <c r="D179" s="7" t="s">
        <v>490</v>
      </c>
      <c r="E179" s="15">
        <v>371702.39</v>
      </c>
      <c r="F179" s="15">
        <v>28081.5</v>
      </c>
      <c r="G179" s="15">
        <v>242182.39999999999</v>
      </c>
      <c r="H179" s="15">
        <v>62259.15</v>
      </c>
      <c r="I179" s="15">
        <v>2378465.62</v>
      </c>
      <c r="J179" s="15">
        <v>2202642.27</v>
      </c>
      <c r="K179" s="15">
        <v>979069.46</v>
      </c>
      <c r="L179" s="15">
        <v>12017308.6</v>
      </c>
      <c r="M179" s="15">
        <v>1910906.37</v>
      </c>
      <c r="N179" s="15">
        <v>41267.75</v>
      </c>
      <c r="O179" s="15">
        <v>5431484.6500000004</v>
      </c>
      <c r="P179" s="15">
        <v>50979.71</v>
      </c>
      <c r="Q179" s="15">
        <v>2188.15</v>
      </c>
      <c r="R179" s="15">
        <v>43432.21</v>
      </c>
      <c r="S179" s="15">
        <v>209.25</v>
      </c>
      <c r="T179" s="15">
        <v>198621.2</v>
      </c>
      <c r="U179" s="15">
        <v>112192.75</v>
      </c>
      <c r="V179" s="15">
        <v>65376</v>
      </c>
      <c r="W179" s="15">
        <v>4915498.45</v>
      </c>
      <c r="X179" s="15">
        <v>331568.45</v>
      </c>
      <c r="Y179" s="15">
        <v>568913.5</v>
      </c>
      <c r="Z179" s="15">
        <v>356335.8</v>
      </c>
      <c r="AA179" s="15">
        <v>339692.7</v>
      </c>
      <c r="AB179" s="15">
        <v>178259.75</v>
      </c>
      <c r="AC179" s="15">
        <v>373782</v>
      </c>
      <c r="AD179" s="15">
        <v>1534075.49</v>
      </c>
      <c r="AE179" s="15">
        <v>482944.8</v>
      </c>
      <c r="AF179" s="15">
        <v>606075.91</v>
      </c>
      <c r="AG179" s="15">
        <v>830847.02</v>
      </c>
      <c r="AH179" s="15">
        <v>1171479.83</v>
      </c>
      <c r="AI179" s="15">
        <v>25468.85</v>
      </c>
      <c r="AJ179" s="15">
        <v>66722.850000000006</v>
      </c>
      <c r="AK179" s="15">
        <v>723238.84</v>
      </c>
      <c r="AL179" s="15">
        <v>248880.85</v>
      </c>
      <c r="AM179" s="15">
        <v>463854.36</v>
      </c>
      <c r="AN179" s="15">
        <v>19656.5</v>
      </c>
      <c r="AO179" s="15">
        <v>1528389.06</v>
      </c>
      <c r="AP179" s="15">
        <v>334781.95</v>
      </c>
      <c r="AQ179" s="15">
        <v>1123724.8</v>
      </c>
      <c r="AR179" s="15">
        <v>1965475.15</v>
      </c>
      <c r="AS179" s="15">
        <v>152819.9</v>
      </c>
      <c r="AT179" s="15">
        <v>1040598.75</v>
      </c>
      <c r="AU179" s="15">
        <v>177717.8</v>
      </c>
      <c r="AV179" s="15">
        <v>2134973.85</v>
      </c>
      <c r="AW179" s="15">
        <v>344279.7</v>
      </c>
      <c r="AX179" s="15">
        <v>0</v>
      </c>
      <c r="AY179" s="15">
        <v>84585.35</v>
      </c>
      <c r="AZ179" s="15">
        <v>264388.7</v>
      </c>
      <c r="BA179" s="15">
        <v>1181638.93</v>
      </c>
      <c r="BB179" s="15">
        <v>944192.91</v>
      </c>
      <c r="BC179" s="15">
        <v>469551.45</v>
      </c>
      <c r="BD179" s="15">
        <v>6984682.2400000002</v>
      </c>
      <c r="BE179" s="15">
        <v>34005.9</v>
      </c>
      <c r="BF179" s="15">
        <f t="shared" ref="BF179" si="126">SUM(E179:BE179)</f>
        <v>58141471.820000008</v>
      </c>
      <c r="BG179" s="15">
        <f t="shared" ref="BG179" si="127">SUM(E179:W179)</f>
        <v>31053867.880000003</v>
      </c>
      <c r="BH179" s="15">
        <f t="shared" ref="BH179" si="128">SUM(X179:AJ179)</f>
        <v>6866166.9499999993</v>
      </c>
      <c r="BI179" s="15">
        <f t="shared" ref="BI179" si="129">SUM(AK179:BE179)</f>
        <v>20221436.989999995</v>
      </c>
    </row>
    <row r="180" spans="2:61" x14ac:dyDescent="0.2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row>
    <row r="181" spans="2:61" x14ac:dyDescent="0.2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row>
    <row r="182" spans="2:61" x14ac:dyDescent="0.2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row>
    <row r="183" spans="2:61" x14ac:dyDescent="0.25">
      <c r="D183" s="70" t="s">
        <v>220</v>
      </c>
      <c r="E183" s="130">
        <f>E5-E88</f>
        <v>371702.39</v>
      </c>
      <c r="F183" s="130">
        <f t="shared" ref="F183:BI183" si="130">F5-F88</f>
        <v>22251.8</v>
      </c>
      <c r="G183" s="130">
        <f t="shared" si="130"/>
        <v>177186.41</v>
      </c>
      <c r="H183" s="130">
        <f t="shared" si="130"/>
        <v>-131840.85</v>
      </c>
      <c r="I183" s="130">
        <f t="shared" si="130"/>
        <v>2164566.62</v>
      </c>
      <c r="J183" s="130">
        <f t="shared" si="130"/>
        <v>1531069.87</v>
      </c>
      <c r="K183" s="130">
        <f t="shared" si="130"/>
        <v>614285.66000000015</v>
      </c>
      <c r="L183" s="130">
        <f t="shared" si="130"/>
        <v>10559279.599999998</v>
      </c>
      <c r="M183" s="130">
        <f t="shared" si="130"/>
        <v>935464.5699999996</v>
      </c>
      <c r="N183" s="130">
        <f t="shared" si="130"/>
        <v>41267.75</v>
      </c>
      <c r="O183" s="130">
        <f t="shared" si="130"/>
        <v>4504637.2</v>
      </c>
      <c r="P183" s="130">
        <f t="shared" si="130"/>
        <v>-131710.69</v>
      </c>
      <c r="Q183" s="130">
        <f t="shared" si="130"/>
        <v>2188.15</v>
      </c>
      <c r="R183" s="130">
        <f t="shared" si="130"/>
        <v>42724.76</v>
      </c>
      <c r="S183" s="130">
        <f t="shared" si="130"/>
        <v>-221190.75</v>
      </c>
      <c r="T183" s="130">
        <f t="shared" si="130"/>
        <v>149921.20000000001</v>
      </c>
      <c r="U183" s="130">
        <f t="shared" si="130"/>
        <v>108389.85</v>
      </c>
      <c r="V183" s="130">
        <f t="shared" si="130"/>
        <v>61492</v>
      </c>
      <c r="W183" s="130">
        <f t="shared" si="130"/>
        <v>2552778.3000000007</v>
      </c>
      <c r="X183" s="130">
        <f t="shared" si="130"/>
        <v>328568.45</v>
      </c>
      <c r="Y183" s="130">
        <f t="shared" si="130"/>
        <v>439242.3</v>
      </c>
      <c r="Z183" s="130">
        <f t="shared" si="130"/>
        <v>258634</v>
      </c>
      <c r="AA183" s="130">
        <f t="shared" si="130"/>
        <v>339692.69999999995</v>
      </c>
      <c r="AB183" s="130">
        <f t="shared" si="130"/>
        <v>178259.75</v>
      </c>
      <c r="AC183" s="130">
        <f t="shared" si="130"/>
        <v>304682</v>
      </c>
      <c r="AD183" s="130">
        <f t="shared" si="130"/>
        <v>1375513.94</v>
      </c>
      <c r="AE183" s="130">
        <f t="shared" si="130"/>
        <v>482944.8</v>
      </c>
      <c r="AF183" s="130">
        <f t="shared" si="130"/>
        <v>544077.91</v>
      </c>
      <c r="AG183" s="130">
        <f t="shared" si="130"/>
        <v>785987.92</v>
      </c>
      <c r="AH183" s="130">
        <f t="shared" si="130"/>
        <v>464872.2300000001</v>
      </c>
      <c r="AI183" s="130">
        <f t="shared" si="130"/>
        <v>20868.849999999999</v>
      </c>
      <c r="AJ183" s="130">
        <f t="shared" si="130"/>
        <v>57472.850000000006</v>
      </c>
      <c r="AK183" s="130">
        <f t="shared" si="130"/>
        <v>268299.43999999994</v>
      </c>
      <c r="AL183" s="130">
        <f t="shared" si="130"/>
        <v>148964.79999999999</v>
      </c>
      <c r="AM183" s="130">
        <f t="shared" si="130"/>
        <v>366466.45999999996</v>
      </c>
      <c r="AN183" s="130">
        <f t="shared" si="130"/>
        <v>19656.5</v>
      </c>
      <c r="AO183" s="130">
        <f t="shared" si="130"/>
        <v>1333568.71</v>
      </c>
      <c r="AP183" s="130">
        <f t="shared" si="130"/>
        <v>330958.19999999995</v>
      </c>
      <c r="AQ183" s="130">
        <f t="shared" si="130"/>
        <v>1048982.45</v>
      </c>
      <c r="AR183" s="130">
        <f t="shared" si="130"/>
        <v>1214185.5299999998</v>
      </c>
      <c r="AS183" s="130">
        <f t="shared" si="130"/>
        <v>75819.900000000023</v>
      </c>
      <c r="AT183" s="130">
        <f t="shared" si="130"/>
        <v>950598.7</v>
      </c>
      <c r="AU183" s="130">
        <f t="shared" si="130"/>
        <v>124690.30000000002</v>
      </c>
      <c r="AV183" s="130">
        <f t="shared" si="130"/>
        <v>1992546.05</v>
      </c>
      <c r="AW183" s="130">
        <f t="shared" si="130"/>
        <v>327924.7</v>
      </c>
      <c r="AX183" s="130">
        <f t="shared" si="130"/>
        <v>0</v>
      </c>
      <c r="AY183" s="130">
        <f t="shared" si="130"/>
        <v>84585.35</v>
      </c>
      <c r="AZ183" s="130">
        <f t="shared" si="130"/>
        <v>264388.7</v>
      </c>
      <c r="BA183" s="130">
        <f t="shared" si="130"/>
        <v>1007824.7800000001</v>
      </c>
      <c r="BB183" s="130">
        <f t="shared" si="130"/>
        <v>837864.91</v>
      </c>
      <c r="BC183" s="130">
        <f t="shared" si="130"/>
        <v>266185.44999999995</v>
      </c>
      <c r="BD183" s="130">
        <f t="shared" si="130"/>
        <v>5749758.29</v>
      </c>
      <c r="BE183" s="130">
        <f t="shared" si="130"/>
        <v>-27951.1</v>
      </c>
      <c r="BF183" s="130">
        <f t="shared" si="130"/>
        <v>45320599.660000011</v>
      </c>
      <c r="BG183" s="130">
        <f t="shared" si="130"/>
        <v>23354463.839999996</v>
      </c>
      <c r="BH183" s="130">
        <f t="shared" si="130"/>
        <v>5580817.7000000011</v>
      </c>
      <c r="BI183" s="130">
        <f t="shared" si="130"/>
        <v>16385318.120000001</v>
      </c>
    </row>
    <row r="185" spans="2:61" x14ac:dyDescent="0.25">
      <c r="L185" s="12"/>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5" tint="0.59999389629810485"/>
  </sheetPr>
  <dimension ref="A2:BI62"/>
  <sheetViews>
    <sheetView workbookViewId="0">
      <pane xSplit="4" ySplit="4" topLeftCell="E5" activePane="bottomRight" state="frozen"/>
      <selection pane="topRight" activeCell="E1" sqref="E1"/>
      <selection pane="bottomLeft" activeCell="A4" sqref="A4"/>
      <selection pane="bottomRight" activeCell="E5" sqref="E5"/>
    </sheetView>
  </sheetViews>
  <sheetFormatPr baseColWidth="10" defaultColWidth="11.44140625" defaultRowHeight="13.8" x14ac:dyDescent="0.25"/>
  <cols>
    <col min="1" max="2" width="5.6640625" style="7" customWidth="1"/>
    <col min="3" max="3" width="9" style="7" customWidth="1"/>
    <col min="4" max="4" width="63.5546875" style="7" customWidth="1"/>
    <col min="5" max="58" width="16.33203125" style="7" customWidth="1"/>
    <col min="59" max="61" width="17.88671875" style="7" customWidth="1"/>
    <col min="62" max="16384" width="11.44140625" style="7"/>
  </cols>
  <sheetData>
    <row r="2" spans="1:61" ht="21" x14ac:dyDescent="0.4">
      <c r="A2" s="79" t="s">
        <v>274</v>
      </c>
      <c r="B2" s="6"/>
      <c r="C2" s="6"/>
      <c r="D2" s="6"/>
    </row>
    <row r="3" spans="1:61" x14ac:dyDescent="0.25">
      <c r="A3" s="6" t="s">
        <v>832</v>
      </c>
      <c r="E3" s="8">
        <f>'Base de données pop.'!C2</f>
        <v>951</v>
      </c>
      <c r="F3" s="8">
        <f>'Base de données pop.'!C3</f>
        <v>258</v>
      </c>
      <c r="G3" s="8">
        <f>'Base de données pop.'!C4</f>
        <v>471</v>
      </c>
      <c r="H3" s="8">
        <f>'Base de données pop.'!C5</f>
        <v>441</v>
      </c>
      <c r="I3" s="8">
        <f>'Base de données pop.'!C6</f>
        <v>3686</v>
      </c>
      <c r="J3" s="8">
        <f>'Base de données pop.'!C7</f>
        <v>3313</v>
      </c>
      <c r="K3" s="8">
        <f>'Base de données pop.'!C8</f>
        <v>2654</v>
      </c>
      <c r="L3" s="8">
        <f>'Base de données pop.'!C9</f>
        <v>12636</v>
      </c>
      <c r="M3" s="8">
        <f>'Base de données pop.'!C10</f>
        <v>1360</v>
      </c>
      <c r="N3" s="8">
        <f>'Base de données pop.'!C11</f>
        <v>112</v>
      </c>
      <c r="O3" s="8">
        <f>'Base de données pop.'!C12</f>
        <v>7319</v>
      </c>
      <c r="P3" s="8">
        <f>'Base de données pop.'!C13</f>
        <v>522</v>
      </c>
      <c r="Q3" s="8">
        <f>'Base de données pop.'!C14</f>
        <v>106</v>
      </c>
      <c r="R3" s="8">
        <f>'Base de données pop.'!C15</f>
        <v>425</v>
      </c>
      <c r="S3" s="8">
        <f>'Base de données pop.'!C16</f>
        <v>350</v>
      </c>
      <c r="T3" s="8">
        <f>'Base de données pop.'!C17</f>
        <v>733</v>
      </c>
      <c r="U3" s="8">
        <f>'Base de données pop.'!C18</f>
        <v>270</v>
      </c>
      <c r="V3" s="8">
        <f>'Base de données pop.'!C19</f>
        <v>417</v>
      </c>
      <c r="W3" s="8">
        <f>'Base de données pop.'!C20</f>
        <v>3285</v>
      </c>
      <c r="X3" s="8">
        <f>'Base de données pop.'!C21</f>
        <v>308</v>
      </c>
      <c r="Y3" s="8">
        <f>'Base de données pop.'!C22</f>
        <v>1258</v>
      </c>
      <c r="Z3" s="8">
        <f>'Base de données pop.'!C23</f>
        <v>1524</v>
      </c>
      <c r="AA3" s="8">
        <f>'Base de données pop.'!C24</f>
        <v>87</v>
      </c>
      <c r="AB3" s="8">
        <f>'Base de données pop.'!C25</f>
        <v>156</v>
      </c>
      <c r="AC3" s="8">
        <f>'Base de données pop.'!C26</f>
        <v>510</v>
      </c>
      <c r="AD3" s="8">
        <f>'Base de données pop.'!C27</f>
        <v>705</v>
      </c>
      <c r="AE3" s="8">
        <f>'Base de données pop.'!C28</f>
        <v>551</v>
      </c>
      <c r="AF3" s="8">
        <f>'Base de données pop.'!C29</f>
        <v>511</v>
      </c>
      <c r="AG3" s="8">
        <f>'Base de données pop.'!C30</f>
        <v>1902</v>
      </c>
      <c r="AH3" s="8">
        <f>'Base de données pop.'!C31</f>
        <v>2575</v>
      </c>
      <c r="AI3" s="8">
        <f>'Base de données pop.'!C32</f>
        <v>228</v>
      </c>
      <c r="AJ3" s="8">
        <f>'Base de données pop.'!C33</f>
        <v>118</v>
      </c>
      <c r="AK3" s="8">
        <f>'Base de données pop.'!C34</f>
        <v>1882</v>
      </c>
      <c r="AL3" s="8">
        <f>'Base de données pop.'!C35</f>
        <v>1114</v>
      </c>
      <c r="AM3" s="8">
        <f>'Base de données pop.'!C36</f>
        <v>1217</v>
      </c>
      <c r="AN3" s="8">
        <f>'Base de données pop.'!C37</f>
        <v>117</v>
      </c>
      <c r="AO3" s="8">
        <f>'Base de données pop.'!C38</f>
        <v>1205</v>
      </c>
      <c r="AP3" s="8">
        <f>'Base de données pop.'!C39</f>
        <v>625</v>
      </c>
      <c r="AQ3" s="8">
        <f>'Base de données pop.'!C40</f>
        <v>631</v>
      </c>
      <c r="AR3" s="8">
        <f>'Base de données pop.'!C41</f>
        <v>1275</v>
      </c>
      <c r="AS3" s="8">
        <f>'Base de données pop.'!C42</f>
        <v>718</v>
      </c>
      <c r="AT3" s="8">
        <f>'Base de données pop.'!C43</f>
        <v>1018</v>
      </c>
      <c r="AU3" s="8">
        <f>'Base de données pop.'!C44</f>
        <v>293</v>
      </c>
      <c r="AV3" s="8">
        <f>'Base de données pop.'!C45</f>
        <v>2435</v>
      </c>
      <c r="AW3" s="8">
        <f>'Base de données pop.'!C46</f>
        <v>786</v>
      </c>
      <c r="AX3" s="8">
        <f>'Base de données pop.'!C47</f>
        <v>184</v>
      </c>
      <c r="AY3" s="8">
        <f>'Base de données pop.'!C48</f>
        <v>333</v>
      </c>
      <c r="AZ3" s="8">
        <f>'Base de données pop.'!C49</f>
        <v>1674</v>
      </c>
      <c r="BA3" s="8">
        <f>'Base de données pop.'!C50</f>
        <v>391</v>
      </c>
      <c r="BB3" s="8">
        <f>'Base de données pop.'!C51</f>
        <v>1052</v>
      </c>
      <c r="BC3" s="8">
        <f>'Base de données pop.'!C52</f>
        <v>186</v>
      </c>
      <c r="BD3" s="8">
        <f>'Base de données pop.'!C53</f>
        <v>6441</v>
      </c>
      <c r="BE3" s="8">
        <f>'Base de données pop.'!C54</f>
        <v>546</v>
      </c>
      <c r="BF3" s="8">
        <f>SUM(E3:BE3)</f>
        <v>73865</v>
      </c>
      <c r="BG3" s="8">
        <f>SUM(E3:W3)</f>
        <v>39309</v>
      </c>
      <c r="BH3" s="8">
        <f>SUM(X3:AJ3)</f>
        <v>10433</v>
      </c>
      <c r="BI3" s="8">
        <f>SUM(AK3:BE3)</f>
        <v>24123</v>
      </c>
    </row>
    <row r="4" spans="1:61" x14ac:dyDescent="0.25">
      <c r="E4" s="81" t="s">
        <v>56</v>
      </c>
      <c r="F4" s="81" t="s">
        <v>18</v>
      </c>
      <c r="G4" s="81" t="s">
        <v>57</v>
      </c>
      <c r="H4" s="81" t="s">
        <v>53</v>
      </c>
      <c r="I4" s="81" t="s">
        <v>33</v>
      </c>
      <c r="J4" s="81" t="s">
        <v>10</v>
      </c>
      <c r="K4" s="81" t="s">
        <v>15</v>
      </c>
      <c r="L4" s="81" t="s">
        <v>28</v>
      </c>
      <c r="M4" s="81" t="s">
        <v>42</v>
      </c>
      <c r="N4" s="81" t="s">
        <v>23</v>
      </c>
      <c r="O4" s="81" t="s">
        <v>22</v>
      </c>
      <c r="P4" s="81" t="s">
        <v>13</v>
      </c>
      <c r="Q4" s="81" t="s">
        <v>17</v>
      </c>
      <c r="R4" s="81" t="s">
        <v>43</v>
      </c>
      <c r="S4" s="81" t="s">
        <v>40</v>
      </c>
      <c r="T4" s="81" t="s">
        <v>31</v>
      </c>
      <c r="U4" s="81" t="s">
        <v>12</v>
      </c>
      <c r="V4" s="81" t="s">
        <v>59</v>
      </c>
      <c r="W4" s="81" t="s">
        <v>27</v>
      </c>
      <c r="X4" s="81" t="s">
        <v>30</v>
      </c>
      <c r="Y4" s="81" t="s">
        <v>20</v>
      </c>
      <c r="Z4" s="81" t="s">
        <v>45</v>
      </c>
      <c r="AA4" s="81" t="s">
        <v>71</v>
      </c>
      <c r="AB4" s="81" t="s">
        <v>39</v>
      </c>
      <c r="AC4" s="81" t="s">
        <v>19</v>
      </c>
      <c r="AD4" s="81" t="s">
        <v>41</v>
      </c>
      <c r="AE4" s="81" t="s">
        <v>36</v>
      </c>
      <c r="AF4" s="81" t="s">
        <v>7</v>
      </c>
      <c r="AG4" s="81" t="s">
        <v>55</v>
      </c>
      <c r="AH4" s="81" t="s">
        <v>21</v>
      </c>
      <c r="AI4" s="81" t="s">
        <v>6</v>
      </c>
      <c r="AJ4" s="81" t="s">
        <v>34</v>
      </c>
      <c r="AK4" s="81" t="s">
        <v>52</v>
      </c>
      <c r="AL4" s="81" t="s">
        <v>14</v>
      </c>
      <c r="AM4" s="81" t="s">
        <v>32</v>
      </c>
      <c r="AN4" s="81" t="s">
        <v>29</v>
      </c>
      <c r="AO4" s="81" t="s">
        <v>26</v>
      </c>
      <c r="AP4" s="81" t="s">
        <v>48</v>
      </c>
      <c r="AQ4" s="81" t="s">
        <v>44</v>
      </c>
      <c r="AR4" s="81" t="s">
        <v>37</v>
      </c>
      <c r="AS4" s="81" t="s">
        <v>51</v>
      </c>
      <c r="AT4" s="81" t="s">
        <v>8</v>
      </c>
      <c r="AU4" s="81" t="s">
        <v>24</v>
      </c>
      <c r="AV4" s="81" t="s">
        <v>9</v>
      </c>
      <c r="AW4" s="81" t="s">
        <v>62</v>
      </c>
      <c r="AX4" s="81" t="s">
        <v>46</v>
      </c>
      <c r="AY4" s="81" t="s">
        <v>35</v>
      </c>
      <c r="AZ4" s="81" t="s">
        <v>49</v>
      </c>
      <c r="BA4" s="81" t="s">
        <v>47</v>
      </c>
      <c r="BB4" s="81" t="s">
        <v>58</v>
      </c>
      <c r="BC4" s="81" t="s">
        <v>50</v>
      </c>
      <c r="BD4" s="81" t="s">
        <v>16</v>
      </c>
      <c r="BE4" s="81" t="s">
        <v>25</v>
      </c>
      <c r="BF4" s="81" t="s">
        <v>65</v>
      </c>
      <c r="BG4" s="81" t="s">
        <v>28</v>
      </c>
      <c r="BH4" s="81" t="s">
        <v>64</v>
      </c>
      <c r="BI4" s="81" t="s">
        <v>16</v>
      </c>
    </row>
    <row r="5" spans="1:61" ht="21" x14ac:dyDescent="0.4">
      <c r="A5" s="10">
        <v>1</v>
      </c>
      <c r="B5" s="10"/>
      <c r="C5" s="10"/>
      <c r="D5" s="10" t="s">
        <v>238</v>
      </c>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row>
    <row r="6" spans="1:61" x14ac:dyDescent="0.25">
      <c r="C6" s="7">
        <v>10</v>
      </c>
      <c r="D6" s="7" t="s">
        <v>239</v>
      </c>
      <c r="E6" s="12">
        <v>6037644.3899999997</v>
      </c>
      <c r="F6" s="12">
        <v>1108066.8999999999</v>
      </c>
      <c r="G6" s="12">
        <v>3353239.51</v>
      </c>
      <c r="H6" s="12">
        <v>4584095.1500000004</v>
      </c>
      <c r="I6" s="12">
        <v>16024215</v>
      </c>
      <c r="J6" s="12">
        <v>8324678.54</v>
      </c>
      <c r="K6" s="12">
        <v>11749552.24</v>
      </c>
      <c r="L6" s="12">
        <v>68553767</v>
      </c>
      <c r="M6" s="12">
        <v>3589866.27</v>
      </c>
      <c r="N6" s="12">
        <v>301716.32</v>
      </c>
      <c r="O6" s="12">
        <v>18227970.309999999</v>
      </c>
      <c r="P6" s="12">
        <v>1955442.92</v>
      </c>
      <c r="Q6" s="12">
        <v>534068.06000000006</v>
      </c>
      <c r="R6" s="12">
        <v>1563563.54</v>
      </c>
      <c r="S6" s="12">
        <v>2684765.98</v>
      </c>
      <c r="T6" s="12">
        <v>6195670.4299999997</v>
      </c>
      <c r="U6" s="12">
        <v>928269.8</v>
      </c>
      <c r="V6" s="12">
        <v>1935465.45</v>
      </c>
      <c r="W6" s="12">
        <v>5127537.58</v>
      </c>
      <c r="X6" s="12">
        <v>1652417.67</v>
      </c>
      <c r="Y6" s="12">
        <v>4319708.22</v>
      </c>
      <c r="Z6" s="12">
        <v>25335688.600000001</v>
      </c>
      <c r="AA6" s="12">
        <v>1044849.9</v>
      </c>
      <c r="AB6" s="12">
        <v>1666797.39</v>
      </c>
      <c r="AC6" s="12">
        <v>3382294.05</v>
      </c>
      <c r="AD6" s="12">
        <v>2392641.9500000002</v>
      </c>
      <c r="AE6" s="12">
        <v>2271201.0699999998</v>
      </c>
      <c r="AF6" s="12">
        <v>4599526.68</v>
      </c>
      <c r="AG6" s="12">
        <v>8510596.3800000008</v>
      </c>
      <c r="AH6" s="12">
        <v>10380606.49</v>
      </c>
      <c r="AI6" s="12">
        <v>1931580.05</v>
      </c>
      <c r="AJ6" s="12">
        <v>2134375.87</v>
      </c>
      <c r="AK6" s="12">
        <v>6838537.3399999999</v>
      </c>
      <c r="AL6" s="12">
        <v>5396816</v>
      </c>
      <c r="AM6" s="12">
        <v>5695048.0199999996</v>
      </c>
      <c r="AN6" s="12">
        <v>551464.71</v>
      </c>
      <c r="AO6" s="12">
        <v>15122459.289999999</v>
      </c>
      <c r="AP6" s="12">
        <v>3338842.84</v>
      </c>
      <c r="AQ6" s="12">
        <v>2476209</v>
      </c>
      <c r="AR6" s="12">
        <v>10275159.08</v>
      </c>
      <c r="AS6" s="12">
        <v>2610512.23</v>
      </c>
      <c r="AT6" s="12">
        <v>3846880.26</v>
      </c>
      <c r="AU6" s="12">
        <v>2658547.9700000002</v>
      </c>
      <c r="AV6" s="12">
        <v>5474469.3700000001</v>
      </c>
      <c r="AW6" s="12">
        <v>3491542.28</v>
      </c>
      <c r="AX6" s="12">
        <v>664260</v>
      </c>
      <c r="AY6" s="12">
        <v>2270337.29</v>
      </c>
      <c r="AZ6" s="12">
        <v>4657846.28</v>
      </c>
      <c r="BA6" s="12">
        <v>3072489.28</v>
      </c>
      <c r="BB6" s="12">
        <v>5428306</v>
      </c>
      <c r="BC6" s="12">
        <v>818483.84</v>
      </c>
      <c r="BD6" s="12">
        <v>26795687.489999998</v>
      </c>
      <c r="BE6" s="12">
        <v>2413654.2999999998</v>
      </c>
      <c r="BF6" s="12">
        <f>SUM(E6:BE6)</f>
        <v>346299432.57999992</v>
      </c>
      <c r="BG6" s="12">
        <f>SUM(E6:W6)</f>
        <v>162779595.38999999</v>
      </c>
      <c r="BH6" s="12">
        <f>SUM(X6:AJ6)</f>
        <v>69622284.320000008</v>
      </c>
      <c r="BI6" s="12">
        <f>SUM(AK6:BE6)</f>
        <v>113897552.86999999</v>
      </c>
    </row>
    <row r="7" spans="1:61" x14ac:dyDescent="0.25">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row>
    <row r="8" spans="1:61" ht="21" x14ac:dyDescent="0.4">
      <c r="A8" s="13">
        <v>2</v>
      </c>
      <c r="B8" s="13"/>
      <c r="C8" s="13"/>
      <c r="D8" s="13" t="s">
        <v>250</v>
      </c>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row>
    <row r="9" spans="1:61" x14ac:dyDescent="0.25">
      <c r="B9" s="6"/>
      <c r="C9" s="7">
        <v>20</v>
      </c>
      <c r="D9" s="7" t="s">
        <v>251</v>
      </c>
      <c r="E9" s="12">
        <v>10387762</v>
      </c>
      <c r="F9" s="12">
        <v>2458341.4500000002</v>
      </c>
      <c r="G9" s="12">
        <v>5663438.9000000004</v>
      </c>
      <c r="H9" s="12">
        <v>4613675.95</v>
      </c>
      <c r="I9" s="12">
        <v>26620617</v>
      </c>
      <c r="J9" s="12">
        <v>24892414.510000002</v>
      </c>
      <c r="K9" s="12">
        <v>11320234.83</v>
      </c>
      <c r="L9" s="12">
        <v>172023431.55000001</v>
      </c>
      <c r="M9" s="12">
        <v>7707490.3399999999</v>
      </c>
      <c r="N9" s="12">
        <v>1081046.8899999999</v>
      </c>
      <c r="O9" s="12">
        <v>47318439.530000001</v>
      </c>
      <c r="P9" s="12">
        <v>3246426.65</v>
      </c>
      <c r="Q9" s="12">
        <v>516713.91</v>
      </c>
      <c r="R9" s="12">
        <v>3206301.96</v>
      </c>
      <c r="S9" s="12">
        <v>4198890.09</v>
      </c>
      <c r="T9" s="12">
        <v>5743955.0700000003</v>
      </c>
      <c r="U9" s="12">
        <v>1376416.56</v>
      </c>
      <c r="V9" s="12">
        <v>3850042.22</v>
      </c>
      <c r="W9" s="12">
        <v>16558833.02</v>
      </c>
      <c r="X9" s="12">
        <v>557289.15</v>
      </c>
      <c r="Y9" s="12">
        <v>10023871.58</v>
      </c>
      <c r="Z9" s="12">
        <v>11609126.439999999</v>
      </c>
      <c r="AA9" s="12">
        <v>1134572.45</v>
      </c>
      <c r="AB9" s="12">
        <v>1455772.58</v>
      </c>
      <c r="AC9" s="12">
        <v>4809335.93</v>
      </c>
      <c r="AD9" s="12">
        <v>8125283.04</v>
      </c>
      <c r="AE9" s="12">
        <v>4282275.18</v>
      </c>
      <c r="AF9" s="12">
        <v>2332429.3199999998</v>
      </c>
      <c r="AG9" s="12">
        <v>6112885.5499999998</v>
      </c>
      <c r="AH9" s="12">
        <v>17455328.25</v>
      </c>
      <c r="AI9" s="12">
        <v>1696807</v>
      </c>
      <c r="AJ9" s="12">
        <v>955647.76</v>
      </c>
      <c r="AK9" s="12">
        <v>18480685.75</v>
      </c>
      <c r="AL9" s="12">
        <v>9082156.0500000007</v>
      </c>
      <c r="AM9" s="12">
        <v>12207406.35</v>
      </c>
      <c r="AN9" s="12">
        <v>1433220.07</v>
      </c>
      <c r="AO9" s="12">
        <v>9780990.1600000001</v>
      </c>
      <c r="AP9" s="12">
        <v>5325818.5199999996</v>
      </c>
      <c r="AQ9" s="12">
        <v>4789847</v>
      </c>
      <c r="AR9" s="12">
        <v>10750093.83</v>
      </c>
      <c r="AS9" s="12">
        <v>5697376.5700000003</v>
      </c>
      <c r="AT9" s="12">
        <v>9689539</v>
      </c>
      <c r="AU9" s="12">
        <v>1923504.9</v>
      </c>
      <c r="AV9" s="12">
        <v>14166790.52</v>
      </c>
      <c r="AW9" s="12">
        <v>6251229.9900000002</v>
      </c>
      <c r="AX9" s="12">
        <v>861801</v>
      </c>
      <c r="AY9" s="12">
        <v>2114057.42</v>
      </c>
      <c r="AZ9" s="12">
        <v>19788217.460000001</v>
      </c>
      <c r="BA9" s="12">
        <v>3124082.63</v>
      </c>
      <c r="BB9" s="12">
        <v>11179721</v>
      </c>
      <c r="BC9" s="12">
        <v>476804.53</v>
      </c>
      <c r="BD9" s="12">
        <v>71918102.739999995</v>
      </c>
      <c r="BE9" s="12">
        <v>4225168.32</v>
      </c>
      <c r="BF9" s="12">
        <f t="shared" ref="BF9:BF15" si="0">SUM(E9:BE9)</f>
        <v>646601710.46999991</v>
      </c>
      <c r="BG9" s="12">
        <f t="shared" ref="BG9:BG15" si="1">SUM(E9:W9)</f>
        <v>352784472.42999995</v>
      </c>
      <c r="BH9" s="12">
        <f t="shared" ref="BH9:BH15" si="2">SUM(X9:AJ9)</f>
        <v>70550624.230000004</v>
      </c>
      <c r="BI9" s="12">
        <f t="shared" ref="BI9:BI15" si="3">SUM(AK9:BE9)</f>
        <v>223266613.80999994</v>
      </c>
    </row>
    <row r="10" spans="1:61" x14ac:dyDescent="0.25">
      <c r="C10" s="7">
        <v>200</v>
      </c>
      <c r="D10" s="7" t="s">
        <v>252</v>
      </c>
      <c r="E10" s="12">
        <v>87051.65</v>
      </c>
      <c r="F10" s="12">
        <v>127449.95</v>
      </c>
      <c r="G10" s="12">
        <v>35980.85</v>
      </c>
      <c r="H10" s="12">
        <v>303392.63</v>
      </c>
      <c r="I10" s="12">
        <v>1690155</v>
      </c>
      <c r="J10" s="12">
        <v>1780885.62</v>
      </c>
      <c r="K10" s="12">
        <v>289947.59000000003</v>
      </c>
      <c r="L10" s="12">
        <v>10184153.890000001</v>
      </c>
      <c r="M10" s="12">
        <v>582457.34</v>
      </c>
      <c r="N10" s="12">
        <v>210167.43</v>
      </c>
      <c r="O10" s="12">
        <v>2440635.39</v>
      </c>
      <c r="P10" s="12">
        <v>123486.63</v>
      </c>
      <c r="Q10" s="12">
        <v>9398.2999999999993</v>
      </c>
      <c r="R10" s="12">
        <v>297493.89</v>
      </c>
      <c r="S10" s="12">
        <v>104966.15</v>
      </c>
      <c r="T10" s="12">
        <v>509439.42</v>
      </c>
      <c r="U10" s="12">
        <v>294338.49</v>
      </c>
      <c r="V10" s="12">
        <v>136932.75</v>
      </c>
      <c r="W10" s="12">
        <v>1599706.82</v>
      </c>
      <c r="X10" s="12">
        <v>0</v>
      </c>
      <c r="Y10" s="12">
        <v>348103.17</v>
      </c>
      <c r="Z10" s="12">
        <v>4277683.17</v>
      </c>
      <c r="AA10" s="12">
        <v>200525.4</v>
      </c>
      <c r="AB10" s="12">
        <v>129927.81</v>
      </c>
      <c r="AC10" s="12">
        <v>347859.56</v>
      </c>
      <c r="AD10" s="12">
        <v>511995.85</v>
      </c>
      <c r="AE10" s="12">
        <v>197555.05</v>
      </c>
      <c r="AF10" s="12">
        <v>129222.32</v>
      </c>
      <c r="AG10" s="12">
        <v>1155037.94</v>
      </c>
      <c r="AH10" s="12">
        <v>555580.65</v>
      </c>
      <c r="AI10" s="12">
        <v>616046</v>
      </c>
      <c r="AJ10" s="12">
        <v>39753.160000000003</v>
      </c>
      <c r="AK10" s="12">
        <v>553527.1</v>
      </c>
      <c r="AL10" s="12">
        <v>130197.35</v>
      </c>
      <c r="AM10" s="12">
        <v>463530.21</v>
      </c>
      <c r="AN10" s="12">
        <v>30031.52</v>
      </c>
      <c r="AO10" s="12">
        <v>905669.76</v>
      </c>
      <c r="AP10" s="12">
        <v>504602.57</v>
      </c>
      <c r="AQ10" s="12">
        <v>178669</v>
      </c>
      <c r="AR10" s="12">
        <v>472209.85</v>
      </c>
      <c r="AS10" s="12">
        <v>578207.18000000005</v>
      </c>
      <c r="AT10" s="12">
        <v>218104.89</v>
      </c>
      <c r="AU10" s="12">
        <v>85812.35</v>
      </c>
      <c r="AV10" s="12">
        <v>337466.31</v>
      </c>
      <c r="AW10" s="12">
        <v>226976.44</v>
      </c>
      <c r="AX10" s="12">
        <v>50732</v>
      </c>
      <c r="AY10" s="12">
        <v>189382.59</v>
      </c>
      <c r="AZ10" s="12">
        <v>1145974.3</v>
      </c>
      <c r="BA10" s="12">
        <v>87775.61</v>
      </c>
      <c r="BB10" s="12">
        <v>423583</v>
      </c>
      <c r="BC10" s="12">
        <v>27000</v>
      </c>
      <c r="BD10" s="12">
        <v>3439064.83</v>
      </c>
      <c r="BE10" s="12">
        <v>240647.07</v>
      </c>
      <c r="BF10" s="12">
        <f t="shared" si="0"/>
        <v>39606493.800000004</v>
      </c>
      <c r="BG10" s="12">
        <f t="shared" si="1"/>
        <v>20808039.789999999</v>
      </c>
      <c r="BH10" s="12">
        <f t="shared" si="2"/>
        <v>8509290.0800000001</v>
      </c>
      <c r="BI10" s="12">
        <f t="shared" si="3"/>
        <v>10289163.93</v>
      </c>
    </row>
    <row r="11" spans="1:61" x14ac:dyDescent="0.25">
      <c r="C11" s="7">
        <v>201</v>
      </c>
      <c r="D11" s="7" t="s">
        <v>253</v>
      </c>
      <c r="E11" s="12">
        <v>6600941.8499999996</v>
      </c>
      <c r="F11" s="12">
        <v>308700</v>
      </c>
      <c r="G11" s="12">
        <v>128800</v>
      </c>
      <c r="H11" s="12">
        <v>240557.09</v>
      </c>
      <c r="I11" s="12">
        <v>6371926</v>
      </c>
      <c r="J11" s="12">
        <v>9141550</v>
      </c>
      <c r="K11" s="12">
        <v>987000</v>
      </c>
      <c r="L11" s="12">
        <v>27070490</v>
      </c>
      <c r="M11" s="12">
        <v>2959119.9</v>
      </c>
      <c r="N11" s="12">
        <v>0</v>
      </c>
      <c r="O11" s="12">
        <v>9445973.3000000007</v>
      </c>
      <c r="P11" s="12">
        <v>536952.03</v>
      </c>
      <c r="Q11" s="12">
        <v>109200.66</v>
      </c>
      <c r="R11" s="12">
        <v>0</v>
      </c>
      <c r="S11" s="12">
        <v>3044807.75</v>
      </c>
      <c r="T11" s="12">
        <v>211600</v>
      </c>
      <c r="U11" s="12">
        <v>311481.01</v>
      </c>
      <c r="V11" s="12">
        <v>235996.36</v>
      </c>
      <c r="W11" s="12">
        <v>2120542.9300000002</v>
      </c>
      <c r="X11" s="12">
        <v>140459</v>
      </c>
      <c r="Y11" s="12">
        <v>826856.21</v>
      </c>
      <c r="Z11" s="12">
        <v>0</v>
      </c>
      <c r="AA11" s="12">
        <v>0</v>
      </c>
      <c r="AB11" s="12">
        <v>412500</v>
      </c>
      <c r="AC11" s="12">
        <v>719898.79</v>
      </c>
      <c r="AD11" s="12">
        <v>0</v>
      </c>
      <c r="AE11" s="12">
        <v>0</v>
      </c>
      <c r="AF11" s="12">
        <v>600522.35</v>
      </c>
      <c r="AG11" s="12">
        <v>396943.43</v>
      </c>
      <c r="AH11" s="12">
        <v>3410820</v>
      </c>
      <c r="AI11" s="12">
        <v>488902</v>
      </c>
      <c r="AJ11" s="12">
        <v>148300</v>
      </c>
      <c r="AK11" s="12">
        <v>514000</v>
      </c>
      <c r="AL11" s="12">
        <v>515065.2</v>
      </c>
      <c r="AM11" s="12">
        <v>562615.99</v>
      </c>
      <c r="AN11" s="12">
        <v>0</v>
      </c>
      <c r="AO11" s="12">
        <v>0</v>
      </c>
      <c r="AP11" s="12">
        <v>103650</v>
      </c>
      <c r="AQ11" s="12">
        <v>3015857</v>
      </c>
      <c r="AR11" s="12">
        <v>1827000</v>
      </c>
      <c r="AS11" s="12">
        <v>249777.17</v>
      </c>
      <c r="AT11" s="12">
        <v>273245</v>
      </c>
      <c r="AU11" s="12">
        <v>509300</v>
      </c>
      <c r="AV11" s="12">
        <v>660202.06000000006</v>
      </c>
      <c r="AW11" s="12">
        <v>233507.56</v>
      </c>
      <c r="AX11" s="12">
        <v>42021</v>
      </c>
      <c r="AY11" s="12">
        <v>0</v>
      </c>
      <c r="AZ11" s="12">
        <v>1338920.1100000001</v>
      </c>
      <c r="BA11" s="12">
        <v>1121545.45</v>
      </c>
      <c r="BB11" s="12">
        <v>5673273</v>
      </c>
      <c r="BC11" s="12">
        <v>0</v>
      </c>
      <c r="BD11" s="12">
        <v>8400961.4499999993</v>
      </c>
      <c r="BE11" s="12">
        <v>320119.95</v>
      </c>
      <c r="BF11" s="12">
        <f t="shared" si="0"/>
        <v>102331901.60000002</v>
      </c>
      <c r="BG11" s="12">
        <f t="shared" si="1"/>
        <v>69825638.88000001</v>
      </c>
      <c r="BH11" s="12">
        <f t="shared" si="2"/>
        <v>7145201.7800000003</v>
      </c>
      <c r="BI11" s="12">
        <f t="shared" si="3"/>
        <v>25361060.939999998</v>
      </c>
    </row>
    <row r="12" spans="1:61" x14ac:dyDescent="0.25">
      <c r="C12" s="7">
        <v>2016</v>
      </c>
      <c r="D12" s="7" t="s">
        <v>268</v>
      </c>
      <c r="E12" s="12">
        <v>0</v>
      </c>
      <c r="F12" s="12">
        <v>0</v>
      </c>
      <c r="G12" s="12">
        <v>0</v>
      </c>
      <c r="H12" s="12">
        <v>0</v>
      </c>
      <c r="I12" s="12">
        <v>0</v>
      </c>
      <c r="J12" s="12">
        <v>0</v>
      </c>
      <c r="K12" s="12">
        <v>0</v>
      </c>
      <c r="L12" s="12">
        <v>0</v>
      </c>
      <c r="M12" s="12">
        <v>0</v>
      </c>
      <c r="N12" s="12">
        <v>0</v>
      </c>
      <c r="O12" s="12">
        <v>0</v>
      </c>
      <c r="P12" s="12">
        <v>0</v>
      </c>
      <c r="Q12" s="12">
        <v>0</v>
      </c>
      <c r="R12" s="12">
        <v>0</v>
      </c>
      <c r="S12" s="12">
        <v>0</v>
      </c>
      <c r="T12" s="12">
        <v>0</v>
      </c>
      <c r="U12" s="12">
        <v>0</v>
      </c>
      <c r="V12" s="12">
        <v>0</v>
      </c>
      <c r="W12" s="12">
        <v>0</v>
      </c>
      <c r="X12" s="12">
        <v>0</v>
      </c>
      <c r="Y12" s="12">
        <v>0</v>
      </c>
      <c r="Z12" s="12">
        <v>0</v>
      </c>
      <c r="AA12" s="12">
        <v>0</v>
      </c>
      <c r="AB12" s="12">
        <v>0</v>
      </c>
      <c r="AC12" s="12">
        <v>0</v>
      </c>
      <c r="AD12" s="12">
        <v>0</v>
      </c>
      <c r="AE12" s="12">
        <v>0</v>
      </c>
      <c r="AF12" s="12">
        <v>0</v>
      </c>
      <c r="AG12" s="12">
        <v>0</v>
      </c>
      <c r="AH12" s="12">
        <v>0</v>
      </c>
      <c r="AI12" s="12">
        <v>0</v>
      </c>
      <c r="AJ12" s="12">
        <v>0</v>
      </c>
      <c r="AK12" s="12">
        <v>0</v>
      </c>
      <c r="AL12" s="12">
        <v>0</v>
      </c>
      <c r="AM12" s="12">
        <v>0</v>
      </c>
      <c r="AN12" s="12">
        <v>0</v>
      </c>
      <c r="AO12" s="12">
        <v>0</v>
      </c>
      <c r="AP12" s="12">
        <v>0</v>
      </c>
      <c r="AQ12" s="12">
        <v>0</v>
      </c>
      <c r="AR12" s="12">
        <v>0</v>
      </c>
      <c r="AS12" s="12">
        <v>0</v>
      </c>
      <c r="AT12" s="12">
        <v>0</v>
      </c>
      <c r="AU12" s="12">
        <v>0</v>
      </c>
      <c r="AV12" s="12">
        <v>0</v>
      </c>
      <c r="AW12" s="12">
        <v>0</v>
      </c>
      <c r="AX12" s="12">
        <v>0</v>
      </c>
      <c r="AY12" s="12">
        <v>0</v>
      </c>
      <c r="AZ12" s="12">
        <v>0</v>
      </c>
      <c r="BA12" s="12">
        <v>0</v>
      </c>
      <c r="BB12" s="12">
        <v>0</v>
      </c>
      <c r="BC12" s="12">
        <v>0</v>
      </c>
      <c r="BD12" s="12">
        <v>0</v>
      </c>
      <c r="BE12" s="12">
        <v>0</v>
      </c>
      <c r="BF12" s="12">
        <f t="shared" si="0"/>
        <v>0</v>
      </c>
      <c r="BG12" s="12">
        <f t="shared" si="1"/>
        <v>0</v>
      </c>
      <c r="BH12" s="12">
        <f t="shared" si="2"/>
        <v>0</v>
      </c>
      <c r="BI12" s="12">
        <f t="shared" si="3"/>
        <v>0</v>
      </c>
    </row>
    <row r="13" spans="1:61" x14ac:dyDescent="0.25">
      <c r="C13" s="7">
        <v>206</v>
      </c>
      <c r="D13" s="7" t="s">
        <v>256</v>
      </c>
      <c r="E13" s="12">
        <v>3543700</v>
      </c>
      <c r="F13" s="12">
        <v>1960499.6</v>
      </c>
      <c r="G13" s="12">
        <v>5049000</v>
      </c>
      <c r="H13" s="12">
        <v>3627996.85</v>
      </c>
      <c r="I13" s="12">
        <v>17964793</v>
      </c>
      <c r="J13" s="12">
        <v>12267000</v>
      </c>
      <c r="K13" s="12">
        <v>9063964.5999999996</v>
      </c>
      <c r="L13" s="12">
        <v>129202493.75</v>
      </c>
      <c r="M13" s="12">
        <v>4142829.75</v>
      </c>
      <c r="N13" s="12">
        <v>752392.9</v>
      </c>
      <c r="O13" s="12">
        <v>33729190</v>
      </c>
      <c r="P13" s="12">
        <v>2150910.35</v>
      </c>
      <c r="Q13" s="12">
        <v>354400</v>
      </c>
      <c r="R13" s="12">
        <v>2880449.41</v>
      </c>
      <c r="S13" s="12">
        <v>993311</v>
      </c>
      <c r="T13" s="12">
        <v>4442600</v>
      </c>
      <c r="U13" s="12">
        <v>632750</v>
      </c>
      <c r="V13" s="12">
        <v>3131903.56</v>
      </c>
      <c r="W13" s="12">
        <v>12080140</v>
      </c>
      <c r="X13" s="12">
        <v>343587.2</v>
      </c>
      <c r="Y13" s="12">
        <v>8417000</v>
      </c>
      <c r="Z13" s="12">
        <v>633000</v>
      </c>
      <c r="AA13" s="12">
        <v>934047.05</v>
      </c>
      <c r="AB13" s="12">
        <v>762500</v>
      </c>
      <c r="AC13" s="12">
        <v>3541055</v>
      </c>
      <c r="AD13" s="12">
        <v>7098275</v>
      </c>
      <c r="AE13" s="12">
        <v>3495450</v>
      </c>
      <c r="AF13" s="12">
        <v>242334</v>
      </c>
      <c r="AG13" s="12">
        <v>3901400</v>
      </c>
      <c r="AH13" s="12">
        <v>12188315.15</v>
      </c>
      <c r="AI13" s="12">
        <v>504698</v>
      </c>
      <c r="AJ13" s="12">
        <v>675310</v>
      </c>
      <c r="AK13" s="12">
        <v>16542160</v>
      </c>
      <c r="AL13" s="12">
        <v>9082156.0500000007</v>
      </c>
      <c r="AM13" s="12">
        <v>10561347.300000001</v>
      </c>
      <c r="AN13" s="12">
        <v>1373420</v>
      </c>
      <c r="AO13" s="12">
        <v>8088800</v>
      </c>
      <c r="AP13" s="12">
        <v>4674100</v>
      </c>
      <c r="AQ13" s="12">
        <v>1519715</v>
      </c>
      <c r="AR13" s="12">
        <v>8129313.7599999998</v>
      </c>
      <c r="AS13" s="12">
        <v>4848271.1100000003</v>
      </c>
      <c r="AT13" s="12">
        <v>9079072.5</v>
      </c>
      <c r="AU13" s="12">
        <v>1297365</v>
      </c>
      <c r="AV13" s="12">
        <v>12474300</v>
      </c>
      <c r="AW13" s="12">
        <v>5566242</v>
      </c>
      <c r="AX13" s="12">
        <v>599060</v>
      </c>
      <c r="AY13" s="12">
        <v>1811940</v>
      </c>
      <c r="AZ13" s="12">
        <v>17035687</v>
      </c>
      <c r="BA13" s="12">
        <v>1814150</v>
      </c>
      <c r="BB13" s="12">
        <v>4838210</v>
      </c>
      <c r="BC13" s="12">
        <v>115500</v>
      </c>
      <c r="BD13" s="12">
        <v>57706532</v>
      </c>
      <c r="BE13" s="12">
        <v>3427058.15</v>
      </c>
      <c r="BF13" s="12">
        <f t="shared" si="0"/>
        <v>471291696.03999996</v>
      </c>
      <c r="BG13" s="12">
        <f t="shared" si="1"/>
        <v>247970324.77000001</v>
      </c>
      <c r="BH13" s="12">
        <f t="shared" si="2"/>
        <v>42736971.399999999</v>
      </c>
      <c r="BI13" s="12">
        <f t="shared" si="3"/>
        <v>180584399.87</v>
      </c>
    </row>
    <row r="14" spans="1:61" x14ac:dyDescent="0.25">
      <c r="C14" s="7">
        <v>29</v>
      </c>
      <c r="D14" s="7" t="s">
        <v>259</v>
      </c>
      <c r="E14" s="12">
        <v>4963709.7</v>
      </c>
      <c r="F14" s="12">
        <v>398894.72</v>
      </c>
      <c r="G14" s="12">
        <v>525024.93000000005</v>
      </c>
      <c r="H14" s="12">
        <v>2423257.35</v>
      </c>
      <c r="I14" s="12">
        <v>11622907</v>
      </c>
      <c r="J14" s="12">
        <v>7501254.04</v>
      </c>
      <c r="K14" s="12">
        <v>11370665.890000001</v>
      </c>
      <c r="L14" s="12">
        <v>27937841.609999999</v>
      </c>
      <c r="M14" s="12">
        <v>3921536.65</v>
      </c>
      <c r="N14" s="12">
        <v>543519.92000000004</v>
      </c>
      <c r="O14" s="12">
        <v>11716423.16</v>
      </c>
      <c r="P14" s="12">
        <v>919335.78</v>
      </c>
      <c r="Q14" s="12">
        <v>265289.2</v>
      </c>
      <c r="R14" s="12">
        <v>798681.29</v>
      </c>
      <c r="S14" s="12">
        <v>1160113.8899999999</v>
      </c>
      <c r="T14" s="12">
        <v>3219844.89</v>
      </c>
      <c r="U14" s="12">
        <v>698344.29</v>
      </c>
      <c r="V14" s="12">
        <v>698481.21</v>
      </c>
      <c r="W14" s="12">
        <v>7013739.5700000003</v>
      </c>
      <c r="X14" s="12">
        <v>3371166.67</v>
      </c>
      <c r="Y14" s="12">
        <v>4882770.57</v>
      </c>
      <c r="Z14" s="12">
        <v>21475756.16</v>
      </c>
      <c r="AA14" s="12">
        <v>682350.45</v>
      </c>
      <c r="AB14" s="12">
        <v>1641494.28</v>
      </c>
      <c r="AC14" s="12">
        <v>1673525.22</v>
      </c>
      <c r="AD14" s="12">
        <v>1669128.17</v>
      </c>
      <c r="AE14" s="12">
        <v>2624696.7400000002</v>
      </c>
      <c r="AF14" s="12">
        <v>7084644.0800000001</v>
      </c>
      <c r="AG14" s="12">
        <v>10457992.609999999</v>
      </c>
      <c r="AH14" s="12">
        <v>10230371.449999999</v>
      </c>
      <c r="AI14" s="12">
        <v>2214104</v>
      </c>
      <c r="AJ14" s="12">
        <v>2223003.4</v>
      </c>
      <c r="AK14" s="12">
        <v>5102330.9000000004</v>
      </c>
      <c r="AL14" s="12">
        <v>6472681.0099999998</v>
      </c>
      <c r="AM14" s="12">
        <v>3486051.89</v>
      </c>
      <c r="AN14" s="12">
        <v>1343757.78</v>
      </c>
      <c r="AO14" s="12">
        <v>22563679.82</v>
      </c>
      <c r="AP14" s="12">
        <v>2748948.92</v>
      </c>
      <c r="AQ14" s="12">
        <v>2407149</v>
      </c>
      <c r="AR14" s="12">
        <v>10448357.890000001</v>
      </c>
      <c r="AS14" s="12">
        <v>2228140.11</v>
      </c>
      <c r="AT14" s="12">
        <v>1672452.18</v>
      </c>
      <c r="AU14" s="12">
        <v>3497075.92</v>
      </c>
      <c r="AV14" s="12">
        <v>7739501.2999999998</v>
      </c>
      <c r="AW14" s="12">
        <v>3011868.42</v>
      </c>
      <c r="AX14" s="12">
        <v>646800</v>
      </c>
      <c r="AY14" s="12">
        <v>0</v>
      </c>
      <c r="AZ14" s="12">
        <v>3338169.32</v>
      </c>
      <c r="BA14" s="12">
        <v>3392514.04</v>
      </c>
      <c r="BB14" s="12">
        <v>5235549</v>
      </c>
      <c r="BC14" s="12">
        <v>1298842.21</v>
      </c>
      <c r="BD14" s="12">
        <v>11126197.199999999</v>
      </c>
      <c r="BE14" s="12">
        <v>1584742.58</v>
      </c>
      <c r="BF14" s="12">
        <f t="shared" si="0"/>
        <v>267274678.37999997</v>
      </c>
      <c r="BG14" s="12">
        <f t="shared" si="1"/>
        <v>97698865.090000004</v>
      </c>
      <c r="BH14" s="12">
        <f t="shared" si="2"/>
        <v>70231003.800000012</v>
      </c>
      <c r="BI14" s="12">
        <f t="shared" si="3"/>
        <v>99344809.489999995</v>
      </c>
    </row>
    <row r="15" spans="1:61" x14ac:dyDescent="0.25">
      <c r="C15" s="7">
        <v>299</v>
      </c>
      <c r="D15" s="7" t="s">
        <v>570</v>
      </c>
      <c r="E15" s="15">
        <v>1862930.62</v>
      </c>
      <c r="F15" s="15">
        <v>-230931.74</v>
      </c>
      <c r="G15" s="15">
        <v>96466.14</v>
      </c>
      <c r="H15" s="15">
        <v>1004408.14</v>
      </c>
      <c r="I15" s="15">
        <v>5292992.0599999996</v>
      </c>
      <c r="J15" s="15">
        <v>2175050.44</v>
      </c>
      <c r="K15" s="15">
        <v>6527375.7999999998</v>
      </c>
      <c r="L15" s="15">
        <v>-2621239.79</v>
      </c>
      <c r="M15" s="15">
        <v>789376.16</v>
      </c>
      <c r="N15" s="15">
        <v>543418.85</v>
      </c>
      <c r="O15" s="16">
        <v>712012.12</v>
      </c>
      <c r="P15" s="15">
        <v>783466.63</v>
      </c>
      <c r="Q15" s="15">
        <v>57451.08</v>
      </c>
      <c r="R15" s="15">
        <v>268973.23</v>
      </c>
      <c r="S15" s="15">
        <v>570.66</v>
      </c>
      <c r="T15" s="15">
        <v>1070328.93</v>
      </c>
      <c r="U15" s="15">
        <v>278550.84000000003</v>
      </c>
      <c r="V15" s="15">
        <v>146546.4</v>
      </c>
      <c r="W15" s="15">
        <v>1980968.51</v>
      </c>
      <c r="X15" s="15">
        <v>2453911.27</v>
      </c>
      <c r="Y15" s="15">
        <v>3775778.77</v>
      </c>
      <c r="Z15" s="15">
        <v>13062149.710000001</v>
      </c>
      <c r="AA15" s="15">
        <v>245709.28</v>
      </c>
      <c r="AB15" s="15">
        <v>1099631.74</v>
      </c>
      <c r="AC15" s="15">
        <v>827190.08</v>
      </c>
      <c r="AD15" s="15">
        <v>578576.30000000005</v>
      </c>
      <c r="AE15" s="15">
        <v>1031468.49</v>
      </c>
      <c r="AF15" s="15">
        <v>4469707.03</v>
      </c>
      <c r="AG15" s="15">
        <v>6285987.8300000001</v>
      </c>
      <c r="AH15" s="15">
        <v>1991575.19</v>
      </c>
      <c r="AI15" s="15">
        <v>1141249</v>
      </c>
      <c r="AJ15" s="15">
        <v>1362795.58</v>
      </c>
      <c r="AK15" s="15">
        <v>1195205.46</v>
      </c>
      <c r="AL15" s="15">
        <v>3431534.53</v>
      </c>
      <c r="AM15" s="15">
        <v>2575283.17</v>
      </c>
      <c r="AN15" s="15">
        <v>1030609.68</v>
      </c>
      <c r="AO15" s="15">
        <v>9330146.8399999999</v>
      </c>
      <c r="AP15" s="15">
        <v>1787887.45</v>
      </c>
      <c r="AQ15" s="15">
        <v>1144362</v>
      </c>
      <c r="AR15" s="15">
        <v>7569764.6900000004</v>
      </c>
      <c r="AS15" s="15">
        <v>361872.32</v>
      </c>
      <c r="AT15" s="15">
        <v>383366.05</v>
      </c>
      <c r="AU15" s="15">
        <v>2663558.0699999998</v>
      </c>
      <c r="AV15" s="15">
        <v>5033846.8499999996</v>
      </c>
      <c r="AW15" s="15">
        <v>627153.66</v>
      </c>
      <c r="AX15" s="15">
        <v>197366</v>
      </c>
      <c r="AY15" s="15">
        <v>153088.26999999999</v>
      </c>
      <c r="AZ15" s="15">
        <v>1977618.32</v>
      </c>
      <c r="BA15" s="15">
        <v>1474630.5</v>
      </c>
      <c r="BB15" s="15">
        <v>2885275</v>
      </c>
      <c r="BC15" s="15">
        <v>787104.42</v>
      </c>
      <c r="BD15" s="15">
        <v>756742.26</v>
      </c>
      <c r="BE15" s="15">
        <v>739270.56</v>
      </c>
      <c r="BF15" s="12">
        <f t="shared" si="0"/>
        <v>105170131.44999997</v>
      </c>
      <c r="BG15" s="12">
        <f t="shared" si="1"/>
        <v>20738715.079999998</v>
      </c>
      <c r="BH15" s="12">
        <f t="shared" si="2"/>
        <v>38325730.269999996</v>
      </c>
      <c r="BI15" s="12">
        <f t="shared" si="3"/>
        <v>46105686.100000001</v>
      </c>
    </row>
    <row r="16" spans="1:61" x14ac:dyDescent="0.25">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row>
    <row r="17" spans="1:61" ht="21" x14ac:dyDescent="0.4">
      <c r="A17" s="17">
        <v>3</v>
      </c>
      <c r="B17" s="17"/>
      <c r="C17" s="17"/>
      <c r="D17" s="17" t="s">
        <v>60</v>
      </c>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row>
    <row r="18" spans="1:61" x14ac:dyDescent="0.25">
      <c r="B18" s="6"/>
      <c r="C18" s="7">
        <v>30</v>
      </c>
      <c r="D18" s="7" t="s">
        <v>275</v>
      </c>
      <c r="E18" s="12">
        <v>474056.55</v>
      </c>
      <c r="F18" s="12">
        <v>55628.95</v>
      </c>
      <c r="G18" s="12">
        <v>130298.9</v>
      </c>
      <c r="H18" s="12">
        <v>307735.59999999998</v>
      </c>
      <c r="I18" s="12">
        <v>2761930</v>
      </c>
      <c r="J18" s="12">
        <v>3005501.54</v>
      </c>
      <c r="K18" s="12">
        <v>1153633.3</v>
      </c>
      <c r="L18" s="12">
        <v>24870275.210000001</v>
      </c>
      <c r="M18" s="12">
        <v>1252476.42</v>
      </c>
      <c r="N18" s="12">
        <v>61533.25</v>
      </c>
      <c r="O18" s="12">
        <v>3779159.4</v>
      </c>
      <c r="P18" s="12">
        <v>191539.65</v>
      </c>
      <c r="Q18" s="12">
        <v>78863.78</v>
      </c>
      <c r="R18" s="12">
        <v>242074.45</v>
      </c>
      <c r="S18" s="12">
        <v>176816.75</v>
      </c>
      <c r="T18" s="12">
        <v>293823.65000000002</v>
      </c>
      <c r="U18" s="12">
        <v>115826.05</v>
      </c>
      <c r="V18" s="12">
        <v>323054.7</v>
      </c>
      <c r="W18" s="12">
        <v>2360794.85</v>
      </c>
      <c r="X18" s="12">
        <v>124965.4</v>
      </c>
      <c r="Y18" s="12">
        <v>1549985.3</v>
      </c>
      <c r="Z18" s="12">
        <v>1861815.14</v>
      </c>
      <c r="AA18" s="12">
        <v>83270.2</v>
      </c>
      <c r="AB18" s="12">
        <v>69118.75</v>
      </c>
      <c r="AC18" s="12">
        <v>397982.8</v>
      </c>
      <c r="AD18" s="12">
        <v>544459.31999999995</v>
      </c>
      <c r="AE18" s="12">
        <v>467033.55</v>
      </c>
      <c r="AF18" s="12">
        <v>393652.95</v>
      </c>
      <c r="AG18" s="12">
        <v>1109297.95</v>
      </c>
      <c r="AH18" s="12">
        <v>1867747.2</v>
      </c>
      <c r="AI18" s="12">
        <v>109215</v>
      </c>
      <c r="AJ18" s="12">
        <v>64369.8</v>
      </c>
      <c r="AK18" s="12">
        <v>768568.5</v>
      </c>
      <c r="AL18" s="12">
        <v>666116.69999999995</v>
      </c>
      <c r="AM18" s="12">
        <v>498553.9</v>
      </c>
      <c r="AN18" s="12">
        <v>72884.070000000007</v>
      </c>
      <c r="AO18" s="12">
        <v>1428655.11</v>
      </c>
      <c r="AP18" s="12">
        <v>852696.75</v>
      </c>
      <c r="AQ18" s="12">
        <v>233339</v>
      </c>
      <c r="AR18" s="12">
        <v>1252086.5900000001</v>
      </c>
      <c r="AS18" s="12">
        <v>424569.59999999998</v>
      </c>
      <c r="AT18" s="12">
        <v>522131.95</v>
      </c>
      <c r="AU18" s="12">
        <v>114398.2</v>
      </c>
      <c r="AV18" s="12">
        <v>995464.18</v>
      </c>
      <c r="AW18" s="12">
        <v>479998.18</v>
      </c>
      <c r="AX18" s="12">
        <v>78025.460000000006</v>
      </c>
      <c r="AY18" s="12">
        <v>153869.65</v>
      </c>
      <c r="AZ18" s="12">
        <v>864110.75</v>
      </c>
      <c r="BA18" s="12">
        <v>138835.81</v>
      </c>
      <c r="BB18" s="12">
        <v>1314191</v>
      </c>
      <c r="BC18" s="12">
        <v>79962.64</v>
      </c>
      <c r="BD18" s="12">
        <v>11212954.529999999</v>
      </c>
      <c r="BE18" s="12">
        <v>321115.7</v>
      </c>
      <c r="BF18" s="12">
        <f t="shared" ref="BF18:BF35" si="4">SUM(E18:BE18)</f>
        <v>72750464.63000001</v>
      </c>
      <c r="BG18" s="12">
        <f t="shared" ref="BG18:BG35" si="5">SUM(E18:W18)</f>
        <v>41635023</v>
      </c>
      <c r="BH18" s="12">
        <f t="shared" ref="BH18:BH35" si="6">SUM(X18:AJ18)</f>
        <v>8642913.3600000013</v>
      </c>
      <c r="BI18" s="12">
        <f t="shared" ref="BI18:BI35" si="7">SUM(AK18:BE18)</f>
        <v>22472528.27</v>
      </c>
    </row>
    <row r="19" spans="1:61" x14ac:dyDescent="0.25">
      <c r="C19" s="7">
        <v>31</v>
      </c>
      <c r="D19" s="7" t="s">
        <v>276</v>
      </c>
      <c r="E19" s="12">
        <v>583887.39</v>
      </c>
      <c r="F19" s="12">
        <v>229366.63</v>
      </c>
      <c r="G19" s="12">
        <v>283655.17</v>
      </c>
      <c r="H19" s="12">
        <v>418572.44</v>
      </c>
      <c r="I19" s="12">
        <v>3969854</v>
      </c>
      <c r="J19" s="12">
        <v>3095150.99</v>
      </c>
      <c r="K19" s="12">
        <v>1907924.19</v>
      </c>
      <c r="L19" s="12">
        <v>28949575.649999999</v>
      </c>
      <c r="M19" s="12">
        <v>2221486.86</v>
      </c>
      <c r="N19" s="12">
        <v>96509.63</v>
      </c>
      <c r="O19" s="12">
        <v>4114124.04</v>
      </c>
      <c r="P19" s="12">
        <v>449768.12</v>
      </c>
      <c r="Q19" s="12">
        <v>57746.6</v>
      </c>
      <c r="R19" s="12">
        <v>283596.81</v>
      </c>
      <c r="S19" s="12">
        <v>386778.97</v>
      </c>
      <c r="T19" s="12">
        <v>738373.73</v>
      </c>
      <c r="U19" s="12">
        <v>226651.27</v>
      </c>
      <c r="V19" s="12">
        <v>549811.06999999995</v>
      </c>
      <c r="W19" s="12">
        <v>1780577.45</v>
      </c>
      <c r="X19" s="12">
        <v>530833.68999999994</v>
      </c>
      <c r="Y19" s="12">
        <v>1253524.82</v>
      </c>
      <c r="Z19" s="12">
        <v>2645426.5699999998</v>
      </c>
      <c r="AA19" s="12">
        <v>123871.39</v>
      </c>
      <c r="AB19" s="12">
        <v>253073.87</v>
      </c>
      <c r="AC19" s="12">
        <v>726889.3</v>
      </c>
      <c r="AD19" s="12">
        <v>844612.26</v>
      </c>
      <c r="AE19" s="12">
        <v>961393.15</v>
      </c>
      <c r="AF19" s="12">
        <v>1008013.94</v>
      </c>
      <c r="AG19" s="12">
        <v>1924341.44</v>
      </c>
      <c r="AH19" s="12">
        <v>2789559.55</v>
      </c>
      <c r="AI19" s="12">
        <v>318646</v>
      </c>
      <c r="AJ19" s="12">
        <v>190080.83</v>
      </c>
      <c r="AK19" s="12">
        <v>1257492.74</v>
      </c>
      <c r="AL19" s="12">
        <v>1302141</v>
      </c>
      <c r="AM19" s="12">
        <v>1198158.21</v>
      </c>
      <c r="AN19" s="12">
        <v>199874.65</v>
      </c>
      <c r="AO19" s="12">
        <v>1922502.94</v>
      </c>
      <c r="AP19" s="12">
        <v>638195.15</v>
      </c>
      <c r="AQ19" s="12">
        <v>480073</v>
      </c>
      <c r="AR19" s="12">
        <v>1502327.81</v>
      </c>
      <c r="AS19" s="12">
        <v>582798.81000000006</v>
      </c>
      <c r="AT19" s="12">
        <v>810987.21</v>
      </c>
      <c r="AU19" s="12">
        <v>381608.52</v>
      </c>
      <c r="AV19" s="12">
        <v>1568985.1</v>
      </c>
      <c r="AW19" s="12">
        <v>585897.68000000005</v>
      </c>
      <c r="AX19" s="12">
        <v>172977.77</v>
      </c>
      <c r="AY19" s="12">
        <v>325987.86</v>
      </c>
      <c r="AZ19" s="12">
        <v>1223041.23</v>
      </c>
      <c r="BA19" s="12">
        <v>298548.14</v>
      </c>
      <c r="BB19" s="12">
        <v>1044762</v>
      </c>
      <c r="BC19" s="12">
        <v>133647.04000000001</v>
      </c>
      <c r="BD19" s="12">
        <v>6892798.3700000001</v>
      </c>
      <c r="BE19" s="12">
        <v>561599.73</v>
      </c>
      <c r="BF19" s="12">
        <f t="shared" si="4"/>
        <v>86998082.780000001</v>
      </c>
      <c r="BG19" s="12">
        <f t="shared" si="5"/>
        <v>50343411.010000005</v>
      </c>
      <c r="BH19" s="12">
        <f t="shared" si="6"/>
        <v>13570266.810000001</v>
      </c>
      <c r="BI19" s="12">
        <f t="shared" si="7"/>
        <v>23084404.959999997</v>
      </c>
    </row>
    <row r="20" spans="1:61" x14ac:dyDescent="0.25">
      <c r="C20" s="7">
        <v>3180</v>
      </c>
      <c r="D20" s="7" t="s">
        <v>95</v>
      </c>
      <c r="E20" s="12">
        <v>0</v>
      </c>
      <c r="F20" s="12">
        <v>2692.06</v>
      </c>
      <c r="G20" s="12">
        <v>0</v>
      </c>
      <c r="H20" s="12">
        <v>15620.9</v>
      </c>
      <c r="I20" s="12">
        <v>187709</v>
      </c>
      <c r="J20" s="12">
        <v>44000</v>
      </c>
      <c r="K20" s="12">
        <v>18581.53</v>
      </c>
      <c r="L20" s="12">
        <v>81600</v>
      </c>
      <c r="M20" s="12">
        <v>-62631.44</v>
      </c>
      <c r="N20" s="12">
        <v>220.12</v>
      </c>
      <c r="O20" s="12">
        <v>-5525.2</v>
      </c>
      <c r="P20" s="12">
        <v>0</v>
      </c>
      <c r="Q20" s="12">
        <v>0</v>
      </c>
      <c r="R20" s="12">
        <v>24954</v>
      </c>
      <c r="S20" s="12">
        <v>8047.83</v>
      </c>
      <c r="T20" s="12">
        <v>25714.14</v>
      </c>
      <c r="U20" s="12">
        <v>14019.23</v>
      </c>
      <c r="V20" s="12">
        <v>16039.05</v>
      </c>
      <c r="W20" s="12">
        <v>-39543.160000000003</v>
      </c>
      <c r="X20" s="12">
        <v>2557.1799999999998</v>
      </c>
      <c r="Y20" s="12">
        <v>47344.87</v>
      </c>
      <c r="Z20" s="12">
        <v>-6549.78</v>
      </c>
      <c r="AA20" s="12">
        <v>0</v>
      </c>
      <c r="AB20" s="12">
        <v>-1020.3</v>
      </c>
      <c r="AC20" s="12">
        <v>-15590</v>
      </c>
      <c r="AD20" s="12">
        <v>-11350</v>
      </c>
      <c r="AE20" s="12">
        <v>0</v>
      </c>
      <c r="AF20" s="12">
        <v>0</v>
      </c>
      <c r="AG20" s="12">
        <v>8840</v>
      </c>
      <c r="AH20" s="12">
        <v>6568.23</v>
      </c>
      <c r="AI20" s="12">
        <v>0</v>
      </c>
      <c r="AJ20" s="12">
        <v>1252.95</v>
      </c>
      <c r="AK20" s="12">
        <v>7811.84</v>
      </c>
      <c r="AL20" s="12">
        <v>64795</v>
      </c>
      <c r="AM20" s="12">
        <v>-9565.39</v>
      </c>
      <c r="AN20" s="12">
        <v>58191.57</v>
      </c>
      <c r="AO20" s="12">
        <v>16523.66</v>
      </c>
      <c r="AP20" s="12">
        <v>4555.8500000000004</v>
      </c>
      <c r="AQ20" s="12">
        <v>0</v>
      </c>
      <c r="AR20" s="12">
        <v>0</v>
      </c>
      <c r="AS20" s="12">
        <v>16890.650000000001</v>
      </c>
      <c r="AT20" s="12">
        <v>46206.47</v>
      </c>
      <c r="AU20" s="12">
        <v>0</v>
      </c>
      <c r="AV20" s="12">
        <v>44488.95</v>
      </c>
      <c r="AW20" s="12">
        <v>16586.45</v>
      </c>
      <c r="AX20" s="12">
        <v>-1848.31</v>
      </c>
      <c r="AY20" s="12">
        <v>42060.61</v>
      </c>
      <c r="AZ20" s="12">
        <v>94265.52</v>
      </c>
      <c r="BA20" s="12">
        <v>1841.6</v>
      </c>
      <c r="BB20" s="12">
        <v>14870</v>
      </c>
      <c r="BC20" s="12">
        <v>4056.4</v>
      </c>
      <c r="BD20" s="12">
        <v>0</v>
      </c>
      <c r="BE20" s="12">
        <v>4838.7700000000004</v>
      </c>
      <c r="BF20" s="12">
        <f t="shared" si="4"/>
        <v>790120.84999999974</v>
      </c>
      <c r="BG20" s="12">
        <f t="shared" si="5"/>
        <v>331498.05999999994</v>
      </c>
      <c r="BH20" s="12">
        <f t="shared" si="6"/>
        <v>32053.15</v>
      </c>
      <c r="BI20" s="12">
        <f t="shared" si="7"/>
        <v>426569.64</v>
      </c>
    </row>
    <row r="21" spans="1:61" x14ac:dyDescent="0.25">
      <c r="C21" s="7">
        <v>33</v>
      </c>
      <c r="D21" s="7" t="s">
        <v>97</v>
      </c>
      <c r="E21" s="12">
        <v>273439.17</v>
      </c>
      <c r="F21" s="12">
        <v>83034</v>
      </c>
      <c r="G21" s="12">
        <v>78515.149999999994</v>
      </c>
      <c r="H21" s="12">
        <v>93170.3</v>
      </c>
      <c r="I21" s="12">
        <v>858686</v>
      </c>
      <c r="J21" s="12">
        <v>1089085.6299999999</v>
      </c>
      <c r="K21" s="12">
        <v>632517.34</v>
      </c>
      <c r="L21" s="12">
        <v>5967644.75</v>
      </c>
      <c r="M21" s="12">
        <v>613168.35</v>
      </c>
      <c r="N21" s="12">
        <v>50799.23</v>
      </c>
      <c r="O21" s="12">
        <v>1383618.3</v>
      </c>
      <c r="P21" s="12">
        <v>122720.55</v>
      </c>
      <c r="Q21" s="12">
        <v>12625</v>
      </c>
      <c r="R21" s="12">
        <v>87650</v>
      </c>
      <c r="S21" s="12">
        <v>105668.5</v>
      </c>
      <c r="T21" s="12">
        <v>168872.25</v>
      </c>
      <c r="U21" s="12">
        <v>40149.85</v>
      </c>
      <c r="V21" s="12">
        <v>139791.85</v>
      </c>
      <c r="W21" s="12">
        <v>1101646.21</v>
      </c>
      <c r="X21" s="12">
        <v>59856.25</v>
      </c>
      <c r="Y21" s="12">
        <v>296371.95</v>
      </c>
      <c r="Z21" s="12">
        <v>498784</v>
      </c>
      <c r="AA21" s="12">
        <v>98769.65</v>
      </c>
      <c r="AB21" s="12">
        <v>163116.93</v>
      </c>
      <c r="AC21" s="12">
        <v>93759.9</v>
      </c>
      <c r="AD21" s="12">
        <v>282477.59999999998</v>
      </c>
      <c r="AE21" s="12">
        <v>124708.45</v>
      </c>
      <c r="AF21" s="12">
        <v>102124.94</v>
      </c>
      <c r="AG21" s="12">
        <v>610812.23</v>
      </c>
      <c r="AH21" s="12">
        <v>775580.9</v>
      </c>
      <c r="AI21" s="12">
        <v>62896</v>
      </c>
      <c r="AJ21" s="12">
        <v>158021.35999999999</v>
      </c>
      <c r="AK21" s="12">
        <v>423638.75</v>
      </c>
      <c r="AL21" s="12">
        <v>393262</v>
      </c>
      <c r="AM21" s="12">
        <v>270930</v>
      </c>
      <c r="AN21" s="12">
        <v>42915</v>
      </c>
      <c r="AO21" s="12">
        <v>609937.27</v>
      </c>
      <c r="AP21" s="12">
        <v>112200</v>
      </c>
      <c r="AQ21" s="12">
        <v>224974</v>
      </c>
      <c r="AR21" s="12">
        <v>972063.07</v>
      </c>
      <c r="AS21" s="12">
        <v>174026.95</v>
      </c>
      <c r="AT21" s="12">
        <v>264605.2</v>
      </c>
      <c r="AU21" s="12">
        <v>129587.55</v>
      </c>
      <c r="AV21" s="12">
        <v>842004.6</v>
      </c>
      <c r="AW21" s="12">
        <v>115334.39999999999</v>
      </c>
      <c r="AX21" s="12">
        <v>33410</v>
      </c>
      <c r="AY21" s="12">
        <v>175965</v>
      </c>
      <c r="AZ21" s="12">
        <v>581198.1</v>
      </c>
      <c r="BA21" s="12">
        <v>46350</v>
      </c>
      <c r="BB21" s="12">
        <v>391952</v>
      </c>
      <c r="BC21" s="12">
        <v>25245</v>
      </c>
      <c r="BD21" s="12">
        <v>2911318.17</v>
      </c>
      <c r="BE21" s="12">
        <v>92350</v>
      </c>
      <c r="BF21" s="12">
        <f t="shared" si="4"/>
        <v>25063349.649999999</v>
      </c>
      <c r="BG21" s="12">
        <f t="shared" si="5"/>
        <v>12902802.43</v>
      </c>
      <c r="BH21" s="12">
        <f t="shared" si="6"/>
        <v>3327280.1599999992</v>
      </c>
      <c r="BI21" s="12">
        <f t="shared" si="7"/>
        <v>8833267.0599999987</v>
      </c>
    </row>
    <row r="22" spans="1:61" x14ac:dyDescent="0.25">
      <c r="C22" s="7">
        <v>34</v>
      </c>
      <c r="D22" s="7" t="s">
        <v>100</v>
      </c>
      <c r="E22" s="12">
        <v>54405.36</v>
      </c>
      <c r="F22" s="12">
        <v>124634.59</v>
      </c>
      <c r="G22" s="12">
        <v>74666.789999999994</v>
      </c>
      <c r="H22" s="12">
        <v>80672.25</v>
      </c>
      <c r="I22" s="12">
        <v>457925</v>
      </c>
      <c r="J22" s="12">
        <v>209906.22</v>
      </c>
      <c r="K22" s="12">
        <v>204760.07</v>
      </c>
      <c r="L22" s="12">
        <v>2157423.0699999998</v>
      </c>
      <c r="M22" s="12">
        <v>51006.45</v>
      </c>
      <c r="N22" s="12">
        <v>7268.05</v>
      </c>
      <c r="O22" s="12">
        <v>371651.81</v>
      </c>
      <c r="P22" s="12">
        <v>47649.2</v>
      </c>
      <c r="Q22" s="12">
        <v>10466.73</v>
      </c>
      <c r="R22" s="12">
        <v>162004.76</v>
      </c>
      <c r="S22" s="12">
        <v>65863.97</v>
      </c>
      <c r="T22" s="12">
        <v>54609.120000000003</v>
      </c>
      <c r="U22" s="12">
        <v>15435.36</v>
      </c>
      <c r="V22" s="12">
        <v>46259.69</v>
      </c>
      <c r="W22" s="12">
        <v>185479.62</v>
      </c>
      <c r="X22" s="12">
        <v>12266.06</v>
      </c>
      <c r="Y22" s="12">
        <v>128326.63</v>
      </c>
      <c r="Z22" s="12">
        <v>16932.63</v>
      </c>
      <c r="AA22" s="12">
        <v>5514.82</v>
      </c>
      <c r="AB22" s="12">
        <v>14317.32</v>
      </c>
      <c r="AC22" s="12">
        <v>78531.81</v>
      </c>
      <c r="AD22" s="12">
        <v>67634.100000000006</v>
      </c>
      <c r="AE22" s="12">
        <v>35078.6</v>
      </c>
      <c r="AF22" s="12">
        <v>88799.25</v>
      </c>
      <c r="AG22" s="12">
        <v>93141.09</v>
      </c>
      <c r="AH22" s="12">
        <v>154152.78</v>
      </c>
      <c r="AI22" s="12">
        <v>0</v>
      </c>
      <c r="AJ22" s="12">
        <v>34807.03</v>
      </c>
      <c r="AK22" s="12">
        <v>176338.6</v>
      </c>
      <c r="AL22" s="12">
        <v>185132</v>
      </c>
      <c r="AM22" s="12">
        <v>151615.21</v>
      </c>
      <c r="AN22" s="12">
        <v>20422.02</v>
      </c>
      <c r="AO22" s="12">
        <v>210279.28</v>
      </c>
      <c r="AP22" s="12">
        <v>82884.320000000007</v>
      </c>
      <c r="AQ22" s="12">
        <v>60050</v>
      </c>
      <c r="AR22" s="12">
        <v>257738.71</v>
      </c>
      <c r="AS22" s="12">
        <v>76242.42</v>
      </c>
      <c r="AT22" s="12">
        <v>152631.87</v>
      </c>
      <c r="AU22" s="12">
        <v>22266.65</v>
      </c>
      <c r="AV22" s="12">
        <v>190311.65</v>
      </c>
      <c r="AW22" s="12">
        <v>75363.41</v>
      </c>
      <c r="AX22" s="12">
        <v>8184.15</v>
      </c>
      <c r="AY22" s="12">
        <v>14484.84</v>
      </c>
      <c r="AZ22" s="12">
        <v>293334.28999999998</v>
      </c>
      <c r="BA22" s="12">
        <v>23926.76</v>
      </c>
      <c r="BB22" s="12">
        <v>110268</v>
      </c>
      <c r="BC22" s="12">
        <v>629.9</v>
      </c>
      <c r="BD22" s="12">
        <v>979043.6</v>
      </c>
      <c r="BE22" s="12">
        <v>58293.67</v>
      </c>
      <c r="BF22" s="12">
        <f t="shared" si="4"/>
        <v>8261031.5800000001</v>
      </c>
      <c r="BG22" s="12">
        <f t="shared" si="5"/>
        <v>4382088.1100000003</v>
      </c>
      <c r="BH22" s="12">
        <f t="shared" si="6"/>
        <v>729502.12</v>
      </c>
      <c r="BI22" s="12">
        <f t="shared" si="7"/>
        <v>3149441.3499999996</v>
      </c>
    </row>
    <row r="23" spans="1:61" x14ac:dyDescent="0.25">
      <c r="C23" s="7">
        <v>340</v>
      </c>
      <c r="D23" s="7" t="s">
        <v>281</v>
      </c>
      <c r="E23" s="12">
        <v>54405.36</v>
      </c>
      <c r="F23" s="12">
        <v>28132.15</v>
      </c>
      <c r="G23" s="12">
        <v>54021.440000000002</v>
      </c>
      <c r="H23" s="12">
        <v>57098.85</v>
      </c>
      <c r="I23" s="12">
        <v>374174</v>
      </c>
      <c r="J23" s="12">
        <v>193845.61</v>
      </c>
      <c r="K23" s="12">
        <v>143790.16</v>
      </c>
      <c r="L23" s="12">
        <v>1809808.42</v>
      </c>
      <c r="M23" s="12">
        <v>42381.919999999998</v>
      </c>
      <c r="N23" s="12">
        <v>7268.05</v>
      </c>
      <c r="O23" s="12">
        <v>295834.36</v>
      </c>
      <c r="P23" s="12">
        <v>39196.449999999997</v>
      </c>
      <c r="Q23" s="12">
        <v>8151.88</v>
      </c>
      <c r="R23" s="12">
        <v>38763.06</v>
      </c>
      <c r="S23" s="12">
        <v>64754.02</v>
      </c>
      <c r="T23" s="12">
        <v>45109.47</v>
      </c>
      <c r="U23" s="12">
        <v>10053.27</v>
      </c>
      <c r="V23" s="12">
        <v>35619.339999999997</v>
      </c>
      <c r="W23" s="12">
        <v>166137.12</v>
      </c>
      <c r="X23" s="12">
        <v>8239.19</v>
      </c>
      <c r="Y23" s="12">
        <v>128326.63</v>
      </c>
      <c r="Z23" s="12">
        <v>10311.48</v>
      </c>
      <c r="AA23" s="12">
        <v>4795.67</v>
      </c>
      <c r="AB23" s="12">
        <v>3587.37</v>
      </c>
      <c r="AC23" s="12">
        <v>62106.16</v>
      </c>
      <c r="AD23" s="12">
        <v>57177.8</v>
      </c>
      <c r="AE23" s="12">
        <v>35078.6</v>
      </c>
      <c r="AF23" s="12">
        <v>15061.15</v>
      </c>
      <c r="AG23" s="12">
        <v>46459.57</v>
      </c>
      <c r="AH23" s="12">
        <v>132611.03</v>
      </c>
      <c r="AI23" s="12">
        <v>0</v>
      </c>
      <c r="AJ23" s="12">
        <v>4578.28</v>
      </c>
      <c r="AK23" s="12">
        <v>156374.1</v>
      </c>
      <c r="AL23" s="12">
        <v>119078</v>
      </c>
      <c r="AM23" s="12">
        <v>129201.11</v>
      </c>
      <c r="AN23" s="12">
        <v>19633.919999999998</v>
      </c>
      <c r="AO23" s="12">
        <v>60213.33</v>
      </c>
      <c r="AP23" s="12">
        <v>74155.97</v>
      </c>
      <c r="AQ23" s="12">
        <v>60050</v>
      </c>
      <c r="AR23" s="12">
        <v>78368.460000000006</v>
      </c>
      <c r="AS23" s="12">
        <v>0</v>
      </c>
      <c r="AT23" s="12">
        <v>105867.22</v>
      </c>
      <c r="AU23" s="12">
        <v>22266.65</v>
      </c>
      <c r="AV23" s="12">
        <v>190311.65</v>
      </c>
      <c r="AW23" s="12">
        <v>60249.21</v>
      </c>
      <c r="AX23" s="12">
        <v>7077.6</v>
      </c>
      <c r="AY23" s="12">
        <v>14484.84</v>
      </c>
      <c r="AZ23" s="12">
        <v>285893.94</v>
      </c>
      <c r="BA23" s="12">
        <v>18908.810000000001</v>
      </c>
      <c r="BB23" s="12">
        <v>77938</v>
      </c>
      <c r="BC23" s="12">
        <v>278.10000000000002</v>
      </c>
      <c r="BD23" s="12">
        <v>754417.41</v>
      </c>
      <c r="BE23" s="12">
        <v>36891.269999999997</v>
      </c>
      <c r="BF23" s="12">
        <f t="shared" si="4"/>
        <v>6248537.4499999983</v>
      </c>
      <c r="BG23" s="12">
        <f t="shared" si="5"/>
        <v>3468544.93</v>
      </c>
      <c r="BH23" s="12">
        <f t="shared" si="6"/>
        <v>508332.93000000005</v>
      </c>
      <c r="BI23" s="12">
        <f t="shared" si="7"/>
        <v>2271659.5900000003</v>
      </c>
    </row>
    <row r="24" spans="1:61" x14ac:dyDescent="0.25">
      <c r="C24" s="7">
        <v>344</v>
      </c>
      <c r="D24" s="7" t="s">
        <v>571</v>
      </c>
      <c r="E24" s="12">
        <v>0</v>
      </c>
      <c r="F24" s="12">
        <v>87320</v>
      </c>
      <c r="G24" s="12">
        <v>0</v>
      </c>
      <c r="H24" s="12">
        <v>0</v>
      </c>
      <c r="I24" s="12">
        <v>0</v>
      </c>
      <c r="J24" s="12">
        <v>0</v>
      </c>
      <c r="K24" s="12">
        <v>790.64</v>
      </c>
      <c r="L24" s="12">
        <v>0</v>
      </c>
      <c r="M24" s="12">
        <v>0</v>
      </c>
      <c r="N24" s="12">
        <v>0</v>
      </c>
      <c r="O24" s="12">
        <v>0</v>
      </c>
      <c r="P24" s="12">
        <v>0</v>
      </c>
      <c r="Q24" s="12">
        <v>0</v>
      </c>
      <c r="R24" s="12">
        <v>0</v>
      </c>
      <c r="S24" s="12">
        <v>0</v>
      </c>
      <c r="T24" s="12">
        <v>920.25</v>
      </c>
      <c r="U24" s="12">
        <v>0</v>
      </c>
      <c r="V24" s="12">
        <v>0</v>
      </c>
      <c r="W24" s="12">
        <v>0</v>
      </c>
      <c r="X24" s="12">
        <v>0</v>
      </c>
      <c r="Y24" s="12">
        <v>0</v>
      </c>
      <c r="Z24" s="12">
        <v>0</v>
      </c>
      <c r="AA24" s="12">
        <v>0</v>
      </c>
      <c r="AB24" s="12">
        <v>0</v>
      </c>
      <c r="AC24" s="12">
        <v>0</v>
      </c>
      <c r="AD24" s="12">
        <v>0</v>
      </c>
      <c r="AE24" s="12">
        <v>0</v>
      </c>
      <c r="AF24" s="12">
        <v>0</v>
      </c>
      <c r="AG24" s="12">
        <v>0</v>
      </c>
      <c r="AH24" s="12">
        <v>0</v>
      </c>
      <c r="AI24" s="12">
        <v>0</v>
      </c>
      <c r="AJ24" s="12">
        <v>3103</v>
      </c>
      <c r="AK24" s="12">
        <v>0</v>
      </c>
      <c r="AL24" s="12">
        <v>0</v>
      </c>
      <c r="AM24" s="12">
        <v>0</v>
      </c>
      <c r="AN24" s="12">
        <v>0</v>
      </c>
      <c r="AO24" s="12">
        <v>0</v>
      </c>
      <c r="AP24" s="12">
        <v>0</v>
      </c>
      <c r="AQ24" s="12">
        <v>0</v>
      </c>
      <c r="AR24" s="12">
        <v>0</v>
      </c>
      <c r="AS24" s="12">
        <v>0</v>
      </c>
      <c r="AT24" s="12">
        <v>0</v>
      </c>
      <c r="AU24" s="12">
        <v>0</v>
      </c>
      <c r="AV24" s="12">
        <v>0</v>
      </c>
      <c r="AW24" s="12">
        <v>0</v>
      </c>
      <c r="AX24" s="12">
        <v>0</v>
      </c>
      <c r="AY24" s="12">
        <v>0</v>
      </c>
      <c r="AZ24" s="12">
        <v>0</v>
      </c>
      <c r="BA24" s="12">
        <v>0</v>
      </c>
      <c r="BB24" s="12">
        <v>2418</v>
      </c>
      <c r="BC24" s="12">
        <v>0</v>
      </c>
      <c r="BD24" s="12">
        <v>84477</v>
      </c>
      <c r="BE24" s="12">
        <v>0</v>
      </c>
      <c r="BF24" s="12">
        <f t="shared" si="4"/>
        <v>179028.89</v>
      </c>
      <c r="BG24" s="12">
        <f t="shared" si="5"/>
        <v>89030.89</v>
      </c>
      <c r="BH24" s="12">
        <f t="shared" si="6"/>
        <v>3103</v>
      </c>
      <c r="BI24" s="12">
        <f t="shared" si="7"/>
        <v>86895</v>
      </c>
    </row>
    <row r="25" spans="1:61" x14ac:dyDescent="0.25">
      <c r="C25" s="7">
        <v>35</v>
      </c>
      <c r="D25" s="7" t="s">
        <v>226</v>
      </c>
      <c r="E25" s="12">
        <v>13699.95</v>
      </c>
      <c r="F25" s="12">
        <v>22425.32</v>
      </c>
      <c r="G25" s="12">
        <v>5326.55</v>
      </c>
      <c r="H25" s="12">
        <v>0</v>
      </c>
      <c r="I25" s="12">
        <v>12819.95</v>
      </c>
      <c r="J25" s="12">
        <v>8240.7000000000007</v>
      </c>
      <c r="K25" s="12">
        <v>29873.4</v>
      </c>
      <c r="L25" s="12">
        <v>0</v>
      </c>
      <c r="M25" s="12">
        <v>94598.63</v>
      </c>
      <c r="N25" s="12">
        <v>19000</v>
      </c>
      <c r="O25" s="12">
        <v>998890</v>
      </c>
      <c r="P25" s="12">
        <v>0</v>
      </c>
      <c r="Q25" s="12">
        <v>0</v>
      </c>
      <c r="R25" s="12">
        <v>0</v>
      </c>
      <c r="S25" s="12">
        <v>0</v>
      </c>
      <c r="T25" s="12">
        <v>0</v>
      </c>
      <c r="U25" s="12">
        <v>0</v>
      </c>
      <c r="V25" s="12">
        <v>0</v>
      </c>
      <c r="W25" s="12">
        <v>0</v>
      </c>
      <c r="X25" s="12">
        <v>28915.25</v>
      </c>
      <c r="Y25" s="12">
        <v>323.14999999999998</v>
      </c>
      <c r="Z25" s="12">
        <v>122878</v>
      </c>
      <c r="AA25" s="12">
        <v>12281.9</v>
      </c>
      <c r="AB25" s="12">
        <v>8938.7999999999993</v>
      </c>
      <c r="AC25" s="12">
        <v>12454</v>
      </c>
      <c r="AD25" s="12">
        <v>4699</v>
      </c>
      <c r="AE25" s="12">
        <v>16453.509999999998</v>
      </c>
      <c r="AF25" s="12">
        <v>0</v>
      </c>
      <c r="AG25" s="12">
        <v>32708.1</v>
      </c>
      <c r="AH25" s="12">
        <v>83053.600000000006</v>
      </c>
      <c r="AI25" s="12">
        <v>1586</v>
      </c>
      <c r="AJ25" s="12">
        <v>3000</v>
      </c>
      <c r="AK25" s="12">
        <v>2696.1</v>
      </c>
      <c r="AL25" s="12">
        <v>44906</v>
      </c>
      <c r="AM25" s="12">
        <v>8438.27</v>
      </c>
      <c r="AN25" s="12">
        <v>0</v>
      </c>
      <c r="AO25" s="12">
        <v>0</v>
      </c>
      <c r="AP25" s="12">
        <v>10.25</v>
      </c>
      <c r="AQ25" s="12">
        <v>1740</v>
      </c>
      <c r="AR25" s="12">
        <v>250436.1</v>
      </c>
      <c r="AS25" s="12">
        <v>114117.9</v>
      </c>
      <c r="AT25" s="12">
        <v>255280</v>
      </c>
      <c r="AU25" s="12">
        <v>1402.95</v>
      </c>
      <c r="AV25" s="12">
        <v>208371.59</v>
      </c>
      <c r="AW25" s="12">
        <v>16960</v>
      </c>
      <c r="AX25" s="12">
        <v>59.85</v>
      </c>
      <c r="AY25" s="12">
        <v>0</v>
      </c>
      <c r="AZ25" s="12">
        <v>1391.7</v>
      </c>
      <c r="BA25" s="12">
        <v>1144.44</v>
      </c>
      <c r="BB25" s="12">
        <v>71263</v>
      </c>
      <c r="BC25" s="12">
        <v>444.15</v>
      </c>
      <c r="BD25" s="12">
        <v>13630.41</v>
      </c>
      <c r="BE25" s="12">
        <v>10517.29</v>
      </c>
      <c r="BF25" s="12">
        <f t="shared" si="4"/>
        <v>2534975.8100000005</v>
      </c>
      <c r="BG25" s="12">
        <f t="shared" si="5"/>
        <v>1204874.5</v>
      </c>
      <c r="BH25" s="12">
        <f t="shared" si="6"/>
        <v>327291.31</v>
      </c>
      <c r="BI25" s="12">
        <f t="shared" si="7"/>
        <v>1002809.9999999999</v>
      </c>
    </row>
    <row r="26" spans="1:61" x14ac:dyDescent="0.25">
      <c r="C26" s="7">
        <v>36</v>
      </c>
      <c r="D26" s="7" t="s">
        <v>285</v>
      </c>
      <c r="E26" s="12">
        <v>2335972.77</v>
      </c>
      <c r="F26" s="12">
        <v>715593.75</v>
      </c>
      <c r="G26" s="12">
        <v>1029040.39</v>
      </c>
      <c r="H26" s="12">
        <v>1038611.89</v>
      </c>
      <c r="I26" s="12">
        <v>7564693</v>
      </c>
      <c r="J26" s="12">
        <v>6645093.4699999997</v>
      </c>
      <c r="K26" s="12">
        <v>6799431.96</v>
      </c>
      <c r="L26" s="12">
        <v>42498373.259999998</v>
      </c>
      <c r="M26" s="12">
        <v>3698764.96</v>
      </c>
      <c r="N26" s="12">
        <v>226310.37</v>
      </c>
      <c r="O26" s="12">
        <v>16520054.24</v>
      </c>
      <c r="P26" s="12">
        <v>1163642.27</v>
      </c>
      <c r="Q26" s="12">
        <v>238741.24</v>
      </c>
      <c r="R26" s="12">
        <v>826271.54</v>
      </c>
      <c r="S26" s="12">
        <v>730027.09</v>
      </c>
      <c r="T26" s="12">
        <v>1804506.91</v>
      </c>
      <c r="U26" s="12">
        <v>622173.63</v>
      </c>
      <c r="V26" s="12">
        <v>1224964.3600000001</v>
      </c>
      <c r="W26" s="12">
        <v>6272146.9100000001</v>
      </c>
      <c r="X26" s="12">
        <v>689609.38</v>
      </c>
      <c r="Y26" s="12">
        <v>2903047.11</v>
      </c>
      <c r="Z26" s="12">
        <v>6938807.3799999999</v>
      </c>
      <c r="AA26" s="12">
        <v>201028.64</v>
      </c>
      <c r="AB26" s="12">
        <v>365964.76</v>
      </c>
      <c r="AC26" s="12">
        <v>1307318.8600000001</v>
      </c>
      <c r="AD26" s="12">
        <v>1891180.97</v>
      </c>
      <c r="AE26" s="12">
        <v>1223639.25</v>
      </c>
      <c r="AF26" s="12">
        <v>1362614.12</v>
      </c>
      <c r="AG26" s="12">
        <v>5046760.97</v>
      </c>
      <c r="AH26" s="12">
        <v>5912975.6200000001</v>
      </c>
      <c r="AI26" s="12">
        <v>506846</v>
      </c>
      <c r="AJ26" s="12">
        <v>339764.56</v>
      </c>
      <c r="AK26" s="12">
        <v>5018555.8600000003</v>
      </c>
      <c r="AL26" s="12">
        <v>2724352</v>
      </c>
      <c r="AM26" s="12">
        <v>3063225.96</v>
      </c>
      <c r="AN26" s="12">
        <v>263832.40000000002</v>
      </c>
      <c r="AO26" s="12">
        <v>3922643.6</v>
      </c>
      <c r="AP26" s="12">
        <v>1932909.42</v>
      </c>
      <c r="AQ26" s="12">
        <v>1532253</v>
      </c>
      <c r="AR26" s="12">
        <v>3097346.57</v>
      </c>
      <c r="AS26" s="12">
        <v>1931105.75</v>
      </c>
      <c r="AT26" s="12">
        <v>2589642.35</v>
      </c>
      <c r="AU26" s="12">
        <v>1107211.42</v>
      </c>
      <c r="AV26" s="12">
        <v>6527264.6500000004</v>
      </c>
      <c r="AW26" s="12">
        <v>1760269.63</v>
      </c>
      <c r="AX26" s="12">
        <v>511957.8</v>
      </c>
      <c r="AY26" s="12">
        <v>728639.7</v>
      </c>
      <c r="AZ26" s="12">
        <v>3890372.64</v>
      </c>
      <c r="BA26" s="12">
        <v>974904.38</v>
      </c>
      <c r="BB26" s="12">
        <v>2631979</v>
      </c>
      <c r="BC26" s="12">
        <v>552226.14</v>
      </c>
      <c r="BD26" s="12">
        <v>19586888.559999999</v>
      </c>
      <c r="BE26" s="12">
        <v>1477066.1</v>
      </c>
      <c r="BF26" s="12">
        <f t="shared" si="4"/>
        <v>196468618.55999991</v>
      </c>
      <c r="BG26" s="12">
        <f t="shared" si="5"/>
        <v>101954414.00999998</v>
      </c>
      <c r="BH26" s="12">
        <f t="shared" si="6"/>
        <v>28689557.619999997</v>
      </c>
      <c r="BI26" s="12">
        <f t="shared" si="7"/>
        <v>65824646.930000015</v>
      </c>
    </row>
    <row r="27" spans="1:61" x14ac:dyDescent="0.25">
      <c r="C27" s="7">
        <v>36227</v>
      </c>
      <c r="D27" s="7" t="s">
        <v>270</v>
      </c>
      <c r="E27" s="12">
        <v>16618</v>
      </c>
      <c r="F27" s="12">
        <v>0</v>
      </c>
      <c r="G27" s="12">
        <v>0</v>
      </c>
      <c r="H27" s="12">
        <v>0</v>
      </c>
      <c r="I27" s="12">
        <v>0</v>
      </c>
      <c r="J27" s="12">
        <v>0</v>
      </c>
      <c r="K27" s="12">
        <v>212945</v>
      </c>
      <c r="L27" s="12">
        <v>407839</v>
      </c>
      <c r="M27" s="12">
        <v>0</v>
      </c>
      <c r="N27" s="12">
        <v>0</v>
      </c>
      <c r="O27" s="12">
        <v>0</v>
      </c>
      <c r="P27" s="12">
        <v>0</v>
      </c>
      <c r="Q27" s="12">
        <v>0</v>
      </c>
      <c r="R27" s="12">
        <v>0</v>
      </c>
      <c r="S27" s="12">
        <v>0</v>
      </c>
      <c r="T27" s="12">
        <v>27562</v>
      </c>
      <c r="U27" s="12">
        <v>0</v>
      </c>
      <c r="V27" s="12">
        <v>17492</v>
      </c>
      <c r="W27" s="12">
        <v>0</v>
      </c>
      <c r="X27" s="12">
        <v>0</v>
      </c>
      <c r="Y27" s="12">
        <v>0</v>
      </c>
      <c r="Z27" s="12">
        <v>0</v>
      </c>
      <c r="AA27" s="12">
        <v>0</v>
      </c>
      <c r="AB27" s="12">
        <v>0</v>
      </c>
      <c r="AC27" s="12">
        <v>0</v>
      </c>
      <c r="AD27" s="12">
        <v>0</v>
      </c>
      <c r="AE27" s="12">
        <v>0</v>
      </c>
      <c r="AF27" s="12">
        <v>117790</v>
      </c>
      <c r="AG27" s="12">
        <v>314160</v>
      </c>
      <c r="AH27" s="12">
        <v>0</v>
      </c>
      <c r="AI27" s="12">
        <v>0</v>
      </c>
      <c r="AJ27" s="12">
        <v>0</v>
      </c>
      <c r="AK27" s="12">
        <v>0</v>
      </c>
      <c r="AL27" s="12">
        <v>110521</v>
      </c>
      <c r="AM27" s="12">
        <v>0</v>
      </c>
      <c r="AN27" s="12">
        <v>0</v>
      </c>
      <c r="AO27" s="12">
        <v>1442298</v>
      </c>
      <c r="AP27" s="12">
        <v>0</v>
      </c>
      <c r="AQ27" s="12">
        <v>20616</v>
      </c>
      <c r="AR27" s="12">
        <v>0</v>
      </c>
      <c r="AS27" s="12">
        <v>0</v>
      </c>
      <c r="AT27" s="12">
        <v>0</v>
      </c>
      <c r="AU27" s="12">
        <v>341674</v>
      </c>
      <c r="AV27" s="12">
        <v>0</v>
      </c>
      <c r="AW27" s="12">
        <v>0</v>
      </c>
      <c r="AX27" s="12">
        <v>0</v>
      </c>
      <c r="AY27" s="12">
        <v>0</v>
      </c>
      <c r="AZ27" s="12">
        <v>0</v>
      </c>
      <c r="BA27" s="12">
        <v>0</v>
      </c>
      <c r="BB27" s="12">
        <v>8093</v>
      </c>
      <c r="BC27" s="12">
        <v>0</v>
      </c>
      <c r="BD27" s="12">
        <v>679030</v>
      </c>
      <c r="BE27" s="12">
        <v>0</v>
      </c>
      <c r="BF27" s="12">
        <f t="shared" si="4"/>
        <v>3716638</v>
      </c>
      <c r="BG27" s="12">
        <f t="shared" si="5"/>
        <v>682456</v>
      </c>
      <c r="BH27" s="12">
        <f t="shared" si="6"/>
        <v>431950</v>
      </c>
      <c r="BI27" s="12">
        <f t="shared" si="7"/>
        <v>2602232</v>
      </c>
    </row>
    <row r="28" spans="1:61" x14ac:dyDescent="0.25">
      <c r="C28" s="7">
        <v>36228</v>
      </c>
      <c r="D28" s="7" t="s">
        <v>287</v>
      </c>
      <c r="E28" s="12">
        <v>21917</v>
      </c>
      <c r="F28" s="12">
        <v>6399</v>
      </c>
      <c r="G28" s="12">
        <v>0</v>
      </c>
      <c r="H28" s="12">
        <v>0</v>
      </c>
      <c r="I28" s="12">
        <v>144150</v>
      </c>
      <c r="J28" s="12">
        <v>132354</v>
      </c>
      <c r="K28" s="12">
        <v>0</v>
      </c>
      <c r="L28" s="12">
        <v>18961.5</v>
      </c>
      <c r="M28" s="12">
        <v>54924</v>
      </c>
      <c r="N28" s="12">
        <v>0</v>
      </c>
      <c r="O28" s="12">
        <v>226089</v>
      </c>
      <c r="P28" s="12">
        <v>0</v>
      </c>
      <c r="Q28" s="12">
        <v>3413</v>
      </c>
      <c r="R28" s="12">
        <v>0</v>
      </c>
      <c r="S28" s="12">
        <v>0</v>
      </c>
      <c r="T28" s="12">
        <v>0</v>
      </c>
      <c r="U28" s="12">
        <v>4037</v>
      </c>
      <c r="V28" s="12">
        <v>0</v>
      </c>
      <c r="W28" s="12">
        <v>0</v>
      </c>
      <c r="X28" s="12">
        <v>0</v>
      </c>
      <c r="Y28" s="12">
        <v>0</v>
      </c>
      <c r="Z28" s="12">
        <v>0</v>
      </c>
      <c r="AA28" s="12">
        <v>0</v>
      </c>
      <c r="AB28" s="12">
        <v>0</v>
      </c>
      <c r="AC28" s="12">
        <v>0</v>
      </c>
      <c r="AD28" s="12">
        <v>0</v>
      </c>
      <c r="AE28" s="12">
        <v>0</v>
      </c>
      <c r="AF28" s="12">
        <v>0</v>
      </c>
      <c r="AG28" s="12">
        <v>0</v>
      </c>
      <c r="AH28" s="12">
        <v>0</v>
      </c>
      <c r="AI28" s="12">
        <v>0</v>
      </c>
      <c r="AJ28" s="12">
        <v>0</v>
      </c>
      <c r="AK28" s="12">
        <v>0</v>
      </c>
      <c r="AL28" s="12">
        <v>102867</v>
      </c>
      <c r="AM28" s="12">
        <v>0</v>
      </c>
      <c r="AN28" s="12">
        <v>0</v>
      </c>
      <c r="AO28" s="12">
        <v>0</v>
      </c>
      <c r="AP28" s="12">
        <v>10339</v>
      </c>
      <c r="AQ28" s="12">
        <v>0</v>
      </c>
      <c r="AR28" s="12">
        <v>0</v>
      </c>
      <c r="AS28" s="12">
        <v>0</v>
      </c>
      <c r="AT28" s="12">
        <v>0</v>
      </c>
      <c r="AU28" s="12">
        <v>0</v>
      </c>
      <c r="AV28" s="12">
        <v>0</v>
      </c>
      <c r="AW28" s="12">
        <v>0</v>
      </c>
      <c r="AX28" s="12">
        <v>0</v>
      </c>
      <c r="AY28" s="12">
        <v>0</v>
      </c>
      <c r="AZ28" s="12">
        <v>54004</v>
      </c>
      <c r="BA28" s="12">
        <v>6034</v>
      </c>
      <c r="BB28" s="12">
        <v>0</v>
      </c>
      <c r="BC28" s="12">
        <v>0</v>
      </c>
      <c r="BD28" s="12">
        <v>0</v>
      </c>
      <c r="BE28" s="12">
        <v>0</v>
      </c>
      <c r="BF28" s="12">
        <f t="shared" si="4"/>
        <v>785488.5</v>
      </c>
      <c r="BG28" s="12">
        <f t="shared" si="5"/>
        <v>612244.5</v>
      </c>
      <c r="BH28" s="12">
        <f t="shared" si="6"/>
        <v>0</v>
      </c>
      <c r="BI28" s="12">
        <f t="shared" si="7"/>
        <v>173244</v>
      </c>
    </row>
    <row r="29" spans="1:61" x14ac:dyDescent="0.25">
      <c r="C29" s="7">
        <v>364</v>
      </c>
      <c r="D29" s="7" t="s">
        <v>233</v>
      </c>
      <c r="E29" s="12">
        <v>0</v>
      </c>
      <c r="F29" s="12">
        <v>0</v>
      </c>
      <c r="G29" s="12">
        <v>0</v>
      </c>
      <c r="H29" s="12">
        <v>0</v>
      </c>
      <c r="I29" s="12">
        <v>0</v>
      </c>
      <c r="J29" s="12">
        <v>0</v>
      </c>
      <c r="K29" s="12">
        <v>0</v>
      </c>
      <c r="L29" s="12">
        <v>0</v>
      </c>
      <c r="M29" s="12">
        <v>0</v>
      </c>
      <c r="N29" s="12">
        <v>0</v>
      </c>
      <c r="O29" s="12">
        <v>0</v>
      </c>
      <c r="P29" s="12">
        <v>0</v>
      </c>
      <c r="Q29" s="12">
        <v>0</v>
      </c>
      <c r="R29" s="12">
        <v>0</v>
      </c>
      <c r="S29" s="12">
        <v>0</v>
      </c>
      <c r="T29" s="12">
        <v>0</v>
      </c>
      <c r="U29" s="12">
        <v>0</v>
      </c>
      <c r="V29" s="12">
        <v>0</v>
      </c>
      <c r="W29" s="12">
        <v>0</v>
      </c>
      <c r="X29" s="12">
        <v>0</v>
      </c>
      <c r="Y29" s="12">
        <v>0</v>
      </c>
      <c r="Z29" s="12">
        <v>0</v>
      </c>
      <c r="AA29" s="12">
        <v>0</v>
      </c>
      <c r="AB29" s="12">
        <v>0</v>
      </c>
      <c r="AC29" s="12">
        <v>0</v>
      </c>
      <c r="AD29" s="12">
        <v>0</v>
      </c>
      <c r="AE29" s="12">
        <v>0</v>
      </c>
      <c r="AF29" s="12">
        <v>0</v>
      </c>
      <c r="AG29" s="12">
        <v>0</v>
      </c>
      <c r="AH29" s="12">
        <v>0</v>
      </c>
      <c r="AI29" s="12">
        <v>0</v>
      </c>
      <c r="AJ29" s="12">
        <v>0</v>
      </c>
      <c r="AK29" s="12">
        <v>0</v>
      </c>
      <c r="AL29" s="12">
        <v>0</v>
      </c>
      <c r="AM29" s="12">
        <v>0</v>
      </c>
      <c r="AN29" s="12">
        <v>0</v>
      </c>
      <c r="AO29" s="12">
        <v>0</v>
      </c>
      <c r="AP29" s="12">
        <v>0</v>
      </c>
      <c r="AQ29" s="12">
        <v>0</v>
      </c>
      <c r="AR29" s="12">
        <v>0</v>
      </c>
      <c r="AS29" s="12">
        <v>0</v>
      </c>
      <c r="AT29" s="12">
        <v>0</v>
      </c>
      <c r="AU29" s="12">
        <v>0</v>
      </c>
      <c r="AV29" s="12">
        <v>0</v>
      </c>
      <c r="AW29" s="12">
        <v>0</v>
      </c>
      <c r="AX29" s="12">
        <v>0</v>
      </c>
      <c r="AY29" s="12">
        <v>0</v>
      </c>
      <c r="AZ29" s="12">
        <v>0</v>
      </c>
      <c r="BA29" s="12">
        <v>0</v>
      </c>
      <c r="BB29" s="12">
        <v>0</v>
      </c>
      <c r="BC29" s="12">
        <v>0</v>
      </c>
      <c r="BD29" s="12">
        <v>0</v>
      </c>
      <c r="BE29" s="12">
        <v>0</v>
      </c>
      <c r="BF29" s="12">
        <f t="shared" si="4"/>
        <v>0</v>
      </c>
      <c r="BG29" s="12">
        <f t="shared" si="5"/>
        <v>0</v>
      </c>
      <c r="BH29" s="12">
        <f t="shared" si="6"/>
        <v>0</v>
      </c>
      <c r="BI29" s="12">
        <f t="shared" si="7"/>
        <v>0</v>
      </c>
    </row>
    <row r="30" spans="1:61" x14ac:dyDescent="0.25">
      <c r="C30" s="7">
        <v>365</v>
      </c>
      <c r="D30" s="7" t="s">
        <v>234</v>
      </c>
      <c r="E30" s="12">
        <v>0</v>
      </c>
      <c r="F30" s="12">
        <v>0</v>
      </c>
      <c r="G30" s="12">
        <v>0</v>
      </c>
      <c r="H30" s="12">
        <v>0</v>
      </c>
      <c r="I30" s="12">
        <v>0</v>
      </c>
      <c r="J30" s="12">
        <v>0</v>
      </c>
      <c r="K30" s="12">
        <v>0</v>
      </c>
      <c r="L30" s="12">
        <v>0</v>
      </c>
      <c r="M30" s="12">
        <v>0</v>
      </c>
      <c r="N30" s="12">
        <v>0</v>
      </c>
      <c r="O30" s="12">
        <v>0</v>
      </c>
      <c r="P30" s="12">
        <v>0</v>
      </c>
      <c r="Q30" s="12">
        <v>0</v>
      </c>
      <c r="R30" s="12">
        <v>0</v>
      </c>
      <c r="S30" s="12">
        <v>0</v>
      </c>
      <c r="T30" s="12">
        <v>0</v>
      </c>
      <c r="U30" s="12">
        <v>8100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v>0</v>
      </c>
      <c r="AM30" s="12">
        <v>0</v>
      </c>
      <c r="AN30" s="12">
        <v>0</v>
      </c>
      <c r="AO30" s="12">
        <v>0</v>
      </c>
      <c r="AP30" s="12">
        <v>0</v>
      </c>
      <c r="AQ30" s="12">
        <v>0</v>
      </c>
      <c r="AR30" s="12">
        <v>0</v>
      </c>
      <c r="AS30" s="12">
        <v>0</v>
      </c>
      <c r="AT30" s="12">
        <v>0</v>
      </c>
      <c r="AU30" s="12">
        <v>0</v>
      </c>
      <c r="AV30" s="12">
        <v>0</v>
      </c>
      <c r="AW30" s="12">
        <v>0</v>
      </c>
      <c r="AX30" s="12">
        <v>0</v>
      </c>
      <c r="AY30" s="12">
        <v>0</v>
      </c>
      <c r="AZ30" s="12">
        <v>13000</v>
      </c>
      <c r="BA30" s="12">
        <v>0</v>
      </c>
      <c r="BB30" s="12">
        <v>0</v>
      </c>
      <c r="BC30" s="12">
        <v>0</v>
      </c>
      <c r="BD30" s="12">
        <v>0</v>
      </c>
      <c r="BE30" s="12">
        <v>0</v>
      </c>
      <c r="BF30" s="12">
        <f t="shared" si="4"/>
        <v>21100</v>
      </c>
      <c r="BG30" s="12">
        <f t="shared" si="5"/>
        <v>8100</v>
      </c>
      <c r="BH30" s="12">
        <f t="shared" si="6"/>
        <v>0</v>
      </c>
      <c r="BI30" s="12">
        <f t="shared" si="7"/>
        <v>13000</v>
      </c>
    </row>
    <row r="31" spans="1:61" x14ac:dyDescent="0.25">
      <c r="C31" s="7">
        <v>366</v>
      </c>
      <c r="D31" s="7" t="s">
        <v>116</v>
      </c>
      <c r="E31" s="12">
        <v>7905.29</v>
      </c>
      <c r="F31" s="12">
        <v>0</v>
      </c>
      <c r="G31" s="12">
        <v>0</v>
      </c>
      <c r="H31" s="12">
        <v>0</v>
      </c>
      <c r="I31" s="12">
        <v>1741</v>
      </c>
      <c r="J31" s="12">
        <v>0</v>
      </c>
      <c r="K31" s="12">
        <v>0</v>
      </c>
      <c r="L31" s="12">
        <v>0</v>
      </c>
      <c r="M31" s="12">
        <v>10700</v>
      </c>
      <c r="N31" s="12">
        <v>0</v>
      </c>
      <c r="O31" s="12">
        <v>71002.240000000005</v>
      </c>
      <c r="P31" s="12">
        <v>0</v>
      </c>
      <c r="Q31" s="12">
        <v>0</v>
      </c>
      <c r="R31" s="12">
        <v>0</v>
      </c>
      <c r="S31" s="12">
        <v>0</v>
      </c>
      <c r="T31" s="12">
        <v>0</v>
      </c>
      <c r="U31" s="12">
        <v>667.55</v>
      </c>
      <c r="V31" s="12">
        <v>0</v>
      </c>
      <c r="W31" s="12">
        <v>133028</v>
      </c>
      <c r="X31" s="12">
        <v>0</v>
      </c>
      <c r="Y31" s="12">
        <v>0</v>
      </c>
      <c r="Z31" s="12">
        <v>0</v>
      </c>
      <c r="AA31" s="12">
        <v>0</v>
      </c>
      <c r="AB31" s="12">
        <v>0</v>
      </c>
      <c r="AC31" s="12">
        <v>0</v>
      </c>
      <c r="AD31" s="12">
        <v>0</v>
      </c>
      <c r="AE31" s="12">
        <v>0</v>
      </c>
      <c r="AF31" s="12">
        <v>0</v>
      </c>
      <c r="AG31" s="12">
        <v>0</v>
      </c>
      <c r="AH31" s="12">
        <v>0</v>
      </c>
      <c r="AI31" s="12">
        <v>0</v>
      </c>
      <c r="AJ31" s="12">
        <v>0</v>
      </c>
      <c r="AK31" s="12">
        <v>0</v>
      </c>
      <c r="AL31" s="12">
        <v>0</v>
      </c>
      <c r="AM31" s="12">
        <v>0</v>
      </c>
      <c r="AN31" s="12">
        <v>0</v>
      </c>
      <c r="AO31" s="12">
        <v>0</v>
      </c>
      <c r="AP31" s="12">
        <v>0</v>
      </c>
      <c r="AQ31" s="12">
        <v>0</v>
      </c>
      <c r="AR31" s="12">
        <v>0</v>
      </c>
      <c r="AS31" s="12">
        <v>0</v>
      </c>
      <c r="AT31" s="12">
        <v>0</v>
      </c>
      <c r="AU31" s="12">
        <v>338</v>
      </c>
      <c r="AV31" s="12">
        <v>0</v>
      </c>
      <c r="AW31" s="12">
        <v>633</v>
      </c>
      <c r="AX31" s="12">
        <v>207</v>
      </c>
      <c r="AY31" s="12">
        <v>0</v>
      </c>
      <c r="AZ31" s="12">
        <v>1597</v>
      </c>
      <c r="BA31" s="12">
        <v>319</v>
      </c>
      <c r="BB31" s="12">
        <v>1083</v>
      </c>
      <c r="BC31" s="12">
        <v>235</v>
      </c>
      <c r="BD31" s="12">
        <v>0</v>
      </c>
      <c r="BE31" s="12">
        <v>0</v>
      </c>
      <c r="BF31" s="12">
        <f t="shared" si="4"/>
        <v>229456.08000000002</v>
      </c>
      <c r="BG31" s="12">
        <f t="shared" si="5"/>
        <v>225044.08000000002</v>
      </c>
      <c r="BH31" s="12">
        <f t="shared" si="6"/>
        <v>0</v>
      </c>
      <c r="BI31" s="12">
        <f t="shared" si="7"/>
        <v>4412</v>
      </c>
    </row>
    <row r="32" spans="1:61" x14ac:dyDescent="0.25">
      <c r="C32" s="7">
        <v>389</v>
      </c>
      <c r="D32" s="7" t="s">
        <v>289</v>
      </c>
      <c r="E32" s="12">
        <v>0</v>
      </c>
      <c r="F32" s="12">
        <v>0</v>
      </c>
      <c r="G32" s="12">
        <v>0</v>
      </c>
      <c r="H32" s="12">
        <v>0</v>
      </c>
      <c r="I32" s="12">
        <v>300000</v>
      </c>
      <c r="J32" s="12">
        <v>0</v>
      </c>
      <c r="K32" s="12">
        <v>650000</v>
      </c>
      <c r="L32" s="12">
        <v>0</v>
      </c>
      <c r="M32" s="12">
        <v>0</v>
      </c>
      <c r="N32" s="12">
        <v>0</v>
      </c>
      <c r="O32" s="12">
        <v>383300</v>
      </c>
      <c r="P32" s="12">
        <v>337.1</v>
      </c>
      <c r="Q32" s="12">
        <v>0</v>
      </c>
      <c r="R32" s="12">
        <v>0</v>
      </c>
      <c r="S32" s="12">
        <v>0</v>
      </c>
      <c r="T32" s="12">
        <v>95000</v>
      </c>
      <c r="U32" s="12">
        <v>0</v>
      </c>
      <c r="V32" s="12">
        <v>0</v>
      </c>
      <c r="W32" s="12">
        <v>600000</v>
      </c>
      <c r="X32" s="12">
        <v>0</v>
      </c>
      <c r="Y32" s="12">
        <v>0</v>
      </c>
      <c r="Z32" s="12">
        <v>1000000</v>
      </c>
      <c r="AA32" s="12">
        <v>0</v>
      </c>
      <c r="AB32" s="12">
        <v>35000</v>
      </c>
      <c r="AC32" s="12">
        <v>0</v>
      </c>
      <c r="AD32" s="12">
        <v>0</v>
      </c>
      <c r="AE32" s="12">
        <v>0</v>
      </c>
      <c r="AF32" s="12">
        <v>0</v>
      </c>
      <c r="AG32" s="12">
        <v>0</v>
      </c>
      <c r="AH32" s="12">
        <v>350000</v>
      </c>
      <c r="AI32" s="12">
        <v>0</v>
      </c>
      <c r="AJ32" s="12">
        <v>170000</v>
      </c>
      <c r="AK32" s="12">
        <v>367367.02</v>
      </c>
      <c r="AL32" s="12">
        <v>43343</v>
      </c>
      <c r="AM32" s="12">
        <v>0</v>
      </c>
      <c r="AN32" s="12">
        <v>12358</v>
      </c>
      <c r="AO32" s="12">
        <v>1900000</v>
      </c>
      <c r="AP32" s="12">
        <v>0</v>
      </c>
      <c r="AQ32" s="12">
        <v>0</v>
      </c>
      <c r="AR32" s="12">
        <v>20000</v>
      </c>
      <c r="AS32" s="12">
        <v>0</v>
      </c>
      <c r="AT32" s="12">
        <v>0</v>
      </c>
      <c r="AU32" s="12">
        <v>0</v>
      </c>
      <c r="AV32" s="12">
        <v>100000</v>
      </c>
      <c r="AW32" s="12">
        <v>200000</v>
      </c>
      <c r="AX32" s="12">
        <v>0</v>
      </c>
      <c r="AY32" s="12">
        <v>0</v>
      </c>
      <c r="AZ32" s="12">
        <v>0</v>
      </c>
      <c r="BA32" s="12">
        <v>920</v>
      </c>
      <c r="BB32" s="12">
        <v>250253</v>
      </c>
      <c r="BC32" s="12">
        <v>0</v>
      </c>
      <c r="BD32" s="12">
        <v>0</v>
      </c>
      <c r="BE32" s="12">
        <v>0</v>
      </c>
      <c r="BF32" s="12">
        <f t="shared" si="4"/>
        <v>6477878.1200000001</v>
      </c>
      <c r="BG32" s="12">
        <f t="shared" si="5"/>
        <v>2028637.1</v>
      </c>
      <c r="BH32" s="12">
        <f t="shared" si="6"/>
        <v>1555000</v>
      </c>
      <c r="BI32" s="12">
        <f t="shared" si="7"/>
        <v>2894241.02</v>
      </c>
    </row>
    <row r="33" spans="1:61" x14ac:dyDescent="0.25">
      <c r="C33" s="7">
        <v>3898</v>
      </c>
      <c r="D33" s="7" t="s">
        <v>291</v>
      </c>
      <c r="E33" s="12">
        <v>0</v>
      </c>
      <c r="F33" s="12">
        <v>0</v>
      </c>
      <c r="G33" s="12">
        <v>0</v>
      </c>
      <c r="H33" s="12">
        <v>0</v>
      </c>
      <c r="I33" s="12">
        <v>0</v>
      </c>
      <c r="J33" s="12">
        <v>0</v>
      </c>
      <c r="K33" s="12">
        <v>0</v>
      </c>
      <c r="L33" s="12">
        <v>0</v>
      </c>
      <c r="M33" s="12">
        <v>0</v>
      </c>
      <c r="N33" s="12">
        <v>0</v>
      </c>
      <c r="O33" s="12">
        <v>0</v>
      </c>
      <c r="P33" s="12">
        <v>0</v>
      </c>
      <c r="Q33" s="12">
        <v>0</v>
      </c>
      <c r="R33" s="12">
        <v>0</v>
      </c>
      <c r="S33" s="12">
        <v>0</v>
      </c>
      <c r="T33" s="12">
        <v>0</v>
      </c>
      <c r="U33" s="12">
        <v>0</v>
      </c>
      <c r="V33" s="12">
        <v>0</v>
      </c>
      <c r="W33" s="12">
        <v>0</v>
      </c>
      <c r="X33" s="12">
        <v>0</v>
      </c>
      <c r="Y33" s="12">
        <v>0</v>
      </c>
      <c r="Z33" s="12">
        <v>0</v>
      </c>
      <c r="AA33" s="12">
        <v>0</v>
      </c>
      <c r="AB33" s="12">
        <v>0</v>
      </c>
      <c r="AC33" s="12">
        <v>0</v>
      </c>
      <c r="AD33" s="12">
        <v>0</v>
      </c>
      <c r="AE33" s="12">
        <v>0</v>
      </c>
      <c r="AF33" s="12">
        <v>0</v>
      </c>
      <c r="AG33" s="12">
        <v>0</v>
      </c>
      <c r="AH33" s="12">
        <v>0</v>
      </c>
      <c r="AI33" s="12">
        <v>0</v>
      </c>
      <c r="AJ33" s="12">
        <v>0</v>
      </c>
      <c r="AK33" s="12">
        <v>0</v>
      </c>
      <c r="AL33" s="12">
        <v>120000</v>
      </c>
      <c r="AM33" s="12">
        <v>0</v>
      </c>
      <c r="AN33" s="12">
        <v>0</v>
      </c>
      <c r="AO33" s="12">
        <v>0</v>
      </c>
      <c r="AP33" s="12">
        <v>0</v>
      </c>
      <c r="AQ33" s="12">
        <v>0</v>
      </c>
      <c r="AR33" s="12">
        <v>0</v>
      </c>
      <c r="AS33" s="12">
        <v>0</v>
      </c>
      <c r="AT33" s="12">
        <v>0</v>
      </c>
      <c r="AU33" s="12">
        <v>0</v>
      </c>
      <c r="AV33" s="12">
        <v>0</v>
      </c>
      <c r="AW33" s="12">
        <v>0</v>
      </c>
      <c r="AX33" s="12">
        <v>1717.95</v>
      </c>
      <c r="AY33" s="12">
        <v>0</v>
      </c>
      <c r="AZ33" s="12">
        <v>0</v>
      </c>
      <c r="BA33" s="12">
        <v>0</v>
      </c>
      <c r="BB33" s="12">
        <v>0</v>
      </c>
      <c r="BC33" s="12">
        <v>0</v>
      </c>
      <c r="BD33" s="12">
        <v>0</v>
      </c>
      <c r="BE33" s="12">
        <v>0</v>
      </c>
      <c r="BF33" s="12">
        <f t="shared" si="4"/>
        <v>121717.95</v>
      </c>
      <c r="BG33" s="12">
        <f t="shared" si="5"/>
        <v>0</v>
      </c>
      <c r="BH33" s="12">
        <f t="shared" si="6"/>
        <v>0</v>
      </c>
      <c r="BI33" s="12">
        <f t="shared" si="7"/>
        <v>121717.95</v>
      </c>
    </row>
    <row r="34" spans="1:61" x14ac:dyDescent="0.25">
      <c r="C34" s="7">
        <v>90</v>
      </c>
      <c r="D34" s="7" t="s">
        <v>848</v>
      </c>
      <c r="E34" s="12">
        <v>0</v>
      </c>
      <c r="F34" s="12">
        <v>0</v>
      </c>
      <c r="G34" s="12">
        <v>0</v>
      </c>
      <c r="H34" s="12">
        <v>0</v>
      </c>
      <c r="I34" s="12">
        <v>0</v>
      </c>
      <c r="J34" s="12">
        <v>0</v>
      </c>
      <c r="K34" s="12">
        <v>0</v>
      </c>
      <c r="L34" s="12">
        <v>0</v>
      </c>
      <c r="M34" s="12">
        <v>0</v>
      </c>
      <c r="N34" s="12">
        <v>0</v>
      </c>
      <c r="O34" s="12">
        <v>0</v>
      </c>
      <c r="P34" s="12">
        <v>0</v>
      </c>
      <c r="Q34" s="12">
        <v>0</v>
      </c>
      <c r="R34" s="12">
        <v>0</v>
      </c>
      <c r="S34" s="12">
        <v>0</v>
      </c>
      <c r="T34" s="12">
        <v>0</v>
      </c>
      <c r="U34" s="12">
        <v>0</v>
      </c>
      <c r="V34" s="12">
        <v>0</v>
      </c>
      <c r="W34" s="12">
        <v>0</v>
      </c>
      <c r="X34" s="12">
        <v>0</v>
      </c>
      <c r="Y34" s="12">
        <v>0</v>
      </c>
      <c r="Z34" s="12">
        <v>0</v>
      </c>
      <c r="AA34" s="12">
        <v>0</v>
      </c>
      <c r="AB34" s="12">
        <v>0</v>
      </c>
      <c r="AC34" s="12">
        <v>0</v>
      </c>
      <c r="AD34" s="12">
        <v>0</v>
      </c>
      <c r="AE34" s="12">
        <v>0</v>
      </c>
      <c r="AF34" s="12">
        <v>0</v>
      </c>
      <c r="AG34" s="12">
        <v>0</v>
      </c>
      <c r="AH34" s="12">
        <v>0</v>
      </c>
      <c r="AI34" s="12">
        <v>0</v>
      </c>
      <c r="AJ34" s="12">
        <v>0</v>
      </c>
      <c r="AK34" s="12">
        <v>0</v>
      </c>
      <c r="AL34" s="12">
        <v>0</v>
      </c>
      <c r="AM34" s="12">
        <v>0</v>
      </c>
      <c r="AN34" s="12">
        <v>0</v>
      </c>
      <c r="AO34" s="12">
        <v>0</v>
      </c>
      <c r="AP34" s="12">
        <v>0</v>
      </c>
      <c r="AQ34" s="12">
        <v>0</v>
      </c>
      <c r="AR34" s="12">
        <v>0</v>
      </c>
      <c r="AS34" s="12">
        <v>0</v>
      </c>
      <c r="AT34" s="12">
        <v>0</v>
      </c>
      <c r="AU34" s="12">
        <v>0</v>
      </c>
      <c r="AV34" s="12">
        <v>0</v>
      </c>
      <c r="AW34" s="12">
        <v>0</v>
      </c>
      <c r="AX34" s="12">
        <v>0</v>
      </c>
      <c r="AY34" s="12">
        <v>0</v>
      </c>
      <c r="AZ34" s="12">
        <v>0</v>
      </c>
      <c r="BA34" s="12">
        <v>0</v>
      </c>
      <c r="BB34" s="12">
        <v>0</v>
      </c>
      <c r="BC34" s="12">
        <v>0</v>
      </c>
      <c r="BD34" s="12">
        <v>0</v>
      </c>
      <c r="BE34" s="12">
        <v>0</v>
      </c>
      <c r="BF34" s="12">
        <f t="shared" si="4"/>
        <v>0</v>
      </c>
      <c r="BG34" s="12">
        <f t="shared" si="5"/>
        <v>0</v>
      </c>
      <c r="BH34" s="12">
        <f t="shared" si="6"/>
        <v>0</v>
      </c>
      <c r="BI34" s="12">
        <f t="shared" si="7"/>
        <v>0</v>
      </c>
    </row>
    <row r="35" spans="1:61" x14ac:dyDescent="0.25">
      <c r="C35" s="7">
        <v>9031</v>
      </c>
      <c r="D35" s="7" t="s">
        <v>292</v>
      </c>
      <c r="E35" s="12">
        <v>0</v>
      </c>
      <c r="F35" s="12">
        <v>0</v>
      </c>
      <c r="G35" s="12">
        <v>0</v>
      </c>
      <c r="H35" s="12">
        <v>0</v>
      </c>
      <c r="I35" s="12">
        <v>0</v>
      </c>
      <c r="J35" s="12">
        <v>0</v>
      </c>
      <c r="K35" s="12">
        <v>0</v>
      </c>
      <c r="L35" s="12">
        <v>0</v>
      </c>
      <c r="M35" s="12">
        <v>0</v>
      </c>
      <c r="N35" s="12">
        <v>0</v>
      </c>
      <c r="O35" s="12">
        <v>0</v>
      </c>
      <c r="P35" s="12">
        <v>0</v>
      </c>
      <c r="Q35" s="12">
        <v>0</v>
      </c>
      <c r="R35" s="12">
        <v>0</v>
      </c>
      <c r="S35" s="12">
        <v>0</v>
      </c>
      <c r="T35" s="12">
        <v>0</v>
      </c>
      <c r="U35" s="12">
        <v>0</v>
      </c>
      <c r="V35" s="12">
        <v>0</v>
      </c>
      <c r="W35" s="12">
        <v>0</v>
      </c>
      <c r="X35" s="12">
        <v>0</v>
      </c>
      <c r="Y35" s="12">
        <v>0</v>
      </c>
      <c r="Z35" s="12">
        <v>0</v>
      </c>
      <c r="AA35" s="12">
        <v>0</v>
      </c>
      <c r="AB35" s="12">
        <v>0</v>
      </c>
      <c r="AC35" s="12">
        <v>0</v>
      </c>
      <c r="AD35" s="12">
        <v>0</v>
      </c>
      <c r="AE35" s="12">
        <v>0</v>
      </c>
      <c r="AF35" s="12">
        <v>0</v>
      </c>
      <c r="AG35" s="12">
        <v>0</v>
      </c>
      <c r="AH35" s="12">
        <v>0</v>
      </c>
      <c r="AI35" s="12">
        <v>0</v>
      </c>
      <c r="AJ35" s="12">
        <v>0</v>
      </c>
      <c r="AK35" s="12">
        <v>0</v>
      </c>
      <c r="AL35" s="12">
        <v>0</v>
      </c>
      <c r="AM35" s="12">
        <v>0</v>
      </c>
      <c r="AN35" s="12">
        <v>0</v>
      </c>
      <c r="AO35" s="12">
        <v>0</v>
      </c>
      <c r="AP35" s="12">
        <v>0</v>
      </c>
      <c r="AQ35" s="12">
        <v>0</v>
      </c>
      <c r="AR35" s="12">
        <v>0</v>
      </c>
      <c r="AS35" s="12">
        <v>0</v>
      </c>
      <c r="AT35" s="12">
        <v>0</v>
      </c>
      <c r="AU35" s="12">
        <v>0</v>
      </c>
      <c r="AV35" s="12">
        <v>0</v>
      </c>
      <c r="AW35" s="12">
        <v>0</v>
      </c>
      <c r="AX35" s="12">
        <v>0</v>
      </c>
      <c r="AY35" s="12">
        <v>0</v>
      </c>
      <c r="AZ35" s="12">
        <v>0</v>
      </c>
      <c r="BA35" s="12">
        <v>0</v>
      </c>
      <c r="BB35" s="12">
        <v>0</v>
      </c>
      <c r="BC35" s="12">
        <v>0</v>
      </c>
      <c r="BD35" s="12">
        <v>0</v>
      </c>
      <c r="BE35" s="12">
        <v>0</v>
      </c>
      <c r="BF35" s="12">
        <f t="shared" si="4"/>
        <v>0</v>
      </c>
      <c r="BG35" s="12">
        <f t="shared" si="5"/>
        <v>0</v>
      </c>
      <c r="BH35" s="12">
        <f t="shared" si="6"/>
        <v>0</v>
      </c>
      <c r="BI35" s="12">
        <f t="shared" si="7"/>
        <v>0</v>
      </c>
    </row>
    <row r="36" spans="1:61" x14ac:dyDescent="0.25">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row>
    <row r="37" spans="1:61" ht="21" x14ac:dyDescent="0.4">
      <c r="A37" s="19">
        <v>4</v>
      </c>
      <c r="B37" s="19"/>
      <c r="C37" s="19"/>
      <c r="D37" s="19" t="s">
        <v>572</v>
      </c>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row>
    <row r="38" spans="1:61" x14ac:dyDescent="0.25">
      <c r="C38" s="7">
        <v>4</v>
      </c>
      <c r="D38" s="7" t="s">
        <v>136</v>
      </c>
      <c r="E38" s="12">
        <v>2612688.9700000002</v>
      </c>
      <c r="F38" s="12">
        <v>1053880.1000000001</v>
      </c>
      <c r="G38" s="12">
        <v>1889903.77</v>
      </c>
      <c r="H38" s="12">
        <v>1924661.97</v>
      </c>
      <c r="I38" s="12">
        <v>16678003</v>
      </c>
      <c r="J38" s="12">
        <v>14443183.439999999</v>
      </c>
      <c r="K38" s="12">
        <v>11992734.960000001</v>
      </c>
      <c r="L38" s="12">
        <v>107873400.13</v>
      </c>
      <c r="M38" s="12">
        <v>7906926.8700000001</v>
      </c>
      <c r="N38" s="12">
        <v>466521.59999999998</v>
      </c>
      <c r="O38" s="12">
        <v>28823854.039999999</v>
      </c>
      <c r="P38" s="12">
        <v>1222236.96</v>
      </c>
      <c r="Q38" s="12">
        <v>426723.56</v>
      </c>
      <c r="R38" s="12">
        <v>1121422.1000000001</v>
      </c>
      <c r="S38" s="12">
        <v>1669195.78</v>
      </c>
      <c r="T38" s="12">
        <v>3424657.75</v>
      </c>
      <c r="U38" s="12">
        <v>967753.02</v>
      </c>
      <c r="V38" s="12">
        <v>2308640.56</v>
      </c>
      <c r="W38" s="12">
        <v>12830390.1</v>
      </c>
      <c r="X38" s="12">
        <v>1940302.3</v>
      </c>
      <c r="Y38" s="12">
        <v>4846822.5999999996</v>
      </c>
      <c r="Z38" s="12">
        <v>10408715.17</v>
      </c>
      <c r="AA38" s="12">
        <v>232528.25</v>
      </c>
      <c r="AB38" s="12">
        <v>1124629.0900000001</v>
      </c>
      <c r="AC38" s="12">
        <v>2781468.3</v>
      </c>
      <c r="AD38" s="12">
        <v>1886970.12</v>
      </c>
      <c r="AE38" s="12">
        <v>2861906.21</v>
      </c>
      <c r="AF38" s="12">
        <v>3532943.77</v>
      </c>
      <c r="AG38" s="12">
        <v>10362713.060000001</v>
      </c>
      <c r="AH38" s="12">
        <v>12459995.75</v>
      </c>
      <c r="AI38" s="12">
        <v>812277</v>
      </c>
      <c r="AJ38" s="12">
        <v>1009396.35</v>
      </c>
      <c r="AK38" s="12">
        <v>8724919.5899999999</v>
      </c>
      <c r="AL38" s="12">
        <v>5640011</v>
      </c>
      <c r="AM38" s="12">
        <v>5172015.04</v>
      </c>
      <c r="AN38" s="12">
        <v>603829.87</v>
      </c>
      <c r="AO38" s="12">
        <v>10175273.029999999</v>
      </c>
      <c r="AP38" s="12">
        <v>3693506.1</v>
      </c>
      <c r="AQ38" s="12">
        <v>2426914</v>
      </c>
      <c r="AR38" s="12">
        <v>3068900.23</v>
      </c>
      <c r="AS38" s="12">
        <v>3260984.5</v>
      </c>
      <c r="AT38" s="12">
        <v>2541861.7200000002</v>
      </c>
      <c r="AU38" s="12">
        <v>1544975.21</v>
      </c>
      <c r="AV38" s="12">
        <v>6808270.2599999998</v>
      </c>
      <c r="AW38" s="12">
        <v>3293941.63</v>
      </c>
      <c r="AX38" s="12">
        <v>769190.35</v>
      </c>
      <c r="AY38" s="12">
        <v>1311205.6100000001</v>
      </c>
      <c r="AZ38" s="12">
        <v>4826681.75</v>
      </c>
      <c r="BA38" s="12">
        <v>1615808.17</v>
      </c>
      <c r="BB38" s="12">
        <v>5996865</v>
      </c>
      <c r="BC38" s="12">
        <v>384685</v>
      </c>
      <c r="BD38" s="12">
        <v>42638657.090000004</v>
      </c>
      <c r="BE38" s="12">
        <v>2601254.09</v>
      </c>
      <c r="BF38" s="12">
        <f t="shared" ref="BF38:BF56" si="8">SUM(E38:BE38)</f>
        <v>390997195.89000016</v>
      </c>
      <c r="BG38" s="12">
        <f t="shared" ref="BG38:BG56" si="9">SUM(E38:W38)</f>
        <v>219636778.68000001</v>
      </c>
      <c r="BH38" s="12">
        <f t="shared" ref="BH38:BH56" si="10">SUM(X38:AJ38)</f>
        <v>54260667.970000006</v>
      </c>
      <c r="BI38" s="12">
        <f t="shared" ref="BI38:BI56" si="11">SUM(AK38:BE38)</f>
        <v>117099749.24000001</v>
      </c>
    </row>
    <row r="39" spans="1:61" x14ac:dyDescent="0.25">
      <c r="C39" s="7">
        <v>400</v>
      </c>
      <c r="D39" s="7" t="s">
        <v>277</v>
      </c>
      <c r="E39" s="12">
        <v>2262700.1</v>
      </c>
      <c r="F39" s="12">
        <v>394584.4</v>
      </c>
      <c r="G39" s="12">
        <v>1139128.03</v>
      </c>
      <c r="H39" s="12">
        <v>950656.41</v>
      </c>
      <c r="I39" s="12">
        <v>7671731</v>
      </c>
      <c r="J39" s="12">
        <v>7674815.9800000004</v>
      </c>
      <c r="K39" s="12">
        <v>6509152.8200000003</v>
      </c>
      <c r="L39" s="12">
        <v>29188230.370000001</v>
      </c>
      <c r="M39" s="12">
        <v>3029773.01</v>
      </c>
      <c r="N39" s="12">
        <v>191379.45</v>
      </c>
      <c r="O39" s="12">
        <v>14939845.5</v>
      </c>
      <c r="P39" s="12">
        <v>1017923.84</v>
      </c>
      <c r="Q39" s="12">
        <v>207778.13</v>
      </c>
      <c r="R39" s="12">
        <v>999136.44</v>
      </c>
      <c r="S39" s="12">
        <v>640644.31000000006</v>
      </c>
      <c r="T39" s="12">
        <v>2080807.3</v>
      </c>
      <c r="U39" s="12">
        <v>447890.85</v>
      </c>
      <c r="V39" s="12">
        <v>1095422.74</v>
      </c>
      <c r="W39" s="12">
        <v>6728443.8799999999</v>
      </c>
      <c r="X39" s="12">
        <v>746834.75</v>
      </c>
      <c r="Y39" s="12">
        <v>4344563.7</v>
      </c>
      <c r="Z39" s="12">
        <v>3016734.59</v>
      </c>
      <c r="AA39" s="12">
        <v>162980.45000000001</v>
      </c>
      <c r="AB39" s="12">
        <v>290960.59000000003</v>
      </c>
      <c r="AC39" s="12">
        <v>1263965.1499999999</v>
      </c>
      <c r="AD39" s="12">
        <v>1550453.62</v>
      </c>
      <c r="AE39" s="12">
        <v>1150391.33</v>
      </c>
      <c r="AF39" s="12">
        <v>1344189.14</v>
      </c>
      <c r="AG39" s="12">
        <v>4697662.17</v>
      </c>
      <c r="AH39" s="12">
        <v>6280726.4000000004</v>
      </c>
      <c r="AI39" s="12">
        <v>561108</v>
      </c>
      <c r="AJ39" s="12">
        <v>246941.98</v>
      </c>
      <c r="AK39" s="12">
        <v>4913883.17</v>
      </c>
      <c r="AL39" s="12">
        <v>2112923</v>
      </c>
      <c r="AM39" s="12">
        <v>2384568.14</v>
      </c>
      <c r="AN39" s="12">
        <v>269179</v>
      </c>
      <c r="AO39" s="12">
        <v>3543365.99</v>
      </c>
      <c r="AP39" s="12">
        <v>1427538.26</v>
      </c>
      <c r="AQ39" s="12">
        <v>1396588</v>
      </c>
      <c r="AR39" s="12">
        <v>2314628.2999999998</v>
      </c>
      <c r="AS39" s="12">
        <v>1555418.93</v>
      </c>
      <c r="AT39" s="12">
        <v>2260301.69</v>
      </c>
      <c r="AU39" s="12">
        <v>665145.5</v>
      </c>
      <c r="AV39" s="12">
        <v>5397412.5199999996</v>
      </c>
      <c r="AW39" s="12">
        <v>1851760.6</v>
      </c>
      <c r="AX39" s="12">
        <v>313766.09999999998</v>
      </c>
      <c r="AY39" s="12">
        <v>678698.3</v>
      </c>
      <c r="AZ39" s="12">
        <v>4101354</v>
      </c>
      <c r="BA39" s="12">
        <v>693667.73</v>
      </c>
      <c r="BB39" s="12">
        <v>2709050</v>
      </c>
      <c r="BC39" s="12">
        <v>301178.40000000002</v>
      </c>
      <c r="BD39" s="12">
        <v>17855510.039999999</v>
      </c>
      <c r="BE39" s="12">
        <v>1216929.3899999999</v>
      </c>
      <c r="BF39" s="12">
        <f t="shared" si="8"/>
        <v>170790423.49000001</v>
      </c>
      <c r="BG39" s="12">
        <f t="shared" si="9"/>
        <v>87170044.559999973</v>
      </c>
      <c r="BH39" s="12">
        <f t="shared" si="10"/>
        <v>25657511.870000001</v>
      </c>
      <c r="BI39" s="12">
        <f t="shared" si="11"/>
        <v>57962867.059999995</v>
      </c>
    </row>
    <row r="40" spans="1:61" x14ac:dyDescent="0.25">
      <c r="C40" s="7">
        <v>401</v>
      </c>
      <c r="D40" s="7" t="s">
        <v>279</v>
      </c>
      <c r="E40" s="12">
        <v>104082.17</v>
      </c>
      <c r="F40" s="12">
        <v>4199.7</v>
      </c>
      <c r="G40" s="12">
        <v>-8741.4500000000007</v>
      </c>
      <c r="H40" s="12">
        <v>-15810.9</v>
      </c>
      <c r="I40" s="12">
        <v>410566</v>
      </c>
      <c r="J40" s="12">
        <v>435109.2</v>
      </c>
      <c r="K40" s="12">
        <v>1158851.46</v>
      </c>
      <c r="L40" s="12">
        <v>4132816.72</v>
      </c>
      <c r="M40" s="12">
        <v>169303.3</v>
      </c>
      <c r="N40" s="12">
        <v>10437.31</v>
      </c>
      <c r="O40" s="12">
        <v>1422894.55</v>
      </c>
      <c r="P40" s="12">
        <v>1536.15</v>
      </c>
      <c r="Q40" s="12">
        <v>400.65</v>
      </c>
      <c r="R40" s="12">
        <v>634.11</v>
      </c>
      <c r="S40" s="12">
        <v>2644.55</v>
      </c>
      <c r="T40" s="12">
        <v>-10344.4</v>
      </c>
      <c r="U40" s="12">
        <v>4057.45</v>
      </c>
      <c r="V40" s="12">
        <v>242179.35</v>
      </c>
      <c r="W40" s="12">
        <v>414822.18</v>
      </c>
      <c r="X40" s="12">
        <v>4574.2</v>
      </c>
      <c r="Y40" s="12">
        <v>112507.6</v>
      </c>
      <c r="Z40" s="12">
        <v>6938409.75</v>
      </c>
      <c r="AA40" s="12">
        <v>102.2</v>
      </c>
      <c r="AB40" s="12">
        <v>-5685.3</v>
      </c>
      <c r="AC40" s="12">
        <v>72681.350000000006</v>
      </c>
      <c r="AD40" s="12">
        <v>74341.350000000006</v>
      </c>
      <c r="AE40" s="12">
        <v>23967.7</v>
      </c>
      <c r="AF40" s="12">
        <v>48888.36</v>
      </c>
      <c r="AG40" s="12">
        <v>1308463.1000000001</v>
      </c>
      <c r="AH40" s="12">
        <v>480060.95</v>
      </c>
      <c r="AI40" s="12">
        <v>0</v>
      </c>
      <c r="AJ40" s="12">
        <v>-559.15</v>
      </c>
      <c r="AK40" s="12">
        <v>381200.4</v>
      </c>
      <c r="AL40" s="12">
        <v>15337</v>
      </c>
      <c r="AM40" s="12">
        <v>70712.149999999994</v>
      </c>
      <c r="AN40" s="12">
        <v>41575</v>
      </c>
      <c r="AO40" s="12">
        <v>4126565.45</v>
      </c>
      <c r="AP40" s="12">
        <v>-20679.21</v>
      </c>
      <c r="AQ40" s="12">
        <v>126130</v>
      </c>
      <c r="AR40" s="12">
        <v>21170.65</v>
      </c>
      <c r="AS40" s="12">
        <v>24447.4</v>
      </c>
      <c r="AT40" s="12">
        <v>18304.88</v>
      </c>
      <c r="AU40" s="12">
        <v>124189.1</v>
      </c>
      <c r="AV40" s="12">
        <v>395818.19</v>
      </c>
      <c r="AW40" s="12">
        <v>374940.27</v>
      </c>
      <c r="AX40" s="12">
        <v>7008.05</v>
      </c>
      <c r="AY40" s="12">
        <v>11008.4</v>
      </c>
      <c r="AZ40" s="12">
        <v>49702.400000000001</v>
      </c>
      <c r="BA40" s="12">
        <v>16074.4</v>
      </c>
      <c r="BB40" s="12">
        <v>302844</v>
      </c>
      <c r="BC40" s="12">
        <v>10835.15</v>
      </c>
      <c r="BD40" s="12">
        <v>2575460.19</v>
      </c>
      <c r="BE40" s="12">
        <v>115443.55</v>
      </c>
      <c r="BF40" s="12">
        <f t="shared" si="8"/>
        <v>26325477.629999988</v>
      </c>
      <c r="BG40" s="12">
        <f t="shared" si="9"/>
        <v>8479638.0999999996</v>
      </c>
      <c r="BH40" s="12">
        <f t="shared" si="10"/>
        <v>9057752.1099999994</v>
      </c>
      <c r="BI40" s="12">
        <f t="shared" si="11"/>
        <v>8788087.4200000037</v>
      </c>
    </row>
    <row r="41" spans="1:61" x14ac:dyDescent="0.25">
      <c r="C41" s="7">
        <v>402</v>
      </c>
      <c r="D41" s="7" t="s">
        <v>139</v>
      </c>
      <c r="E41" s="12">
        <v>232616.5</v>
      </c>
      <c r="F41" s="12">
        <v>134798.39999999999</v>
      </c>
      <c r="G41" s="12">
        <v>185978.35</v>
      </c>
      <c r="H41" s="12">
        <v>123590.03</v>
      </c>
      <c r="I41" s="12">
        <v>1290471</v>
      </c>
      <c r="J41" s="12">
        <v>1014914.21</v>
      </c>
      <c r="K41" s="12">
        <v>583017.75</v>
      </c>
      <c r="L41" s="12">
        <v>4520498.41</v>
      </c>
      <c r="M41" s="12">
        <v>380573.95</v>
      </c>
      <c r="N41" s="12">
        <v>27755.9</v>
      </c>
      <c r="O41" s="12">
        <v>2239996.15</v>
      </c>
      <c r="P41" s="12">
        <v>199185.77</v>
      </c>
      <c r="Q41" s="12">
        <v>63778.1</v>
      </c>
      <c r="R41" s="12">
        <v>105021.25</v>
      </c>
      <c r="S41" s="12">
        <v>136211.6</v>
      </c>
      <c r="T41" s="12">
        <v>234255.15</v>
      </c>
      <c r="U41" s="12">
        <v>56002</v>
      </c>
      <c r="V41" s="12">
        <v>132074.25</v>
      </c>
      <c r="W41" s="12">
        <v>1053641.1000000001</v>
      </c>
      <c r="X41" s="12">
        <v>137531.1</v>
      </c>
      <c r="Y41" s="12">
        <v>363171.6</v>
      </c>
      <c r="Z41" s="12">
        <v>441259.63</v>
      </c>
      <c r="AA41" s="12">
        <v>67345.600000000006</v>
      </c>
      <c r="AB41" s="12">
        <v>50604.15</v>
      </c>
      <c r="AC41" s="12">
        <v>179387.8</v>
      </c>
      <c r="AD41" s="12">
        <v>244804.55</v>
      </c>
      <c r="AE41" s="12">
        <v>216397.45</v>
      </c>
      <c r="AF41" s="12">
        <v>205025.8</v>
      </c>
      <c r="AG41" s="12">
        <v>680175</v>
      </c>
      <c r="AH41" s="12">
        <v>860106.65</v>
      </c>
      <c r="AI41" s="12">
        <v>0</v>
      </c>
      <c r="AJ41" s="12">
        <v>69457.649999999994</v>
      </c>
      <c r="AK41" s="12">
        <v>692041.56</v>
      </c>
      <c r="AL41" s="12">
        <v>451447</v>
      </c>
      <c r="AM41" s="12">
        <v>465405.75</v>
      </c>
      <c r="AN41" s="12">
        <v>35824</v>
      </c>
      <c r="AO41" s="12">
        <v>486190.75</v>
      </c>
      <c r="AP41" s="12">
        <v>188734.8</v>
      </c>
      <c r="AQ41" s="12">
        <v>166180</v>
      </c>
      <c r="AR41" s="12">
        <v>609945.18000000005</v>
      </c>
      <c r="AS41" s="12">
        <v>261776.1</v>
      </c>
      <c r="AT41" s="12">
        <v>248060.15</v>
      </c>
      <c r="AU41" s="12">
        <v>88152</v>
      </c>
      <c r="AV41" s="12">
        <v>1001432.95</v>
      </c>
      <c r="AW41" s="12">
        <v>303470.05</v>
      </c>
      <c r="AX41" s="12">
        <v>78838</v>
      </c>
      <c r="AY41" s="12">
        <v>146578.96</v>
      </c>
      <c r="AZ41" s="12">
        <v>652921.75</v>
      </c>
      <c r="BA41" s="12">
        <v>134055</v>
      </c>
      <c r="BB41" s="12">
        <v>488431</v>
      </c>
      <c r="BC41" s="12">
        <v>69493.05</v>
      </c>
      <c r="BD41" s="12">
        <v>2935619.56</v>
      </c>
      <c r="BE41" s="12">
        <v>202287.74</v>
      </c>
      <c r="BF41" s="12">
        <f t="shared" si="8"/>
        <v>25936532.199999999</v>
      </c>
      <c r="BG41" s="12">
        <f t="shared" si="9"/>
        <v>12714379.869999999</v>
      </c>
      <c r="BH41" s="12">
        <f t="shared" si="10"/>
        <v>3515266.9799999995</v>
      </c>
      <c r="BI41" s="12">
        <f t="shared" si="11"/>
        <v>9706885.3499999996</v>
      </c>
    </row>
    <row r="42" spans="1:61" x14ac:dyDescent="0.25">
      <c r="C42" s="7">
        <v>440</v>
      </c>
      <c r="D42" s="7" t="s">
        <v>280</v>
      </c>
      <c r="E42" s="12">
        <v>20774.759999999998</v>
      </c>
      <c r="F42" s="12">
        <v>3458.6</v>
      </c>
      <c r="G42" s="12">
        <v>8650.19</v>
      </c>
      <c r="H42" s="12">
        <v>7673</v>
      </c>
      <c r="I42" s="12">
        <v>92820</v>
      </c>
      <c r="J42" s="12">
        <v>85392.02</v>
      </c>
      <c r="K42" s="12">
        <v>50590.25</v>
      </c>
      <c r="L42" s="12">
        <v>916525.13</v>
      </c>
      <c r="M42" s="12">
        <v>34510.089999999997</v>
      </c>
      <c r="N42" s="12">
        <v>2550.92</v>
      </c>
      <c r="O42" s="12">
        <v>204486.74</v>
      </c>
      <c r="P42" s="12">
        <v>13949.69</v>
      </c>
      <c r="Q42" s="12">
        <v>3126.21</v>
      </c>
      <c r="R42" s="12">
        <v>5.5</v>
      </c>
      <c r="S42" s="12">
        <v>0</v>
      </c>
      <c r="T42" s="12">
        <v>20475.93</v>
      </c>
      <c r="U42" s="12">
        <v>10249.469999999999</v>
      </c>
      <c r="V42" s="12">
        <v>14363.15</v>
      </c>
      <c r="W42" s="12">
        <v>96966.55</v>
      </c>
      <c r="X42" s="12">
        <v>5057.2</v>
      </c>
      <c r="Y42" s="12">
        <v>42079.32</v>
      </c>
      <c r="Z42" s="12">
        <v>33323.19</v>
      </c>
      <c r="AA42" s="12">
        <v>2034.5</v>
      </c>
      <c r="AB42" s="12">
        <v>2689.22</v>
      </c>
      <c r="AC42" s="12">
        <v>5857.15</v>
      </c>
      <c r="AD42" s="12">
        <v>10282.23</v>
      </c>
      <c r="AE42" s="12">
        <v>14852.94</v>
      </c>
      <c r="AF42" s="12">
        <v>296.68</v>
      </c>
      <c r="AG42" s="12">
        <v>31517.47</v>
      </c>
      <c r="AH42" s="12">
        <v>51084.21</v>
      </c>
      <c r="AI42" s="12">
        <v>0</v>
      </c>
      <c r="AJ42" s="12">
        <v>2287.2600000000002</v>
      </c>
      <c r="AK42" s="12">
        <v>51399.56</v>
      </c>
      <c r="AL42" s="12">
        <v>78509</v>
      </c>
      <c r="AM42" s="12">
        <v>43546.25</v>
      </c>
      <c r="AN42" s="12">
        <v>6846.77</v>
      </c>
      <c r="AO42" s="12">
        <v>21251.68</v>
      </c>
      <c r="AP42" s="12">
        <v>43429.84</v>
      </c>
      <c r="AQ42" s="12">
        <v>20734</v>
      </c>
      <c r="AR42" s="12">
        <v>37646.339999999997</v>
      </c>
      <c r="AS42" s="12">
        <v>24618.9</v>
      </c>
      <c r="AT42" s="12">
        <v>34333.64</v>
      </c>
      <c r="AU42" s="12">
        <v>9603.7900000000009</v>
      </c>
      <c r="AV42" s="12">
        <v>75161.23</v>
      </c>
      <c r="AW42" s="12">
        <v>15309.24</v>
      </c>
      <c r="AX42" s="12">
        <v>3910.43</v>
      </c>
      <c r="AY42" s="12">
        <v>10077.92</v>
      </c>
      <c r="AZ42" s="12">
        <v>67652.11</v>
      </c>
      <c r="BA42" s="12">
        <v>11732.29</v>
      </c>
      <c r="BB42" s="12">
        <v>53388</v>
      </c>
      <c r="BC42" s="12">
        <v>5670.83</v>
      </c>
      <c r="BD42" s="12">
        <v>356399.74</v>
      </c>
      <c r="BE42" s="12">
        <v>48829.78</v>
      </c>
      <c r="BF42" s="12">
        <f t="shared" si="8"/>
        <v>2807980.9099999997</v>
      </c>
      <c r="BG42" s="12">
        <f t="shared" si="9"/>
        <v>1586568.1999999997</v>
      </c>
      <c r="BH42" s="12">
        <f t="shared" si="10"/>
        <v>201361.36999999997</v>
      </c>
      <c r="BI42" s="12">
        <f t="shared" si="11"/>
        <v>1020051.34</v>
      </c>
    </row>
    <row r="43" spans="1:61" x14ac:dyDescent="0.25">
      <c r="C43" s="7">
        <v>441</v>
      </c>
      <c r="D43" s="7" t="s">
        <v>282</v>
      </c>
      <c r="E43" s="12">
        <v>10419.9</v>
      </c>
      <c r="F43" s="12">
        <v>0</v>
      </c>
      <c r="G43" s="12">
        <v>0</v>
      </c>
      <c r="H43" s="12">
        <v>0</v>
      </c>
      <c r="I43" s="12">
        <v>0</v>
      </c>
      <c r="J43" s="12">
        <v>0</v>
      </c>
      <c r="K43" s="12">
        <v>0</v>
      </c>
      <c r="L43" s="12">
        <v>0</v>
      </c>
      <c r="M43" s="12">
        <v>0</v>
      </c>
      <c r="N43" s="12">
        <v>0</v>
      </c>
      <c r="O43" s="12">
        <v>0</v>
      </c>
      <c r="P43" s="12">
        <v>0</v>
      </c>
      <c r="Q43" s="12">
        <v>0</v>
      </c>
      <c r="R43" s="12">
        <v>0</v>
      </c>
      <c r="S43" s="12">
        <v>0</v>
      </c>
      <c r="T43" s="12">
        <v>0</v>
      </c>
      <c r="U43" s="12">
        <v>0</v>
      </c>
      <c r="V43" s="12">
        <v>0</v>
      </c>
      <c r="W43" s="12">
        <v>12500</v>
      </c>
      <c r="X43" s="12">
        <v>-54035</v>
      </c>
      <c r="Y43" s="12">
        <v>0</v>
      </c>
      <c r="Z43" s="12">
        <v>0</v>
      </c>
      <c r="AA43" s="12">
        <v>0</v>
      </c>
      <c r="AB43" s="12">
        <v>0</v>
      </c>
      <c r="AC43" s="12">
        <v>0</v>
      </c>
      <c r="AD43" s="12">
        <v>29136</v>
      </c>
      <c r="AE43" s="12">
        <v>0</v>
      </c>
      <c r="AF43" s="12">
        <v>0</v>
      </c>
      <c r="AG43" s="12">
        <v>8220</v>
      </c>
      <c r="AH43" s="12">
        <v>43</v>
      </c>
      <c r="AI43" s="12">
        <v>0</v>
      </c>
      <c r="AJ43" s="12">
        <v>184334.5</v>
      </c>
      <c r="AK43" s="12">
        <v>0</v>
      </c>
      <c r="AL43" s="12">
        <v>0</v>
      </c>
      <c r="AM43" s="12">
        <v>0</v>
      </c>
      <c r="AN43" s="12">
        <v>0</v>
      </c>
      <c r="AO43" s="12">
        <v>0</v>
      </c>
      <c r="AP43" s="12">
        <v>0</v>
      </c>
      <c r="AQ43" s="12">
        <v>0</v>
      </c>
      <c r="AR43" s="12">
        <v>0</v>
      </c>
      <c r="AS43" s="12">
        <v>0</v>
      </c>
      <c r="AT43" s="12">
        <v>0</v>
      </c>
      <c r="AU43" s="12">
        <v>0</v>
      </c>
      <c r="AV43" s="12">
        <v>0</v>
      </c>
      <c r="AW43" s="12">
        <v>0</v>
      </c>
      <c r="AX43" s="12">
        <v>0</v>
      </c>
      <c r="AY43" s="12">
        <v>0</v>
      </c>
      <c r="AZ43" s="12">
        <v>0</v>
      </c>
      <c r="BA43" s="12">
        <v>0</v>
      </c>
      <c r="BB43" s="12">
        <v>16335</v>
      </c>
      <c r="BC43" s="12">
        <v>0</v>
      </c>
      <c r="BD43" s="12">
        <v>0</v>
      </c>
      <c r="BE43" s="12">
        <v>0</v>
      </c>
      <c r="BF43" s="12">
        <f t="shared" si="8"/>
        <v>206953.4</v>
      </c>
      <c r="BG43" s="12">
        <f t="shared" si="9"/>
        <v>22919.9</v>
      </c>
      <c r="BH43" s="12">
        <f t="shared" si="10"/>
        <v>167698.5</v>
      </c>
      <c r="BI43" s="12">
        <f t="shared" si="11"/>
        <v>16335</v>
      </c>
    </row>
    <row r="44" spans="1:61" x14ac:dyDescent="0.25">
      <c r="C44" s="7">
        <v>442</v>
      </c>
      <c r="D44" s="7" t="s">
        <v>283</v>
      </c>
      <c r="E44" s="12">
        <v>177</v>
      </c>
      <c r="F44" s="12">
        <v>0</v>
      </c>
      <c r="G44" s="12">
        <v>0</v>
      </c>
      <c r="H44" s="12">
        <v>0</v>
      </c>
      <c r="I44" s="12">
        <v>6509</v>
      </c>
      <c r="J44" s="12">
        <v>36</v>
      </c>
      <c r="K44" s="12">
        <v>0</v>
      </c>
      <c r="L44" s="12">
        <v>22013.599999999999</v>
      </c>
      <c r="M44" s="12">
        <v>0</v>
      </c>
      <c r="N44" s="12">
        <v>0</v>
      </c>
      <c r="O44" s="12">
        <v>3959</v>
      </c>
      <c r="P44" s="12">
        <v>0</v>
      </c>
      <c r="Q44" s="12">
        <v>21</v>
      </c>
      <c r="R44" s="12">
        <v>0</v>
      </c>
      <c r="S44" s="12">
        <v>3.25</v>
      </c>
      <c r="T44" s="12">
        <v>325</v>
      </c>
      <c r="U44" s="12">
        <v>0</v>
      </c>
      <c r="V44" s="12">
        <v>0</v>
      </c>
      <c r="W44" s="12">
        <v>208</v>
      </c>
      <c r="X44" s="12">
        <v>5</v>
      </c>
      <c r="Y44" s="12">
        <v>0</v>
      </c>
      <c r="Z44" s="12">
        <v>0</v>
      </c>
      <c r="AA44" s="12">
        <v>0</v>
      </c>
      <c r="AB44" s="12">
        <v>0</v>
      </c>
      <c r="AC44" s="12">
        <v>0</v>
      </c>
      <c r="AD44" s="12">
        <v>16</v>
      </c>
      <c r="AE44" s="12">
        <v>0</v>
      </c>
      <c r="AF44" s="12">
        <v>0</v>
      </c>
      <c r="AG44" s="12">
        <v>8715</v>
      </c>
      <c r="AH44" s="12">
        <v>0</v>
      </c>
      <c r="AI44" s="12">
        <v>0</v>
      </c>
      <c r="AJ44" s="12">
        <v>0</v>
      </c>
      <c r="AK44" s="12">
        <v>0</v>
      </c>
      <c r="AL44" s="12">
        <v>1014</v>
      </c>
      <c r="AM44" s="12">
        <v>0</v>
      </c>
      <c r="AN44" s="12">
        <v>0</v>
      </c>
      <c r="AO44" s="12">
        <v>0</v>
      </c>
      <c r="AP44" s="12">
        <v>40</v>
      </c>
      <c r="AQ44" s="12">
        <v>0</v>
      </c>
      <c r="AR44" s="12">
        <v>8074.75</v>
      </c>
      <c r="AS44" s="12">
        <v>0</v>
      </c>
      <c r="AT44" s="12">
        <v>380</v>
      </c>
      <c r="AU44" s="12">
        <v>0</v>
      </c>
      <c r="AV44" s="12">
        <v>1632.5</v>
      </c>
      <c r="AW44" s="12">
        <v>2203.0500000000002</v>
      </c>
      <c r="AX44" s="12">
        <v>0</v>
      </c>
      <c r="AY44" s="12">
        <v>0</v>
      </c>
      <c r="AZ44" s="12">
        <v>0</v>
      </c>
      <c r="BA44" s="12">
        <v>0</v>
      </c>
      <c r="BB44" s="12">
        <v>109</v>
      </c>
      <c r="BC44" s="12">
        <v>0</v>
      </c>
      <c r="BD44" s="12">
        <v>35327</v>
      </c>
      <c r="BE44" s="12">
        <v>20</v>
      </c>
      <c r="BF44" s="12">
        <f t="shared" si="8"/>
        <v>90788.15</v>
      </c>
      <c r="BG44" s="12">
        <f t="shared" si="9"/>
        <v>33251.85</v>
      </c>
      <c r="BH44" s="12">
        <f t="shared" si="10"/>
        <v>8736</v>
      </c>
      <c r="BI44" s="12">
        <f t="shared" si="11"/>
        <v>48800.3</v>
      </c>
    </row>
    <row r="45" spans="1:61" x14ac:dyDescent="0.25">
      <c r="C45" s="7">
        <v>443</v>
      </c>
      <c r="D45" s="7" t="s">
        <v>284</v>
      </c>
      <c r="E45" s="12">
        <v>23831.5</v>
      </c>
      <c r="F45" s="12">
        <v>22320</v>
      </c>
      <c r="G45" s="12">
        <v>101852.4</v>
      </c>
      <c r="H45" s="12">
        <v>0</v>
      </c>
      <c r="I45" s="12">
        <v>390253</v>
      </c>
      <c r="J45" s="12">
        <v>131630</v>
      </c>
      <c r="K45" s="12">
        <v>125140.2</v>
      </c>
      <c r="L45" s="12">
        <v>824370.55</v>
      </c>
      <c r="M45" s="12">
        <v>19882.099999999999</v>
      </c>
      <c r="N45" s="12">
        <v>21150</v>
      </c>
      <c r="O45" s="12">
        <v>108651.25</v>
      </c>
      <c r="P45" s="12">
        <v>22790</v>
      </c>
      <c r="Q45" s="12">
        <v>10140</v>
      </c>
      <c r="R45" s="12">
        <v>26680</v>
      </c>
      <c r="S45" s="12">
        <v>14640</v>
      </c>
      <c r="T45" s="12">
        <v>43480</v>
      </c>
      <c r="U45" s="12">
        <v>0</v>
      </c>
      <c r="V45" s="12">
        <v>20005</v>
      </c>
      <c r="W45" s="12">
        <v>155612.29999999999</v>
      </c>
      <c r="X45" s="12">
        <v>1490</v>
      </c>
      <c r="Y45" s="12">
        <v>43405</v>
      </c>
      <c r="Z45" s="12">
        <v>8731</v>
      </c>
      <c r="AA45" s="12">
        <v>15034</v>
      </c>
      <c r="AB45" s="12">
        <v>25290</v>
      </c>
      <c r="AC45" s="12">
        <v>41126.6</v>
      </c>
      <c r="AD45" s="12">
        <v>80564.5</v>
      </c>
      <c r="AE45" s="12">
        <v>1810</v>
      </c>
      <c r="AF45" s="12">
        <v>75924.7</v>
      </c>
      <c r="AG45" s="12">
        <v>87356.800000000003</v>
      </c>
      <c r="AH45" s="12">
        <v>39189</v>
      </c>
      <c r="AI45" s="12">
        <v>0</v>
      </c>
      <c r="AJ45" s="12">
        <v>26770</v>
      </c>
      <c r="AK45" s="12">
        <v>0</v>
      </c>
      <c r="AL45" s="12">
        <v>141519</v>
      </c>
      <c r="AM45" s="12">
        <v>71714.75</v>
      </c>
      <c r="AN45" s="12">
        <v>7440</v>
      </c>
      <c r="AO45" s="12">
        <v>212328.05</v>
      </c>
      <c r="AP45" s="12">
        <v>25423.5</v>
      </c>
      <c r="AQ45" s="12">
        <v>20325</v>
      </c>
      <c r="AR45" s="12">
        <v>423015.3</v>
      </c>
      <c r="AS45" s="12">
        <v>15722.4</v>
      </c>
      <c r="AT45" s="12">
        <v>68498.5</v>
      </c>
      <c r="AU45" s="12">
        <v>31234</v>
      </c>
      <c r="AV45" s="12">
        <v>0</v>
      </c>
      <c r="AW45" s="12">
        <v>28453.55</v>
      </c>
      <c r="AX45" s="12">
        <v>11653.4</v>
      </c>
      <c r="AY45" s="12">
        <v>39891.800000000003</v>
      </c>
      <c r="AZ45" s="12">
        <v>63599.9</v>
      </c>
      <c r="BA45" s="12">
        <v>33410.15</v>
      </c>
      <c r="BB45" s="12">
        <v>98207</v>
      </c>
      <c r="BC45" s="12">
        <v>42360</v>
      </c>
      <c r="BD45" s="12">
        <v>295146.59999999998</v>
      </c>
      <c r="BE45" s="12">
        <v>44312.6</v>
      </c>
      <c r="BF45" s="12">
        <f t="shared" si="8"/>
        <v>4183375.399999999</v>
      </c>
      <c r="BG45" s="12">
        <f t="shared" si="9"/>
        <v>2062428.3</v>
      </c>
      <c r="BH45" s="12">
        <f t="shared" si="10"/>
        <v>446691.6</v>
      </c>
      <c r="BI45" s="12">
        <f t="shared" si="11"/>
        <v>1674255.5</v>
      </c>
    </row>
    <row r="46" spans="1:61" x14ac:dyDescent="0.25">
      <c r="C46" s="7">
        <v>444</v>
      </c>
      <c r="D46" s="7" t="s">
        <v>573</v>
      </c>
      <c r="E46" s="12">
        <v>0</v>
      </c>
      <c r="F46" s="12">
        <v>0</v>
      </c>
      <c r="G46" s="12">
        <v>129798.25</v>
      </c>
      <c r="H46" s="12">
        <v>0</v>
      </c>
      <c r="I46" s="12">
        <v>18080</v>
      </c>
      <c r="J46" s="12">
        <v>40</v>
      </c>
      <c r="K46" s="12">
        <v>0</v>
      </c>
      <c r="L46" s="12">
        <v>0</v>
      </c>
      <c r="M46" s="12">
        <v>40</v>
      </c>
      <c r="N46" s="12">
        <v>0</v>
      </c>
      <c r="O46" s="12">
        <v>9351</v>
      </c>
      <c r="P46" s="12">
        <v>0</v>
      </c>
      <c r="Q46" s="12">
        <v>20</v>
      </c>
      <c r="R46" s="12">
        <v>0</v>
      </c>
      <c r="S46" s="12">
        <v>0</v>
      </c>
      <c r="T46" s="12">
        <v>0</v>
      </c>
      <c r="U46" s="12">
        <v>0</v>
      </c>
      <c r="V46" s="12">
        <v>0</v>
      </c>
      <c r="W46" s="12">
        <v>2399</v>
      </c>
      <c r="X46" s="12">
        <v>1</v>
      </c>
      <c r="Y46" s="12">
        <v>0</v>
      </c>
      <c r="Z46" s="12">
        <v>0</v>
      </c>
      <c r="AA46" s="12">
        <v>10.4</v>
      </c>
      <c r="AB46" s="12">
        <v>2416</v>
      </c>
      <c r="AC46" s="12">
        <v>3160</v>
      </c>
      <c r="AD46" s="12">
        <v>20</v>
      </c>
      <c r="AE46" s="12">
        <v>100</v>
      </c>
      <c r="AF46" s="12">
        <v>0</v>
      </c>
      <c r="AG46" s="12">
        <v>25280</v>
      </c>
      <c r="AH46" s="12">
        <v>8200</v>
      </c>
      <c r="AI46" s="12">
        <v>0</v>
      </c>
      <c r="AJ46" s="12">
        <v>60</v>
      </c>
      <c r="AK46" s="12">
        <v>0</v>
      </c>
      <c r="AL46" s="12">
        <v>4740</v>
      </c>
      <c r="AM46" s="12">
        <v>0</v>
      </c>
      <c r="AN46" s="12">
        <v>0</v>
      </c>
      <c r="AO46" s="12">
        <v>0</v>
      </c>
      <c r="AP46" s="12">
        <v>0</v>
      </c>
      <c r="AQ46" s="12">
        <v>6000</v>
      </c>
      <c r="AR46" s="12">
        <v>0</v>
      </c>
      <c r="AS46" s="12">
        <v>19750</v>
      </c>
      <c r="AT46" s="12">
        <v>20</v>
      </c>
      <c r="AU46" s="12">
        <v>0</v>
      </c>
      <c r="AV46" s="12">
        <v>0</v>
      </c>
      <c r="AW46" s="12">
        <v>6320</v>
      </c>
      <c r="AX46" s="12">
        <v>0</v>
      </c>
      <c r="AY46" s="12">
        <v>0</v>
      </c>
      <c r="AZ46" s="12">
        <v>8800</v>
      </c>
      <c r="BA46" s="12">
        <v>40</v>
      </c>
      <c r="BB46" s="12">
        <v>3700</v>
      </c>
      <c r="BC46" s="12">
        <v>0</v>
      </c>
      <c r="BD46" s="12">
        <v>909355.09</v>
      </c>
      <c r="BE46" s="12">
        <v>0</v>
      </c>
      <c r="BF46" s="12">
        <f t="shared" si="8"/>
        <v>1157700.74</v>
      </c>
      <c r="BG46" s="12">
        <f t="shared" si="9"/>
        <v>159728.25</v>
      </c>
      <c r="BH46" s="12">
        <f t="shared" si="10"/>
        <v>39247.4</v>
      </c>
      <c r="BI46" s="12">
        <f t="shared" si="11"/>
        <v>958725.09</v>
      </c>
    </row>
    <row r="47" spans="1:61" x14ac:dyDescent="0.25">
      <c r="C47" s="7">
        <v>4490</v>
      </c>
      <c r="D47" s="7" t="s">
        <v>574</v>
      </c>
      <c r="E47" s="12">
        <v>0</v>
      </c>
      <c r="F47" s="12">
        <v>0</v>
      </c>
      <c r="G47" s="12">
        <v>0</v>
      </c>
      <c r="H47" s="12">
        <v>0</v>
      </c>
      <c r="I47" s="12">
        <v>0</v>
      </c>
      <c r="J47" s="12">
        <v>0</v>
      </c>
      <c r="K47" s="12">
        <v>0</v>
      </c>
      <c r="L47" s="12">
        <v>0</v>
      </c>
      <c r="M47" s="12">
        <v>0</v>
      </c>
      <c r="N47" s="12">
        <v>0</v>
      </c>
      <c r="O47" s="12">
        <v>8461.2900000000009</v>
      </c>
      <c r="P47" s="12">
        <v>0</v>
      </c>
      <c r="Q47" s="12">
        <v>0</v>
      </c>
      <c r="R47" s="12">
        <v>0</v>
      </c>
      <c r="S47" s="12">
        <v>0</v>
      </c>
      <c r="T47" s="12">
        <v>0</v>
      </c>
      <c r="U47" s="12">
        <v>0</v>
      </c>
      <c r="V47" s="12">
        <v>0</v>
      </c>
      <c r="W47" s="12">
        <v>0</v>
      </c>
      <c r="X47" s="12">
        <v>0</v>
      </c>
      <c r="Y47" s="12">
        <v>0</v>
      </c>
      <c r="Z47" s="12">
        <v>0</v>
      </c>
      <c r="AA47" s="12">
        <v>0</v>
      </c>
      <c r="AB47" s="12">
        <v>0</v>
      </c>
      <c r="AC47" s="12">
        <v>0</v>
      </c>
      <c r="AD47" s="12">
        <v>0</v>
      </c>
      <c r="AE47" s="12">
        <v>0</v>
      </c>
      <c r="AF47" s="12">
        <v>0</v>
      </c>
      <c r="AG47" s="12">
        <v>0</v>
      </c>
      <c r="AH47" s="12">
        <v>0</v>
      </c>
      <c r="AI47" s="12">
        <v>0</v>
      </c>
      <c r="AJ47" s="12">
        <v>0</v>
      </c>
      <c r="AK47" s="12">
        <v>0</v>
      </c>
      <c r="AL47" s="12">
        <v>0</v>
      </c>
      <c r="AM47" s="12">
        <v>0</v>
      </c>
      <c r="AN47" s="12">
        <v>0</v>
      </c>
      <c r="AO47" s="12">
        <v>0</v>
      </c>
      <c r="AP47" s="12">
        <v>0</v>
      </c>
      <c r="AQ47" s="12">
        <v>0</v>
      </c>
      <c r="AR47" s="12">
        <v>0</v>
      </c>
      <c r="AS47" s="12">
        <v>0</v>
      </c>
      <c r="AT47" s="12">
        <v>0</v>
      </c>
      <c r="AU47" s="12">
        <v>0</v>
      </c>
      <c r="AV47" s="12">
        <v>0</v>
      </c>
      <c r="AW47" s="12">
        <v>0</v>
      </c>
      <c r="AX47" s="12">
        <v>0</v>
      </c>
      <c r="AY47" s="12">
        <v>0</v>
      </c>
      <c r="AZ47" s="12">
        <v>0</v>
      </c>
      <c r="BA47" s="12">
        <v>0</v>
      </c>
      <c r="BB47" s="12">
        <v>0</v>
      </c>
      <c r="BC47" s="12">
        <v>0</v>
      </c>
      <c r="BD47" s="12">
        <v>0</v>
      </c>
      <c r="BE47" s="12">
        <v>0</v>
      </c>
      <c r="BF47" s="12">
        <f t="shared" si="8"/>
        <v>8461.2900000000009</v>
      </c>
      <c r="BG47" s="12">
        <f t="shared" si="9"/>
        <v>8461.2900000000009</v>
      </c>
      <c r="BH47" s="12">
        <f t="shared" si="10"/>
        <v>0</v>
      </c>
      <c r="BI47" s="12">
        <f t="shared" si="11"/>
        <v>0</v>
      </c>
    </row>
    <row r="48" spans="1:61" x14ac:dyDescent="0.25">
      <c r="C48" s="7">
        <v>45</v>
      </c>
      <c r="D48" s="7" t="s">
        <v>288</v>
      </c>
      <c r="E48" s="12">
        <v>2234.6</v>
      </c>
      <c r="F48" s="12">
        <v>0</v>
      </c>
      <c r="G48" s="12">
        <v>1088.3499999999999</v>
      </c>
      <c r="H48" s="12">
        <v>0</v>
      </c>
      <c r="I48" s="12">
        <v>15115</v>
      </c>
      <c r="J48" s="12">
        <v>98995.8</v>
      </c>
      <c r="K48" s="12">
        <v>156127.19</v>
      </c>
      <c r="L48" s="12">
        <v>33917.85</v>
      </c>
      <c r="M48" s="12">
        <v>517063.15</v>
      </c>
      <c r="N48" s="12">
        <v>0</v>
      </c>
      <c r="O48" s="12">
        <v>350380.1</v>
      </c>
      <c r="P48" s="12">
        <v>0</v>
      </c>
      <c r="Q48" s="12">
        <v>0</v>
      </c>
      <c r="R48" s="12">
        <v>990.35</v>
      </c>
      <c r="S48" s="12">
        <v>808.7</v>
      </c>
      <c r="T48" s="12">
        <v>1678.65</v>
      </c>
      <c r="U48" s="12">
        <v>0</v>
      </c>
      <c r="V48" s="12">
        <v>444.87</v>
      </c>
      <c r="W48" s="12">
        <v>179280.84</v>
      </c>
      <c r="X48" s="12">
        <v>51302.15</v>
      </c>
      <c r="Y48" s="12">
        <v>8671.75</v>
      </c>
      <c r="Z48" s="12">
        <v>136701.20000000001</v>
      </c>
      <c r="AA48" s="12">
        <v>0</v>
      </c>
      <c r="AB48" s="12">
        <v>169413.48</v>
      </c>
      <c r="AC48" s="12">
        <v>0</v>
      </c>
      <c r="AD48" s="12">
        <v>88471.7</v>
      </c>
      <c r="AE48" s="12">
        <v>2369.5</v>
      </c>
      <c r="AF48" s="12">
        <v>1253.05</v>
      </c>
      <c r="AG48" s="12">
        <v>58798.2</v>
      </c>
      <c r="AH48" s="12">
        <v>9358</v>
      </c>
      <c r="AI48" s="12">
        <v>517</v>
      </c>
      <c r="AJ48" s="12">
        <v>149801.35999999999</v>
      </c>
      <c r="AK48" s="12">
        <v>0</v>
      </c>
      <c r="AL48" s="12">
        <v>44220</v>
      </c>
      <c r="AM48" s="12">
        <v>28000</v>
      </c>
      <c r="AN48" s="12">
        <v>272.8</v>
      </c>
      <c r="AO48" s="12">
        <v>10000</v>
      </c>
      <c r="AP48" s="12">
        <v>1412.5</v>
      </c>
      <c r="AQ48" s="12">
        <v>0</v>
      </c>
      <c r="AR48" s="12">
        <v>856437.03</v>
      </c>
      <c r="AS48" s="12">
        <v>91012.75</v>
      </c>
      <c r="AT48" s="12">
        <v>107462.21</v>
      </c>
      <c r="AU48" s="12">
        <v>60060.6</v>
      </c>
      <c r="AV48" s="12">
        <v>321941.75</v>
      </c>
      <c r="AW48" s="12">
        <v>10958.95</v>
      </c>
      <c r="AX48" s="12">
        <v>436.1</v>
      </c>
      <c r="AY48" s="12">
        <v>792</v>
      </c>
      <c r="AZ48" s="12">
        <v>70983.350000000006</v>
      </c>
      <c r="BA48" s="12">
        <v>4500</v>
      </c>
      <c r="BB48" s="12">
        <v>53022</v>
      </c>
      <c r="BC48" s="12">
        <v>0</v>
      </c>
      <c r="BD48" s="12">
        <v>204344.33</v>
      </c>
      <c r="BE48" s="12">
        <v>56491.9</v>
      </c>
      <c r="BF48" s="12">
        <f t="shared" si="8"/>
        <v>3957131.1100000003</v>
      </c>
      <c r="BG48" s="12">
        <f t="shared" si="9"/>
        <v>1358125.4500000002</v>
      </c>
      <c r="BH48" s="12">
        <f t="shared" si="10"/>
        <v>676657.39</v>
      </c>
      <c r="BI48" s="12">
        <f t="shared" si="11"/>
        <v>1922348.2700000003</v>
      </c>
    </row>
    <row r="49" spans="1:61" x14ac:dyDescent="0.25">
      <c r="C49" s="7">
        <v>46227</v>
      </c>
      <c r="D49" s="7" t="s">
        <v>286</v>
      </c>
      <c r="E49" s="12">
        <v>0</v>
      </c>
      <c r="F49" s="12">
        <v>127563</v>
      </c>
      <c r="G49" s="12">
        <v>65232</v>
      </c>
      <c r="H49" s="12">
        <v>137174</v>
      </c>
      <c r="I49" s="12">
        <v>1350784</v>
      </c>
      <c r="J49" s="12">
        <v>15099</v>
      </c>
      <c r="K49" s="12">
        <v>0</v>
      </c>
      <c r="L49" s="12">
        <v>0</v>
      </c>
      <c r="M49" s="12">
        <v>56476</v>
      </c>
      <c r="N49" s="12">
        <v>127244</v>
      </c>
      <c r="O49" s="12">
        <v>2422025</v>
      </c>
      <c r="P49" s="12">
        <v>301970</v>
      </c>
      <c r="Q49" s="12">
        <v>68749</v>
      </c>
      <c r="R49" s="12">
        <v>142304</v>
      </c>
      <c r="S49" s="12">
        <v>223270</v>
      </c>
      <c r="T49" s="12">
        <v>0</v>
      </c>
      <c r="U49" s="12">
        <v>110822</v>
      </c>
      <c r="V49" s="12">
        <v>0</v>
      </c>
      <c r="W49" s="12">
        <v>1141852</v>
      </c>
      <c r="X49" s="12">
        <v>34964</v>
      </c>
      <c r="Y49" s="12">
        <v>22802</v>
      </c>
      <c r="Z49" s="12">
        <v>27962</v>
      </c>
      <c r="AA49" s="12">
        <v>44458</v>
      </c>
      <c r="AB49" s="12">
        <v>83800</v>
      </c>
      <c r="AC49" s="12">
        <v>92618</v>
      </c>
      <c r="AD49" s="12">
        <v>289439</v>
      </c>
      <c r="AE49" s="12">
        <v>261508</v>
      </c>
      <c r="AF49" s="12">
        <v>0</v>
      </c>
      <c r="AG49" s="12">
        <v>0</v>
      </c>
      <c r="AH49" s="12">
        <v>303952</v>
      </c>
      <c r="AI49" s="12">
        <v>34404</v>
      </c>
      <c r="AJ49" s="12">
        <v>84728</v>
      </c>
      <c r="AK49" s="12">
        <v>255372</v>
      </c>
      <c r="AL49" s="12">
        <v>651960</v>
      </c>
      <c r="AM49" s="12">
        <v>554244</v>
      </c>
      <c r="AN49" s="12">
        <v>20060</v>
      </c>
      <c r="AO49" s="12">
        <v>0</v>
      </c>
      <c r="AP49" s="12">
        <v>0</v>
      </c>
      <c r="AQ49" s="12">
        <v>62218</v>
      </c>
      <c r="AR49" s="12">
        <v>355906</v>
      </c>
      <c r="AS49" s="12">
        <v>337284</v>
      </c>
      <c r="AT49" s="12">
        <v>307002</v>
      </c>
      <c r="AU49" s="12">
        <v>0</v>
      </c>
      <c r="AV49" s="12">
        <v>352294</v>
      </c>
      <c r="AW49" s="12">
        <v>29564</v>
      </c>
      <c r="AX49" s="12">
        <v>75954</v>
      </c>
      <c r="AY49" s="12">
        <v>137830</v>
      </c>
      <c r="AZ49" s="12">
        <v>227354</v>
      </c>
      <c r="BA49" s="12">
        <v>147394</v>
      </c>
      <c r="BB49" s="12">
        <v>0</v>
      </c>
      <c r="BC49" s="12">
        <v>138528</v>
      </c>
      <c r="BD49" s="12">
        <v>0</v>
      </c>
      <c r="BE49" s="12">
        <v>204894</v>
      </c>
      <c r="BF49" s="12">
        <f t="shared" si="8"/>
        <v>11429057</v>
      </c>
      <c r="BG49" s="12">
        <f t="shared" si="9"/>
        <v>6290564</v>
      </c>
      <c r="BH49" s="12">
        <f t="shared" si="10"/>
        <v>1280635</v>
      </c>
      <c r="BI49" s="12">
        <f t="shared" si="11"/>
        <v>3857858</v>
      </c>
    </row>
    <row r="50" spans="1:61" x14ac:dyDescent="0.25">
      <c r="C50" s="7">
        <v>46228</v>
      </c>
      <c r="D50" s="7" t="s">
        <v>271</v>
      </c>
      <c r="E50" s="12">
        <v>0</v>
      </c>
      <c r="F50" s="12">
        <v>0</v>
      </c>
      <c r="G50" s="12">
        <v>0</v>
      </c>
      <c r="H50" s="12">
        <v>0</v>
      </c>
      <c r="I50" s="12">
        <v>0</v>
      </c>
      <c r="J50" s="12">
        <v>0</v>
      </c>
      <c r="K50" s="12">
        <v>0</v>
      </c>
      <c r="L50" s="12">
        <v>882357.8</v>
      </c>
      <c r="M50" s="12">
        <v>0</v>
      </c>
      <c r="N50" s="12">
        <v>0</v>
      </c>
      <c r="O50" s="12">
        <v>0</v>
      </c>
      <c r="P50" s="12">
        <v>0</v>
      </c>
      <c r="Q50" s="12">
        <v>0</v>
      </c>
      <c r="R50" s="12">
        <v>0</v>
      </c>
      <c r="S50" s="12">
        <v>0</v>
      </c>
      <c r="T50" s="12">
        <v>0</v>
      </c>
      <c r="U50" s="12">
        <v>0</v>
      </c>
      <c r="V50" s="12">
        <v>0</v>
      </c>
      <c r="W50" s="12">
        <v>0</v>
      </c>
      <c r="X50" s="12">
        <v>0</v>
      </c>
      <c r="Y50" s="12">
        <v>0</v>
      </c>
      <c r="Z50" s="12">
        <v>0</v>
      </c>
      <c r="AA50" s="12">
        <v>44</v>
      </c>
      <c r="AB50" s="12">
        <v>0</v>
      </c>
      <c r="AC50" s="12">
        <v>0</v>
      </c>
      <c r="AD50" s="12">
        <v>0</v>
      </c>
      <c r="AE50" s="12">
        <v>0</v>
      </c>
      <c r="AF50" s="12">
        <v>0</v>
      </c>
      <c r="AG50" s="12">
        <v>0</v>
      </c>
      <c r="AH50" s="12">
        <v>0</v>
      </c>
      <c r="AI50" s="12">
        <v>0</v>
      </c>
      <c r="AJ50" s="12">
        <v>0</v>
      </c>
      <c r="AK50" s="12">
        <v>0</v>
      </c>
      <c r="AL50" s="12">
        <v>0</v>
      </c>
      <c r="AM50" s="12">
        <v>0</v>
      </c>
      <c r="AN50" s="12">
        <v>0</v>
      </c>
      <c r="AO50" s="12">
        <v>0</v>
      </c>
      <c r="AP50" s="12">
        <v>0</v>
      </c>
      <c r="AQ50" s="12">
        <v>0</v>
      </c>
      <c r="AR50" s="12">
        <v>0</v>
      </c>
      <c r="AS50" s="12">
        <v>0</v>
      </c>
      <c r="AT50" s="12">
        <v>0</v>
      </c>
      <c r="AU50" s="12">
        <v>0</v>
      </c>
      <c r="AV50" s="12">
        <v>0</v>
      </c>
      <c r="AW50" s="12">
        <v>0</v>
      </c>
      <c r="AX50" s="12">
        <v>0</v>
      </c>
      <c r="AY50" s="12">
        <v>0</v>
      </c>
      <c r="AZ50" s="12">
        <v>0</v>
      </c>
      <c r="BA50" s="12">
        <v>0</v>
      </c>
      <c r="BB50" s="12">
        <v>0</v>
      </c>
      <c r="BC50" s="12">
        <v>0</v>
      </c>
      <c r="BD50" s="12">
        <v>417386.85</v>
      </c>
      <c r="BE50" s="12">
        <v>0</v>
      </c>
      <c r="BF50" s="12">
        <f t="shared" si="8"/>
        <v>1299788.6499999999</v>
      </c>
      <c r="BG50" s="12">
        <f t="shared" si="9"/>
        <v>882357.8</v>
      </c>
      <c r="BH50" s="12">
        <f t="shared" si="10"/>
        <v>44</v>
      </c>
      <c r="BI50" s="12">
        <f t="shared" si="11"/>
        <v>417386.85</v>
      </c>
    </row>
    <row r="51" spans="1:61" x14ac:dyDescent="0.25">
      <c r="C51" s="7">
        <v>47</v>
      </c>
      <c r="D51" s="7" t="s">
        <v>118</v>
      </c>
      <c r="E51" s="12">
        <v>0</v>
      </c>
      <c r="F51" s="12">
        <v>0</v>
      </c>
      <c r="G51" s="12">
        <v>0</v>
      </c>
      <c r="H51" s="12">
        <v>0</v>
      </c>
      <c r="I51" s="12">
        <v>0</v>
      </c>
      <c r="J51" s="12">
        <v>0</v>
      </c>
      <c r="K51" s="12">
        <v>0</v>
      </c>
      <c r="L51" s="12">
        <v>0</v>
      </c>
      <c r="M51" s="12">
        <v>0</v>
      </c>
      <c r="N51" s="12">
        <v>0</v>
      </c>
      <c r="O51" s="12">
        <v>0</v>
      </c>
      <c r="P51" s="12">
        <v>0</v>
      </c>
      <c r="Q51" s="12">
        <v>0</v>
      </c>
      <c r="R51" s="12">
        <v>0</v>
      </c>
      <c r="S51" s="12">
        <v>0</v>
      </c>
      <c r="T51" s="12">
        <v>0</v>
      </c>
      <c r="U51" s="12">
        <v>0</v>
      </c>
      <c r="V51" s="12">
        <v>0</v>
      </c>
      <c r="W51" s="12">
        <v>0</v>
      </c>
      <c r="X51" s="12">
        <v>0</v>
      </c>
      <c r="Y51" s="12">
        <v>0</v>
      </c>
      <c r="Z51" s="12">
        <v>428988.05</v>
      </c>
      <c r="AA51" s="12">
        <v>159801.5</v>
      </c>
      <c r="AB51" s="12">
        <v>202119.25</v>
      </c>
      <c r="AC51" s="12">
        <v>157194.6</v>
      </c>
      <c r="AD51" s="12">
        <v>0</v>
      </c>
      <c r="AE51" s="12">
        <v>239155.5</v>
      </c>
      <c r="AF51" s="12">
        <v>593825.5</v>
      </c>
      <c r="AG51" s="12">
        <v>420715.45</v>
      </c>
      <c r="AH51" s="12">
        <v>0</v>
      </c>
      <c r="AI51" s="12">
        <v>4182</v>
      </c>
      <c r="AJ51" s="12">
        <v>0</v>
      </c>
      <c r="AK51" s="12">
        <v>0</v>
      </c>
      <c r="AL51" s="12">
        <v>0</v>
      </c>
      <c r="AM51" s="12">
        <v>0</v>
      </c>
      <c r="AN51" s="12">
        <v>0</v>
      </c>
      <c r="AO51" s="12">
        <v>0</v>
      </c>
      <c r="AP51" s="12">
        <v>0</v>
      </c>
      <c r="AQ51" s="12">
        <v>0</v>
      </c>
      <c r="AR51" s="12">
        <v>56609.599999999999</v>
      </c>
      <c r="AS51" s="12">
        <v>0</v>
      </c>
      <c r="AT51" s="12">
        <v>0</v>
      </c>
      <c r="AU51" s="12">
        <v>0</v>
      </c>
      <c r="AV51" s="12">
        <v>79792.399999999994</v>
      </c>
      <c r="AW51" s="12">
        <v>0</v>
      </c>
      <c r="AX51" s="12">
        <v>0</v>
      </c>
      <c r="AY51" s="12">
        <v>0</v>
      </c>
      <c r="AZ51" s="12">
        <v>0</v>
      </c>
      <c r="BA51" s="12">
        <v>0</v>
      </c>
      <c r="BB51" s="12">
        <v>0</v>
      </c>
      <c r="BC51" s="12">
        <v>0</v>
      </c>
      <c r="BD51" s="12">
        <v>0</v>
      </c>
      <c r="BE51" s="12">
        <v>0</v>
      </c>
      <c r="BF51" s="12">
        <f t="shared" si="8"/>
        <v>2342383.85</v>
      </c>
      <c r="BG51" s="12">
        <f t="shared" si="9"/>
        <v>0</v>
      </c>
      <c r="BH51" s="12">
        <f t="shared" si="10"/>
        <v>2205981.85</v>
      </c>
      <c r="BI51" s="12">
        <f t="shared" si="11"/>
        <v>136402</v>
      </c>
    </row>
    <row r="52" spans="1:61" x14ac:dyDescent="0.25">
      <c r="C52" s="7">
        <v>489</v>
      </c>
      <c r="D52" s="7" t="s">
        <v>290</v>
      </c>
      <c r="E52" s="12">
        <v>7472.67</v>
      </c>
      <c r="F52" s="12">
        <v>0</v>
      </c>
      <c r="G52" s="12">
        <v>0</v>
      </c>
      <c r="H52" s="12">
        <v>0</v>
      </c>
      <c r="I52" s="12">
        <v>0</v>
      </c>
      <c r="J52" s="12">
        <v>190359.86</v>
      </c>
      <c r="K52" s="12">
        <v>0</v>
      </c>
      <c r="L52" s="12">
        <v>2500000</v>
      </c>
      <c r="M52" s="12">
        <v>10700</v>
      </c>
      <c r="N52" s="12">
        <v>0</v>
      </c>
      <c r="O52" s="12">
        <v>60684.04</v>
      </c>
      <c r="P52" s="12">
        <v>29578.3</v>
      </c>
      <c r="Q52" s="12">
        <v>0</v>
      </c>
      <c r="R52" s="12">
        <v>0</v>
      </c>
      <c r="S52" s="12">
        <v>240001.25</v>
      </c>
      <c r="T52" s="12">
        <v>26100</v>
      </c>
      <c r="U52" s="12">
        <v>40667.550000000003</v>
      </c>
      <c r="V52" s="12">
        <v>0</v>
      </c>
      <c r="W52" s="12">
        <v>133028</v>
      </c>
      <c r="X52" s="12">
        <v>0</v>
      </c>
      <c r="Y52" s="12">
        <v>0</v>
      </c>
      <c r="Z52" s="12">
        <v>0</v>
      </c>
      <c r="AA52" s="12">
        <v>0</v>
      </c>
      <c r="AB52" s="12">
        <v>0</v>
      </c>
      <c r="AC52" s="12">
        <v>0</v>
      </c>
      <c r="AD52" s="12">
        <v>0</v>
      </c>
      <c r="AE52" s="12">
        <v>96</v>
      </c>
      <c r="AF52" s="12">
        <v>0</v>
      </c>
      <c r="AG52" s="12">
        <v>0</v>
      </c>
      <c r="AH52" s="12">
        <v>0</v>
      </c>
      <c r="AI52" s="12">
        <v>0</v>
      </c>
      <c r="AJ52" s="12">
        <v>0</v>
      </c>
      <c r="AK52" s="12">
        <v>0</v>
      </c>
      <c r="AL52" s="12">
        <v>40000</v>
      </c>
      <c r="AM52" s="12">
        <v>0</v>
      </c>
      <c r="AN52" s="12">
        <v>4800</v>
      </c>
      <c r="AO52" s="12">
        <v>0</v>
      </c>
      <c r="AP52" s="12">
        <v>0</v>
      </c>
      <c r="AQ52" s="12">
        <v>130567</v>
      </c>
      <c r="AR52" s="12">
        <v>0</v>
      </c>
      <c r="AS52" s="12">
        <v>422</v>
      </c>
      <c r="AT52" s="12">
        <v>20000</v>
      </c>
      <c r="AU52" s="12">
        <v>50338</v>
      </c>
      <c r="AV52" s="12">
        <v>0</v>
      </c>
      <c r="AW52" s="12">
        <v>633</v>
      </c>
      <c r="AX52" s="12">
        <v>5207</v>
      </c>
      <c r="AY52" s="12">
        <v>0</v>
      </c>
      <c r="AZ52" s="12">
        <v>151597</v>
      </c>
      <c r="BA52" s="12">
        <v>319</v>
      </c>
      <c r="BB52" s="12">
        <v>1083</v>
      </c>
      <c r="BC52" s="12">
        <v>235</v>
      </c>
      <c r="BD52" s="12">
        <v>500000</v>
      </c>
      <c r="BE52" s="12">
        <v>0</v>
      </c>
      <c r="BF52" s="12">
        <f t="shared" si="8"/>
        <v>4143888.6699999995</v>
      </c>
      <c r="BG52" s="12">
        <f t="shared" si="9"/>
        <v>3238591.6699999995</v>
      </c>
      <c r="BH52" s="12">
        <f t="shared" si="10"/>
        <v>96</v>
      </c>
      <c r="BI52" s="12">
        <f t="shared" si="11"/>
        <v>905201</v>
      </c>
    </row>
    <row r="53" spans="1:61" x14ac:dyDescent="0.25">
      <c r="C53" s="7">
        <v>4896</v>
      </c>
      <c r="D53" s="7" t="s">
        <v>575</v>
      </c>
      <c r="E53" s="12">
        <v>0</v>
      </c>
      <c r="F53" s="12">
        <v>0</v>
      </c>
      <c r="G53" s="12">
        <v>0</v>
      </c>
      <c r="H53" s="12">
        <v>0</v>
      </c>
      <c r="I53" s="12">
        <v>0</v>
      </c>
      <c r="J53" s="12">
        <v>0</v>
      </c>
      <c r="K53" s="12">
        <v>0</v>
      </c>
      <c r="L53" s="12">
        <v>0</v>
      </c>
      <c r="M53" s="12">
        <v>0</v>
      </c>
      <c r="N53" s="12">
        <v>0</v>
      </c>
      <c r="O53" s="12">
        <v>0</v>
      </c>
      <c r="P53" s="12">
        <v>0</v>
      </c>
      <c r="Q53" s="12">
        <v>0</v>
      </c>
      <c r="R53" s="12">
        <v>0</v>
      </c>
      <c r="S53" s="12">
        <v>0</v>
      </c>
      <c r="T53" s="12">
        <v>0</v>
      </c>
      <c r="U53" s="12">
        <v>0</v>
      </c>
      <c r="V53" s="12">
        <v>0</v>
      </c>
      <c r="W53" s="12">
        <v>0</v>
      </c>
      <c r="X53" s="12">
        <v>0</v>
      </c>
      <c r="Y53" s="12">
        <v>0</v>
      </c>
      <c r="Z53" s="12">
        <v>0</v>
      </c>
      <c r="AA53" s="12">
        <v>0</v>
      </c>
      <c r="AB53" s="12">
        <v>0</v>
      </c>
      <c r="AC53" s="12">
        <v>0</v>
      </c>
      <c r="AD53" s="12">
        <v>0</v>
      </c>
      <c r="AE53" s="12">
        <v>0</v>
      </c>
      <c r="AF53" s="12">
        <v>0</v>
      </c>
      <c r="AG53" s="12">
        <v>0</v>
      </c>
      <c r="AH53" s="12">
        <v>0</v>
      </c>
      <c r="AI53" s="12">
        <v>0</v>
      </c>
      <c r="AJ53" s="12">
        <v>0</v>
      </c>
      <c r="AK53" s="12">
        <v>0</v>
      </c>
      <c r="AL53" s="12">
        <v>0</v>
      </c>
      <c r="AM53" s="12">
        <v>0</v>
      </c>
      <c r="AN53" s="12">
        <v>0</v>
      </c>
      <c r="AO53" s="12">
        <v>0</v>
      </c>
      <c r="AP53" s="12">
        <v>0</v>
      </c>
      <c r="AQ53" s="12">
        <v>0</v>
      </c>
      <c r="AR53" s="12">
        <v>0</v>
      </c>
      <c r="AS53" s="12">
        <v>0</v>
      </c>
      <c r="AT53" s="12">
        <v>0</v>
      </c>
      <c r="AU53" s="12">
        <v>0</v>
      </c>
      <c r="AV53" s="12">
        <v>0</v>
      </c>
      <c r="AW53" s="12">
        <v>0</v>
      </c>
      <c r="AX53" s="12">
        <v>0</v>
      </c>
      <c r="AY53" s="12">
        <v>0</v>
      </c>
      <c r="AZ53" s="12">
        <v>0</v>
      </c>
      <c r="BA53" s="12">
        <v>0</v>
      </c>
      <c r="BB53" s="12">
        <v>0</v>
      </c>
      <c r="BC53" s="12">
        <v>0</v>
      </c>
      <c r="BD53" s="12">
        <v>0</v>
      </c>
      <c r="BE53" s="12">
        <v>0</v>
      </c>
      <c r="BF53" s="12">
        <f t="shared" si="8"/>
        <v>0</v>
      </c>
      <c r="BG53" s="12">
        <f t="shared" si="9"/>
        <v>0</v>
      </c>
      <c r="BH53" s="12">
        <f t="shared" si="10"/>
        <v>0</v>
      </c>
      <c r="BI53" s="12">
        <f t="shared" si="11"/>
        <v>0</v>
      </c>
    </row>
    <row r="54" spans="1:61" x14ac:dyDescent="0.25">
      <c r="C54" s="7">
        <v>49</v>
      </c>
      <c r="D54" s="7" t="s">
        <v>127</v>
      </c>
      <c r="E54" s="12">
        <v>0</v>
      </c>
      <c r="F54" s="12">
        <v>23995.279999999999</v>
      </c>
      <c r="G54" s="12">
        <v>10960.2</v>
      </c>
      <c r="H54" s="12">
        <v>40456</v>
      </c>
      <c r="I54" s="12">
        <v>311300</v>
      </c>
      <c r="J54" s="12">
        <v>65470</v>
      </c>
      <c r="K54" s="12">
        <v>185959.25</v>
      </c>
      <c r="L54" s="12">
        <v>4472239.75</v>
      </c>
      <c r="M54" s="12">
        <v>88638.64</v>
      </c>
      <c r="N54" s="12">
        <v>9074.49</v>
      </c>
      <c r="O54" s="12">
        <v>186891</v>
      </c>
      <c r="P54" s="12">
        <v>29305.55</v>
      </c>
      <c r="Q54" s="12">
        <v>500</v>
      </c>
      <c r="R54" s="12">
        <v>57467.6</v>
      </c>
      <c r="S54" s="12">
        <v>0</v>
      </c>
      <c r="T54" s="12">
        <v>0</v>
      </c>
      <c r="U54" s="12">
        <v>0</v>
      </c>
      <c r="V54" s="12">
        <v>59200</v>
      </c>
      <c r="W54" s="12">
        <v>111300</v>
      </c>
      <c r="X54" s="12">
        <v>0</v>
      </c>
      <c r="Y54" s="12">
        <v>0</v>
      </c>
      <c r="Z54" s="12">
        <v>84000</v>
      </c>
      <c r="AA54" s="12">
        <v>15194</v>
      </c>
      <c r="AB54" s="12">
        <v>0</v>
      </c>
      <c r="AC54" s="12">
        <v>0</v>
      </c>
      <c r="AD54" s="12">
        <v>0</v>
      </c>
      <c r="AE54" s="12">
        <v>42750</v>
      </c>
      <c r="AF54" s="12">
        <v>109873.3</v>
      </c>
      <c r="AG54" s="12">
        <v>7274.65</v>
      </c>
      <c r="AH54" s="12">
        <v>30500</v>
      </c>
      <c r="AI54" s="12">
        <v>0</v>
      </c>
      <c r="AJ54" s="12">
        <v>0</v>
      </c>
      <c r="AK54" s="12">
        <v>93000</v>
      </c>
      <c r="AL54" s="12">
        <v>60365</v>
      </c>
      <c r="AM54" s="12">
        <v>3520</v>
      </c>
      <c r="AN54" s="12">
        <v>240</v>
      </c>
      <c r="AO54" s="12">
        <v>68595.55</v>
      </c>
      <c r="AP54" s="12">
        <v>101766.8</v>
      </c>
      <c r="AQ54" s="12">
        <v>0</v>
      </c>
      <c r="AR54" s="12">
        <v>0</v>
      </c>
      <c r="AS54" s="12">
        <v>121643.75</v>
      </c>
      <c r="AT54" s="12">
        <v>39687.449999999997</v>
      </c>
      <c r="AU54" s="12">
        <v>200</v>
      </c>
      <c r="AV54" s="12">
        <v>57192.25</v>
      </c>
      <c r="AW54" s="12">
        <v>0</v>
      </c>
      <c r="AX54" s="12">
        <v>7038.5</v>
      </c>
      <c r="AY54" s="12">
        <v>0</v>
      </c>
      <c r="AZ54" s="12">
        <v>0</v>
      </c>
      <c r="BA54" s="12">
        <v>0</v>
      </c>
      <c r="BB54" s="12">
        <v>46286</v>
      </c>
      <c r="BC54" s="12">
        <v>0</v>
      </c>
      <c r="BD54" s="12">
        <v>0</v>
      </c>
      <c r="BE54" s="12">
        <v>15500</v>
      </c>
      <c r="BF54" s="12">
        <f t="shared" si="8"/>
        <v>6557385.0099999998</v>
      </c>
      <c r="BG54" s="12">
        <f t="shared" si="9"/>
        <v>5652757.7599999998</v>
      </c>
      <c r="BH54" s="12">
        <f t="shared" si="10"/>
        <v>289591.94999999995</v>
      </c>
      <c r="BI54" s="12">
        <f t="shared" si="11"/>
        <v>615035.30000000005</v>
      </c>
    </row>
    <row r="55" spans="1:61" x14ac:dyDescent="0.25">
      <c r="C55" s="7">
        <v>90</v>
      </c>
      <c r="D55" s="7" t="s">
        <v>855</v>
      </c>
      <c r="E55" s="15">
        <v>-206117.81</v>
      </c>
      <c r="F55" s="15">
        <v>-230931.74</v>
      </c>
      <c r="G55" s="15">
        <v>277440.62</v>
      </c>
      <c r="H55" s="15">
        <v>-54896.01</v>
      </c>
      <c r="I55" s="15">
        <v>166774</v>
      </c>
      <c r="J55" s="15">
        <v>317395</v>
      </c>
      <c r="K55" s="15">
        <v>23773.27</v>
      </c>
      <c r="L55" s="15">
        <v>-1042128.57</v>
      </c>
      <c r="M55" s="15">
        <v>-288991.67</v>
      </c>
      <c r="N55" s="15">
        <v>5101.07</v>
      </c>
      <c r="O55" s="15">
        <v>383432.05</v>
      </c>
      <c r="P55" s="15">
        <v>-86729.27</v>
      </c>
      <c r="Q55" s="15">
        <v>27333.61</v>
      </c>
      <c r="R55" s="78">
        <v>-32883.71</v>
      </c>
      <c r="S55" s="15">
        <v>137834.76999999999</v>
      </c>
      <c r="T55" s="15">
        <v>100618.68</v>
      </c>
      <c r="U55" s="15">
        <v>-52483.040000000001</v>
      </c>
      <c r="V55" s="15">
        <v>-34441.11</v>
      </c>
      <c r="W55" s="15">
        <v>418445.06</v>
      </c>
      <c r="X55" s="15">
        <v>64094.42</v>
      </c>
      <c r="Y55" s="15">
        <v>762175.92</v>
      </c>
      <c r="Z55" s="15">
        <v>1866501.58</v>
      </c>
      <c r="AA55" s="15">
        <v>-116577.55</v>
      </c>
      <c r="AB55" s="15">
        <v>37709.21</v>
      </c>
      <c r="AC55" s="15">
        <v>7580.24</v>
      </c>
      <c r="AD55" s="15">
        <v>54270.14</v>
      </c>
      <c r="AE55" s="15">
        <v>-258305.8</v>
      </c>
      <c r="AF55" s="78">
        <v>-209245.59</v>
      </c>
      <c r="AG55" s="15">
        <v>570704.15</v>
      </c>
      <c r="AH55" s="15">
        <v>89717.45</v>
      </c>
      <c r="AI55" s="15">
        <v>48632.11</v>
      </c>
      <c r="AJ55" s="15">
        <v>-49352.77</v>
      </c>
      <c r="AK55" s="15">
        <v>617262.02</v>
      </c>
      <c r="AL55" s="15">
        <v>42549</v>
      </c>
      <c r="AM55" s="15">
        <v>-22426.21</v>
      </c>
      <c r="AN55" s="15">
        <v>-9442.24</v>
      </c>
      <c r="AO55" s="15">
        <v>53245.440000000002</v>
      </c>
      <c r="AP55" s="15">
        <v>-28465.24</v>
      </c>
      <c r="AQ55" s="15">
        <v>-105515</v>
      </c>
      <c r="AR55" s="15">
        <v>1535.82</v>
      </c>
      <c r="AS55" s="15">
        <v>163520.98000000001</v>
      </c>
      <c r="AT55" s="78">
        <v>-154372.34</v>
      </c>
      <c r="AU55" s="15">
        <v>-213500.08</v>
      </c>
      <c r="AV55" s="15">
        <v>34266.46</v>
      </c>
      <c r="AW55" s="15">
        <v>51005.88</v>
      </c>
      <c r="AX55" s="15">
        <v>-44181.13</v>
      </c>
      <c r="AY55" s="15">
        <v>-87327.44</v>
      </c>
      <c r="AZ55" s="15">
        <v>7224.15</v>
      </c>
      <c r="BA55" s="15">
        <v>251.69</v>
      </c>
      <c r="BB55" s="15">
        <v>135911</v>
      </c>
      <c r="BC55" s="15">
        <v>1611.37</v>
      </c>
      <c r="BD55" s="15">
        <v>1042023.45</v>
      </c>
      <c r="BE55" s="15">
        <v>53968.13</v>
      </c>
      <c r="BF55" s="15">
        <f t="shared" si="8"/>
        <v>4235594.42</v>
      </c>
      <c r="BG55" s="15">
        <f t="shared" si="9"/>
        <v>-171454.8</v>
      </c>
      <c r="BH55" s="15">
        <f t="shared" si="10"/>
        <v>2867903.5100000007</v>
      </c>
      <c r="BI55" s="15">
        <f t="shared" si="11"/>
        <v>1539145.71</v>
      </c>
    </row>
    <row r="56" spans="1:61" x14ac:dyDescent="0.25">
      <c r="C56" s="7">
        <v>9029</v>
      </c>
      <c r="D56" s="7" t="s">
        <v>856</v>
      </c>
      <c r="E56" s="12">
        <v>0</v>
      </c>
      <c r="F56" s="12">
        <v>0</v>
      </c>
      <c r="G56" s="12">
        <v>0</v>
      </c>
      <c r="H56" s="12">
        <v>0</v>
      </c>
      <c r="I56" s="12">
        <v>0</v>
      </c>
      <c r="J56" s="12">
        <v>0</v>
      </c>
      <c r="K56" s="12">
        <v>0</v>
      </c>
      <c r="L56" s="12">
        <v>2211365.17</v>
      </c>
      <c r="M56" s="12">
        <v>0</v>
      </c>
      <c r="N56" s="12">
        <v>0</v>
      </c>
      <c r="O56" s="12">
        <v>0</v>
      </c>
      <c r="P56" s="12">
        <v>0</v>
      </c>
      <c r="Q56" s="12">
        <v>0</v>
      </c>
      <c r="R56" s="12">
        <v>0</v>
      </c>
      <c r="S56" s="12">
        <v>0</v>
      </c>
      <c r="T56" s="12">
        <v>0</v>
      </c>
      <c r="U56" s="12">
        <v>0</v>
      </c>
      <c r="V56" s="12">
        <v>0</v>
      </c>
      <c r="W56" s="12">
        <v>0</v>
      </c>
      <c r="X56" s="12">
        <v>0</v>
      </c>
      <c r="Y56" s="12">
        <v>0</v>
      </c>
      <c r="Z56" s="12">
        <v>0</v>
      </c>
      <c r="AA56" s="12">
        <v>0</v>
      </c>
      <c r="AB56" s="12">
        <v>0</v>
      </c>
      <c r="AC56" s="12">
        <v>0</v>
      </c>
      <c r="AD56" s="12">
        <v>0</v>
      </c>
      <c r="AE56" s="12">
        <v>0</v>
      </c>
      <c r="AF56" s="12">
        <v>0</v>
      </c>
      <c r="AG56" s="12">
        <v>0</v>
      </c>
      <c r="AH56" s="12">
        <v>0</v>
      </c>
      <c r="AI56" s="12">
        <v>0</v>
      </c>
      <c r="AJ56" s="12">
        <v>0</v>
      </c>
      <c r="AK56" s="12">
        <v>0</v>
      </c>
      <c r="AL56" s="12">
        <v>0</v>
      </c>
      <c r="AM56" s="12">
        <v>0</v>
      </c>
      <c r="AN56" s="12">
        <v>0</v>
      </c>
      <c r="AO56" s="12">
        <v>0</v>
      </c>
      <c r="AP56" s="12">
        <v>0</v>
      </c>
      <c r="AQ56" s="12">
        <v>0</v>
      </c>
      <c r="AR56" s="12">
        <v>0</v>
      </c>
      <c r="AS56" s="12">
        <v>0</v>
      </c>
      <c r="AT56" s="12">
        <v>0</v>
      </c>
      <c r="AU56" s="12">
        <v>0</v>
      </c>
      <c r="AV56" s="12">
        <v>0</v>
      </c>
      <c r="AW56" s="12">
        <v>0</v>
      </c>
      <c r="AX56" s="12">
        <v>0</v>
      </c>
      <c r="AY56" s="12">
        <v>0</v>
      </c>
      <c r="AZ56" s="12">
        <v>0</v>
      </c>
      <c r="BA56" s="12">
        <v>0</v>
      </c>
      <c r="BB56" s="12">
        <v>0</v>
      </c>
      <c r="BC56" s="12">
        <v>0</v>
      </c>
      <c r="BD56" s="12">
        <v>0</v>
      </c>
      <c r="BE56" s="12">
        <v>0</v>
      </c>
      <c r="BF56" s="12">
        <f t="shared" si="8"/>
        <v>2211365.17</v>
      </c>
      <c r="BG56" s="12">
        <f t="shared" si="9"/>
        <v>2211365.17</v>
      </c>
      <c r="BH56" s="12">
        <f t="shared" si="10"/>
        <v>0</v>
      </c>
      <c r="BI56" s="12">
        <f t="shared" si="11"/>
        <v>0</v>
      </c>
    </row>
    <row r="57" spans="1:61" x14ac:dyDescent="0.25">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row>
    <row r="58" spans="1:61" ht="21" x14ac:dyDescent="0.4">
      <c r="A58" s="22">
        <v>5</v>
      </c>
      <c r="B58" s="22"/>
      <c r="C58" s="22"/>
      <c r="D58" s="22" t="s">
        <v>293</v>
      </c>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row>
    <row r="59" spans="1:61" x14ac:dyDescent="0.25">
      <c r="C59" s="7">
        <v>690</v>
      </c>
      <c r="D59" s="7" t="s">
        <v>626</v>
      </c>
      <c r="E59" s="12">
        <f>'6.1 Investissements'!E179</f>
        <v>371702.39</v>
      </c>
      <c r="F59" s="12">
        <f>'6.1 Investissements'!F179</f>
        <v>28081.5</v>
      </c>
      <c r="G59" s="12">
        <f>'6.1 Investissements'!G179</f>
        <v>242182.39999999999</v>
      </c>
      <c r="H59" s="12">
        <f>'6.1 Investissements'!H179</f>
        <v>62259.15</v>
      </c>
      <c r="I59" s="12">
        <f>'6.1 Investissements'!I179</f>
        <v>2378465.62</v>
      </c>
      <c r="J59" s="12">
        <f>'6.1 Investissements'!J179</f>
        <v>2202642.27</v>
      </c>
      <c r="K59" s="12">
        <f>'6.1 Investissements'!K179</f>
        <v>979069.46</v>
      </c>
      <c r="L59" s="12">
        <f>'6.1 Investissements'!L179</f>
        <v>12017308.6</v>
      </c>
      <c r="M59" s="12">
        <f>'6.1 Investissements'!M179</f>
        <v>1910906.37</v>
      </c>
      <c r="N59" s="12">
        <f>'6.1 Investissements'!N179</f>
        <v>41267.75</v>
      </c>
      <c r="O59" s="12">
        <f>'6.1 Investissements'!O179</f>
        <v>5431484.6500000004</v>
      </c>
      <c r="P59" s="12">
        <f>'6.1 Investissements'!P179</f>
        <v>50979.71</v>
      </c>
      <c r="Q59" s="12">
        <f>'6.1 Investissements'!Q179</f>
        <v>2188.15</v>
      </c>
      <c r="R59" s="12">
        <f>'6.1 Investissements'!R179</f>
        <v>43432.21</v>
      </c>
      <c r="S59" s="12">
        <f>'6.1 Investissements'!S179</f>
        <v>209.25</v>
      </c>
      <c r="T59" s="12">
        <f>'6.1 Investissements'!T179</f>
        <v>198621.2</v>
      </c>
      <c r="U59" s="12">
        <f>'6.1 Investissements'!U179</f>
        <v>112192.75</v>
      </c>
      <c r="V59" s="12">
        <f>'6.1 Investissements'!V179</f>
        <v>65376</v>
      </c>
      <c r="W59" s="12">
        <f>'6.1 Investissements'!W179</f>
        <v>4915498.45</v>
      </c>
      <c r="X59" s="12">
        <f>'6.1 Investissements'!X179</f>
        <v>331568.45</v>
      </c>
      <c r="Y59" s="12">
        <f>'6.1 Investissements'!Y179</f>
        <v>568913.5</v>
      </c>
      <c r="Z59" s="12">
        <f>'6.1 Investissements'!Z179</f>
        <v>356335.8</v>
      </c>
      <c r="AA59" s="12">
        <f>'6.1 Investissements'!AA179</f>
        <v>339692.7</v>
      </c>
      <c r="AB59" s="12">
        <f>'6.1 Investissements'!AB179</f>
        <v>178259.75</v>
      </c>
      <c r="AC59" s="12">
        <f>'6.1 Investissements'!AC179</f>
        <v>373782</v>
      </c>
      <c r="AD59" s="12">
        <f>'6.1 Investissements'!AD179</f>
        <v>1534075.49</v>
      </c>
      <c r="AE59" s="12">
        <f>'6.1 Investissements'!AE179</f>
        <v>482944.8</v>
      </c>
      <c r="AF59" s="12">
        <f>'6.1 Investissements'!AF179</f>
        <v>606075.91</v>
      </c>
      <c r="AG59" s="12">
        <f>'6.1 Investissements'!AG179</f>
        <v>830847.02</v>
      </c>
      <c r="AH59" s="12">
        <f>'6.1 Investissements'!AH179</f>
        <v>1171479.83</v>
      </c>
      <c r="AI59" s="12">
        <f>'6.1 Investissements'!AI179</f>
        <v>25468.85</v>
      </c>
      <c r="AJ59" s="12">
        <f>'6.1 Investissements'!AJ179</f>
        <v>66722.850000000006</v>
      </c>
      <c r="AK59" s="12">
        <f>'6.1 Investissements'!AK179</f>
        <v>723238.84</v>
      </c>
      <c r="AL59" s="12">
        <f>'6.1 Investissements'!AL179</f>
        <v>248880.85</v>
      </c>
      <c r="AM59" s="12">
        <f>'6.1 Investissements'!AM179</f>
        <v>463854.36</v>
      </c>
      <c r="AN59" s="12">
        <f>'6.1 Investissements'!AN179</f>
        <v>19656.5</v>
      </c>
      <c r="AO59" s="12">
        <f>'6.1 Investissements'!AO179</f>
        <v>1528389.06</v>
      </c>
      <c r="AP59" s="12">
        <f>'6.1 Investissements'!AP179</f>
        <v>334781.95</v>
      </c>
      <c r="AQ59" s="12">
        <f>'6.1 Investissements'!AQ179</f>
        <v>1123724.8</v>
      </c>
      <c r="AR59" s="12">
        <f>'6.1 Investissements'!AR179</f>
        <v>1965475.15</v>
      </c>
      <c r="AS59" s="12">
        <f>'6.1 Investissements'!AS179</f>
        <v>152819.9</v>
      </c>
      <c r="AT59" s="12">
        <f>'6.1 Investissements'!AT179</f>
        <v>1040598.75</v>
      </c>
      <c r="AU59" s="12">
        <f>'6.1 Investissements'!AU179</f>
        <v>177717.8</v>
      </c>
      <c r="AV59" s="12">
        <f>'6.1 Investissements'!AV179</f>
        <v>2134973.85</v>
      </c>
      <c r="AW59" s="12">
        <f>'6.1 Investissements'!AW179</f>
        <v>344279.7</v>
      </c>
      <c r="AX59" s="12">
        <f>'6.1 Investissements'!AX179</f>
        <v>0</v>
      </c>
      <c r="AY59" s="12">
        <f>'6.1 Investissements'!AY179</f>
        <v>84585.35</v>
      </c>
      <c r="AZ59" s="12">
        <f>'6.1 Investissements'!AZ179</f>
        <v>264388.7</v>
      </c>
      <c r="BA59" s="12">
        <f>'6.1 Investissements'!BA179</f>
        <v>1181638.93</v>
      </c>
      <c r="BB59" s="12">
        <f>'6.1 Investissements'!BB179</f>
        <v>944192.91</v>
      </c>
      <c r="BC59" s="12">
        <f>'6.1 Investissements'!BC179</f>
        <v>469551.45</v>
      </c>
      <c r="BD59" s="12">
        <f>'6.1 Investissements'!BD179</f>
        <v>6984682.2400000002</v>
      </c>
      <c r="BE59" s="12">
        <f>'6.1 Investissements'!BE179</f>
        <v>34005.9</v>
      </c>
      <c r="BF59" s="12">
        <f t="shared" ref="BF59" si="12">SUM(E59:BE59)</f>
        <v>58141471.820000008</v>
      </c>
      <c r="BG59" s="12">
        <f t="shared" ref="BG59" si="13">SUM(E59:W59)</f>
        <v>31053867.880000003</v>
      </c>
      <c r="BH59" s="12">
        <f t="shared" ref="BH59" si="14">SUM(X59:AJ59)</f>
        <v>6866166.9499999993</v>
      </c>
      <c r="BI59" s="12">
        <f t="shared" ref="BI59" si="15">SUM(AK59:BE59)</f>
        <v>20221436.989999995</v>
      </c>
    </row>
    <row r="60" spans="1:61" x14ac:dyDescent="0.25">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row>
    <row r="61" spans="1:61" ht="21" x14ac:dyDescent="0.4">
      <c r="A61" s="24">
        <v>6</v>
      </c>
      <c r="B61" s="24"/>
      <c r="C61" s="24"/>
      <c r="D61" s="24" t="s">
        <v>294</v>
      </c>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row>
    <row r="62" spans="1:61" x14ac:dyDescent="0.25">
      <c r="C62" s="7">
        <v>590</v>
      </c>
      <c r="D62" s="7" t="s">
        <v>625</v>
      </c>
      <c r="E62" s="12">
        <f>'6.1 Investissements'!E84:BE84</f>
        <v>0</v>
      </c>
      <c r="F62" s="12">
        <f>'6.1 Investissements'!F84:BF84</f>
        <v>5829.7</v>
      </c>
      <c r="G62" s="12">
        <f>'6.1 Investissements'!G84:BG84</f>
        <v>64996</v>
      </c>
      <c r="H62" s="12">
        <f>'6.1 Investissements'!H84:BH84</f>
        <v>194100</v>
      </c>
      <c r="I62" s="12">
        <f>'6.1 Investissements'!I84:BI84</f>
        <v>213899</v>
      </c>
      <c r="J62" s="12">
        <f>'6.1 Investissements'!J84:BJ84</f>
        <v>671572.4</v>
      </c>
      <c r="K62" s="12">
        <f>'6.1 Investissements'!K84:BK84</f>
        <v>364783.8</v>
      </c>
      <c r="L62" s="12">
        <f>'6.1 Investissements'!L84:BL84</f>
        <v>1458029</v>
      </c>
      <c r="M62" s="12">
        <f>'6.1 Investissements'!M84:BM84</f>
        <v>975441.8</v>
      </c>
      <c r="N62" s="12">
        <f>'6.1 Investissements'!N84:BN84</f>
        <v>0</v>
      </c>
      <c r="O62" s="12">
        <f>'6.1 Investissements'!O84:BO84</f>
        <v>926847.45</v>
      </c>
      <c r="P62" s="12">
        <f>'6.1 Investissements'!P84:BP84</f>
        <v>182690.4</v>
      </c>
      <c r="Q62" s="12">
        <f>'6.1 Investissements'!Q84:BQ84</f>
        <v>0</v>
      </c>
      <c r="R62" s="12">
        <f>'6.1 Investissements'!R84:BR84</f>
        <v>707.45</v>
      </c>
      <c r="S62" s="12">
        <f>'6.1 Investissements'!S84:BS84</f>
        <v>221400</v>
      </c>
      <c r="T62" s="12">
        <f>'6.1 Investissements'!T84:BT84</f>
        <v>48700</v>
      </c>
      <c r="U62" s="12">
        <f>'6.1 Investissements'!U84:BU84</f>
        <v>3802.9</v>
      </c>
      <c r="V62" s="12">
        <f>'6.1 Investissements'!V84:BV84</f>
        <v>3884</v>
      </c>
      <c r="W62" s="12">
        <f>'6.1 Investissements'!W84:BW84</f>
        <v>2362720.15</v>
      </c>
      <c r="X62" s="12">
        <f>'6.1 Investissements'!X84:BX84</f>
        <v>3000</v>
      </c>
      <c r="Y62" s="12">
        <f>'6.1 Investissements'!Y84:BY84</f>
        <v>129671.2</v>
      </c>
      <c r="Z62" s="12">
        <f>'6.1 Investissements'!Z84:BZ84</f>
        <v>97701.8</v>
      </c>
      <c r="AA62" s="12">
        <f>'6.1 Investissements'!AA84:CA84</f>
        <v>0</v>
      </c>
      <c r="AB62" s="12">
        <f>'6.1 Investissements'!AB84:CB84</f>
        <v>0</v>
      </c>
      <c r="AC62" s="12">
        <f>'6.1 Investissements'!AC84:CC84</f>
        <v>69100</v>
      </c>
      <c r="AD62" s="12">
        <f>'6.1 Investissements'!AD84:CD84</f>
        <v>158561.54999999999</v>
      </c>
      <c r="AE62" s="12">
        <f>'6.1 Investissements'!AE84:CE84</f>
        <v>0</v>
      </c>
      <c r="AF62" s="12">
        <f>'6.1 Investissements'!AF84:CF84</f>
        <v>61998</v>
      </c>
      <c r="AG62" s="12">
        <f>'6.1 Investissements'!AG84:CG84</f>
        <v>44859.1</v>
      </c>
      <c r="AH62" s="12">
        <f>'6.1 Investissements'!AH84:CH84</f>
        <v>706607.6</v>
      </c>
      <c r="AI62" s="12">
        <f>'6.1 Investissements'!AI84:CI84</f>
        <v>4600</v>
      </c>
      <c r="AJ62" s="12">
        <f>'6.1 Investissements'!AJ84:CJ84</f>
        <v>9250</v>
      </c>
      <c r="AK62" s="12">
        <f>'6.1 Investissements'!AK84:CK84</f>
        <v>454939.4</v>
      </c>
      <c r="AL62" s="12">
        <f>'6.1 Investissements'!AL84:CL84</f>
        <v>99916.05</v>
      </c>
      <c r="AM62" s="12">
        <f>'6.1 Investissements'!AM84:CM84</f>
        <v>97387.9</v>
      </c>
      <c r="AN62" s="12">
        <f>'6.1 Investissements'!AN84:CN84</f>
        <v>0</v>
      </c>
      <c r="AO62" s="12">
        <f>'6.1 Investissements'!AO84:CO84</f>
        <v>194820.35</v>
      </c>
      <c r="AP62" s="12">
        <f>'6.1 Investissements'!AP84:CP84</f>
        <v>3823.75</v>
      </c>
      <c r="AQ62" s="12">
        <f>'6.1 Investissements'!AQ84:CQ84</f>
        <v>74742.350000000006</v>
      </c>
      <c r="AR62" s="12">
        <f>'6.1 Investissements'!AR84:CR84</f>
        <v>751289.62</v>
      </c>
      <c r="AS62" s="12">
        <f>'6.1 Investissements'!AS84:CS84</f>
        <v>77000</v>
      </c>
      <c r="AT62" s="12">
        <f>'6.1 Investissements'!AT84:CT84</f>
        <v>90000.05</v>
      </c>
      <c r="AU62" s="12">
        <f>'6.1 Investissements'!AU84:CU84</f>
        <v>53027.5</v>
      </c>
      <c r="AV62" s="12">
        <f>'6.1 Investissements'!AV84:CV84</f>
        <v>142427.79999999999</v>
      </c>
      <c r="AW62" s="12">
        <f>'6.1 Investissements'!AW84:CW84</f>
        <v>16355</v>
      </c>
      <c r="AX62" s="12">
        <f>'6.1 Investissements'!AX84:CX84</f>
        <v>0</v>
      </c>
      <c r="AY62" s="12">
        <f>'6.1 Investissements'!AY84:CY84</f>
        <v>0</v>
      </c>
      <c r="AZ62" s="12">
        <f>'6.1 Investissements'!AZ84:CZ84</f>
        <v>0</v>
      </c>
      <c r="BA62" s="12">
        <f>'6.1 Investissements'!BA84:DA84</f>
        <v>173814.15</v>
      </c>
      <c r="BB62" s="12">
        <f>'6.1 Investissements'!BB84:DB84</f>
        <v>106328</v>
      </c>
      <c r="BC62" s="12">
        <f>'6.1 Investissements'!BC84:DC84</f>
        <v>203366</v>
      </c>
      <c r="BD62" s="12">
        <f>'6.1 Investissements'!BD84:DD84</f>
        <v>1234923.95</v>
      </c>
      <c r="BE62" s="12">
        <f>'6.1 Investissements'!BE84:DE84</f>
        <v>61957</v>
      </c>
      <c r="BF62" s="12">
        <f t="shared" ref="BF62" si="16">SUM(E62:BE62)</f>
        <v>12820872.170000002</v>
      </c>
      <c r="BG62" s="12">
        <f t="shared" ref="BG62" si="17">SUM(E62:W62)</f>
        <v>7699404.0500000007</v>
      </c>
      <c r="BH62" s="12">
        <f t="shared" ref="BH62" si="18">SUM(X62:AJ62)</f>
        <v>1285349.25</v>
      </c>
      <c r="BI62" s="12">
        <f t="shared" ref="BI62" si="19">SUM(AK62:BE62)</f>
        <v>3836118.87</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5" tint="0.59999389629810485"/>
  </sheetPr>
  <dimension ref="A2:BJ44"/>
  <sheetViews>
    <sheetView workbookViewId="0">
      <pane xSplit="4" ySplit="5" topLeftCell="E6" activePane="bottomRight" state="frozen"/>
      <selection pane="topRight" activeCell="E1" sqref="E1"/>
      <selection pane="bottomLeft" activeCell="A12" sqref="A12"/>
      <selection pane="bottomRight" activeCell="E6" sqref="E6"/>
    </sheetView>
  </sheetViews>
  <sheetFormatPr baseColWidth="10" defaultColWidth="11.44140625" defaultRowHeight="13.8" x14ac:dyDescent="0.25"/>
  <cols>
    <col min="1" max="1" width="51.88671875" style="7" customWidth="1"/>
    <col min="2" max="2" width="7.44140625" style="7" customWidth="1"/>
    <col min="3" max="3" width="11.44140625" style="7"/>
    <col min="4" max="4" width="22.88671875" style="7" customWidth="1"/>
    <col min="5" max="57" width="15.6640625" style="7" customWidth="1"/>
    <col min="58" max="60" width="18.6640625" style="7" customWidth="1"/>
    <col min="61" max="61" width="11.44140625" style="7"/>
    <col min="62" max="62" width="20.6640625" style="7" customWidth="1"/>
    <col min="63" max="16384" width="11.44140625" style="7"/>
  </cols>
  <sheetData>
    <row r="2" spans="1:62" ht="17.399999999999999" x14ac:dyDescent="0.3">
      <c r="A2" s="190" t="s">
        <v>491</v>
      </c>
      <c r="B2" s="190"/>
      <c r="C2" s="190"/>
      <c r="D2" s="190"/>
    </row>
    <row r="4" spans="1:62" x14ac:dyDescent="0.25">
      <c r="A4" s="6" t="s">
        <v>492</v>
      </c>
      <c r="B4" s="139"/>
      <c r="C4" s="29" t="s">
        <v>493</v>
      </c>
      <c r="D4" s="29" t="s">
        <v>494</v>
      </c>
      <c r="E4" s="8">
        <f>'MCH2'!E3</f>
        <v>951</v>
      </c>
      <c r="F4" s="8">
        <f>'MCH2'!F3</f>
        <v>258</v>
      </c>
      <c r="G4" s="8">
        <f>'MCH2'!G3</f>
        <v>471</v>
      </c>
      <c r="H4" s="8">
        <f>'MCH2'!H3</f>
        <v>441</v>
      </c>
      <c r="I4" s="8">
        <f>'MCH2'!I3</f>
        <v>3686</v>
      </c>
      <c r="J4" s="8">
        <f>'MCH2'!J3</f>
        <v>3313</v>
      </c>
      <c r="K4" s="8">
        <f>'MCH2'!K3</f>
        <v>2654</v>
      </c>
      <c r="L4" s="8">
        <f>'MCH2'!L3</f>
        <v>12636</v>
      </c>
      <c r="M4" s="8">
        <f>'MCH2'!M3</f>
        <v>1360</v>
      </c>
      <c r="N4" s="8">
        <f>'MCH2'!N3</f>
        <v>112</v>
      </c>
      <c r="O4" s="8">
        <f>'MCH2'!O3</f>
        <v>7319</v>
      </c>
      <c r="P4" s="8">
        <f>'MCH2'!P3</f>
        <v>522</v>
      </c>
      <c r="Q4" s="8">
        <f>'MCH2'!Q3</f>
        <v>106</v>
      </c>
      <c r="R4" s="8">
        <f>'MCH2'!R3</f>
        <v>425</v>
      </c>
      <c r="S4" s="8">
        <f>'MCH2'!S3</f>
        <v>350</v>
      </c>
      <c r="T4" s="8">
        <f>'MCH2'!T3</f>
        <v>733</v>
      </c>
      <c r="U4" s="8">
        <f>'MCH2'!U3</f>
        <v>270</v>
      </c>
      <c r="V4" s="8">
        <f>'MCH2'!V3</f>
        <v>417</v>
      </c>
      <c r="W4" s="8">
        <f>'MCH2'!W3</f>
        <v>3285</v>
      </c>
      <c r="X4" s="8">
        <f>'MCH2'!X3</f>
        <v>308</v>
      </c>
      <c r="Y4" s="8">
        <f>'MCH2'!Y3</f>
        <v>1258</v>
      </c>
      <c r="Z4" s="8">
        <f>'MCH2'!Z3</f>
        <v>1524</v>
      </c>
      <c r="AA4" s="8">
        <f>'MCH2'!AA3</f>
        <v>87</v>
      </c>
      <c r="AB4" s="8">
        <f>'MCH2'!AB3</f>
        <v>156</v>
      </c>
      <c r="AC4" s="8">
        <f>'MCH2'!AC3</f>
        <v>510</v>
      </c>
      <c r="AD4" s="8">
        <f>'MCH2'!AD3</f>
        <v>705</v>
      </c>
      <c r="AE4" s="8">
        <f>'MCH2'!AE3</f>
        <v>551</v>
      </c>
      <c r="AF4" s="8">
        <f>'MCH2'!AF3</f>
        <v>511</v>
      </c>
      <c r="AG4" s="8">
        <f>'MCH2'!AG3</f>
        <v>1902</v>
      </c>
      <c r="AH4" s="8">
        <f>'MCH2'!AH3</f>
        <v>2575</v>
      </c>
      <c r="AI4" s="8">
        <f>'MCH2'!AI3</f>
        <v>228</v>
      </c>
      <c r="AJ4" s="8">
        <f>'MCH2'!AJ3</f>
        <v>118</v>
      </c>
      <c r="AK4" s="8">
        <f>'MCH2'!AK3</f>
        <v>1882</v>
      </c>
      <c r="AL4" s="8">
        <f>'MCH2'!AL3</f>
        <v>1114</v>
      </c>
      <c r="AM4" s="8">
        <f>'MCH2'!AM3</f>
        <v>1217</v>
      </c>
      <c r="AN4" s="8">
        <f>'MCH2'!AN3</f>
        <v>117</v>
      </c>
      <c r="AO4" s="8">
        <f>'MCH2'!AO3</f>
        <v>1205</v>
      </c>
      <c r="AP4" s="8">
        <f>'MCH2'!AP3</f>
        <v>625</v>
      </c>
      <c r="AQ4" s="8">
        <f>'MCH2'!AQ3</f>
        <v>631</v>
      </c>
      <c r="AR4" s="8">
        <f>'MCH2'!AR3</f>
        <v>1275</v>
      </c>
      <c r="AS4" s="8">
        <f>'MCH2'!AS3</f>
        <v>718</v>
      </c>
      <c r="AT4" s="8">
        <f>'MCH2'!AT3</f>
        <v>1018</v>
      </c>
      <c r="AU4" s="8">
        <f>'MCH2'!AU3</f>
        <v>293</v>
      </c>
      <c r="AV4" s="8">
        <f>'MCH2'!AV3</f>
        <v>2435</v>
      </c>
      <c r="AW4" s="8">
        <f>'MCH2'!AW3</f>
        <v>786</v>
      </c>
      <c r="AX4" s="8">
        <f>'MCH2'!AX3</f>
        <v>184</v>
      </c>
      <c r="AY4" s="8">
        <f>'MCH2'!AY3</f>
        <v>333</v>
      </c>
      <c r="AZ4" s="8">
        <f>'MCH2'!AZ3</f>
        <v>1674</v>
      </c>
      <c r="BA4" s="8">
        <f>'MCH2'!BA3</f>
        <v>391</v>
      </c>
      <c r="BB4" s="8">
        <f>'MCH2'!BB3</f>
        <v>1052</v>
      </c>
      <c r="BC4" s="8">
        <f>'MCH2'!BC3</f>
        <v>186</v>
      </c>
      <c r="BD4" s="8">
        <f>'MCH2'!BD3</f>
        <v>6441</v>
      </c>
      <c r="BE4" s="8">
        <f>'MCH2'!BE3</f>
        <v>546</v>
      </c>
      <c r="BF4" s="8">
        <f>'MCH2'!BG3</f>
        <v>39309</v>
      </c>
      <c r="BG4" s="8">
        <f>'MCH2'!BH3</f>
        <v>10433</v>
      </c>
      <c r="BH4" s="8">
        <f>'MCH2'!BI3</f>
        <v>24123</v>
      </c>
    </row>
    <row r="5" spans="1:62" x14ac:dyDescent="0.25">
      <c r="B5" s="139"/>
      <c r="E5" s="81" t="s">
        <v>56</v>
      </c>
      <c r="F5" s="81" t="s">
        <v>18</v>
      </c>
      <c r="G5" s="81" t="s">
        <v>57</v>
      </c>
      <c r="H5" s="81" t="s">
        <v>53</v>
      </c>
      <c r="I5" s="81" t="s">
        <v>33</v>
      </c>
      <c r="J5" s="81" t="s">
        <v>10</v>
      </c>
      <c r="K5" s="81" t="s">
        <v>15</v>
      </c>
      <c r="L5" s="81" t="s">
        <v>28</v>
      </c>
      <c r="M5" s="81" t="s">
        <v>42</v>
      </c>
      <c r="N5" s="81" t="s">
        <v>23</v>
      </c>
      <c r="O5" s="81" t="s">
        <v>22</v>
      </c>
      <c r="P5" s="81" t="s">
        <v>13</v>
      </c>
      <c r="Q5" s="81" t="s">
        <v>17</v>
      </c>
      <c r="R5" s="81" t="s">
        <v>43</v>
      </c>
      <c r="S5" s="81" t="s">
        <v>40</v>
      </c>
      <c r="T5" s="81" t="s">
        <v>31</v>
      </c>
      <c r="U5" s="81" t="s">
        <v>12</v>
      </c>
      <c r="V5" s="81" t="s">
        <v>59</v>
      </c>
      <c r="W5" s="81" t="s">
        <v>27</v>
      </c>
      <c r="X5" s="81" t="s">
        <v>30</v>
      </c>
      <c r="Y5" s="81" t="s">
        <v>20</v>
      </c>
      <c r="Z5" s="81" t="s">
        <v>45</v>
      </c>
      <c r="AA5" s="81" t="s">
        <v>71</v>
      </c>
      <c r="AB5" s="81" t="s">
        <v>39</v>
      </c>
      <c r="AC5" s="81" t="s">
        <v>19</v>
      </c>
      <c r="AD5" s="81" t="s">
        <v>41</v>
      </c>
      <c r="AE5" s="81" t="s">
        <v>36</v>
      </c>
      <c r="AF5" s="81" t="s">
        <v>7</v>
      </c>
      <c r="AG5" s="81" t="s">
        <v>55</v>
      </c>
      <c r="AH5" s="81" t="s">
        <v>21</v>
      </c>
      <c r="AI5" s="81" t="s">
        <v>6</v>
      </c>
      <c r="AJ5" s="81" t="s">
        <v>34</v>
      </c>
      <c r="AK5" s="81" t="s">
        <v>52</v>
      </c>
      <c r="AL5" s="81" t="s">
        <v>14</v>
      </c>
      <c r="AM5" s="81" t="s">
        <v>32</v>
      </c>
      <c r="AN5" s="81" t="s">
        <v>29</v>
      </c>
      <c r="AO5" s="81" t="s">
        <v>26</v>
      </c>
      <c r="AP5" s="81" t="s">
        <v>48</v>
      </c>
      <c r="AQ5" s="81" t="s">
        <v>44</v>
      </c>
      <c r="AR5" s="81" t="s">
        <v>37</v>
      </c>
      <c r="AS5" s="81" t="s">
        <v>51</v>
      </c>
      <c r="AT5" s="81" t="s">
        <v>8</v>
      </c>
      <c r="AU5" s="81" t="s">
        <v>24</v>
      </c>
      <c r="AV5" s="81" t="s">
        <v>9</v>
      </c>
      <c r="AW5" s="81" t="s">
        <v>62</v>
      </c>
      <c r="AX5" s="81" t="s">
        <v>46</v>
      </c>
      <c r="AY5" s="81" t="s">
        <v>35</v>
      </c>
      <c r="AZ5" s="81" t="s">
        <v>49</v>
      </c>
      <c r="BA5" s="81" t="s">
        <v>47</v>
      </c>
      <c r="BB5" s="81" t="s">
        <v>58</v>
      </c>
      <c r="BC5" s="81" t="s">
        <v>50</v>
      </c>
      <c r="BD5" s="81" t="s">
        <v>16</v>
      </c>
      <c r="BE5" s="81" t="s">
        <v>25</v>
      </c>
      <c r="BF5" s="81" t="s">
        <v>28</v>
      </c>
      <c r="BG5" s="81" t="s">
        <v>64</v>
      </c>
      <c r="BH5" s="81" t="s">
        <v>16</v>
      </c>
    </row>
    <row r="6" spans="1:62" x14ac:dyDescent="0.25">
      <c r="A6" s="140" t="s">
        <v>251</v>
      </c>
      <c r="B6" s="141" t="s">
        <v>224</v>
      </c>
      <c r="C6" s="140">
        <v>20</v>
      </c>
      <c r="D6" s="142">
        <f>'Base de données indicateurs1'!BF9</f>
        <v>646601710.46999991</v>
      </c>
      <c r="E6" s="12">
        <f>'Base de données indicateurs1'!E9</f>
        <v>10387762</v>
      </c>
      <c r="F6" s="12">
        <f>'Base de données indicateurs1'!F9</f>
        <v>2458341.4500000002</v>
      </c>
      <c r="G6" s="12">
        <f>'Base de données indicateurs1'!G9</f>
        <v>5663438.9000000004</v>
      </c>
      <c r="H6" s="12">
        <f>'Base de données indicateurs1'!H9</f>
        <v>4613675.95</v>
      </c>
      <c r="I6" s="12">
        <f>'Base de données indicateurs1'!I9</f>
        <v>26620617</v>
      </c>
      <c r="J6" s="12">
        <f>'Base de données indicateurs1'!J9</f>
        <v>24892414.510000002</v>
      </c>
      <c r="K6" s="12">
        <f>'Base de données indicateurs1'!K9</f>
        <v>11320234.83</v>
      </c>
      <c r="L6" s="12">
        <f>'Base de données indicateurs1'!L9</f>
        <v>172023431.55000001</v>
      </c>
      <c r="M6" s="12">
        <f>'Base de données indicateurs1'!M9</f>
        <v>7707490.3399999999</v>
      </c>
      <c r="N6" s="12">
        <f>'Base de données indicateurs1'!N9</f>
        <v>1081046.8899999999</v>
      </c>
      <c r="O6" s="12">
        <f>'Base de données indicateurs1'!O9</f>
        <v>47318439.530000001</v>
      </c>
      <c r="P6" s="12">
        <f>'Base de données indicateurs1'!P9</f>
        <v>3246426.65</v>
      </c>
      <c r="Q6" s="12">
        <f>'Base de données indicateurs1'!Q9</f>
        <v>516713.91</v>
      </c>
      <c r="R6" s="12">
        <f>'Base de données indicateurs1'!R9</f>
        <v>3206301.96</v>
      </c>
      <c r="S6" s="12">
        <f>'Base de données indicateurs1'!S9</f>
        <v>4198890.09</v>
      </c>
      <c r="T6" s="12">
        <f>'Base de données indicateurs1'!T9</f>
        <v>5743955.0700000003</v>
      </c>
      <c r="U6" s="12">
        <f>'Base de données indicateurs1'!U9</f>
        <v>1376416.56</v>
      </c>
      <c r="V6" s="12">
        <f>'Base de données indicateurs1'!V9</f>
        <v>3850042.22</v>
      </c>
      <c r="W6" s="12">
        <f>'Base de données indicateurs1'!W9</f>
        <v>16558833.02</v>
      </c>
      <c r="X6" s="12">
        <f>'Base de données indicateurs1'!X9</f>
        <v>557289.15</v>
      </c>
      <c r="Y6" s="12">
        <f>'Base de données indicateurs1'!Y9</f>
        <v>10023871.58</v>
      </c>
      <c r="Z6" s="12">
        <f>'Base de données indicateurs1'!Z9</f>
        <v>11609126.439999999</v>
      </c>
      <c r="AA6" s="12">
        <f>'Base de données indicateurs1'!AA9</f>
        <v>1134572.45</v>
      </c>
      <c r="AB6" s="12">
        <f>'Base de données indicateurs1'!AB9</f>
        <v>1455772.58</v>
      </c>
      <c r="AC6" s="12">
        <f>'Base de données indicateurs1'!AC9</f>
        <v>4809335.93</v>
      </c>
      <c r="AD6" s="12">
        <f>'Base de données indicateurs1'!AD9</f>
        <v>8125283.04</v>
      </c>
      <c r="AE6" s="12">
        <f>'Base de données indicateurs1'!AE9</f>
        <v>4282275.18</v>
      </c>
      <c r="AF6" s="12">
        <f>'Base de données indicateurs1'!AF9</f>
        <v>2332429.3199999998</v>
      </c>
      <c r="AG6" s="12">
        <f>'Base de données indicateurs1'!AG9</f>
        <v>6112885.5499999998</v>
      </c>
      <c r="AH6" s="12">
        <f>'Base de données indicateurs1'!AH9</f>
        <v>17455328.25</v>
      </c>
      <c r="AI6" s="12">
        <f>'Base de données indicateurs1'!AI9</f>
        <v>1696807</v>
      </c>
      <c r="AJ6" s="12">
        <f>'Base de données indicateurs1'!AJ9</f>
        <v>955647.76</v>
      </c>
      <c r="AK6" s="12">
        <f>'Base de données indicateurs1'!AK9</f>
        <v>18480685.75</v>
      </c>
      <c r="AL6" s="12">
        <f>'Base de données indicateurs1'!AL9</f>
        <v>9082156.0500000007</v>
      </c>
      <c r="AM6" s="12">
        <f>'Base de données indicateurs1'!AM9</f>
        <v>12207406.35</v>
      </c>
      <c r="AN6" s="12">
        <f>'Base de données indicateurs1'!AN9</f>
        <v>1433220.07</v>
      </c>
      <c r="AO6" s="12">
        <f>'Base de données indicateurs1'!AO9</f>
        <v>9780990.1600000001</v>
      </c>
      <c r="AP6" s="12">
        <f>'Base de données indicateurs1'!AP9</f>
        <v>5325818.5199999996</v>
      </c>
      <c r="AQ6" s="12">
        <f>'Base de données indicateurs1'!AQ9</f>
        <v>4789847</v>
      </c>
      <c r="AR6" s="12">
        <f>'Base de données indicateurs1'!AR9</f>
        <v>10750093.83</v>
      </c>
      <c r="AS6" s="12">
        <f>'Base de données indicateurs1'!AS9</f>
        <v>5697376.5700000003</v>
      </c>
      <c r="AT6" s="12">
        <f>'Base de données indicateurs1'!AT9</f>
        <v>9689539</v>
      </c>
      <c r="AU6" s="12">
        <f>'Base de données indicateurs1'!AU9</f>
        <v>1923504.9</v>
      </c>
      <c r="AV6" s="12">
        <f>'Base de données indicateurs1'!AV9</f>
        <v>14166790.52</v>
      </c>
      <c r="AW6" s="12">
        <f>'Base de données indicateurs1'!AW9</f>
        <v>6251229.9900000002</v>
      </c>
      <c r="AX6" s="12">
        <f>'Base de données indicateurs1'!AX9</f>
        <v>861801</v>
      </c>
      <c r="AY6" s="12">
        <f>'Base de données indicateurs1'!AY9</f>
        <v>2114057.42</v>
      </c>
      <c r="AZ6" s="12">
        <f>'Base de données indicateurs1'!AZ9</f>
        <v>19788217.460000001</v>
      </c>
      <c r="BA6" s="12">
        <f>'Base de données indicateurs1'!BA9</f>
        <v>3124082.63</v>
      </c>
      <c r="BB6" s="12">
        <f>'Base de données indicateurs1'!BB9</f>
        <v>11179721</v>
      </c>
      <c r="BC6" s="12">
        <f>'Base de données indicateurs1'!BC9</f>
        <v>476804.53</v>
      </c>
      <c r="BD6" s="12">
        <f>'Base de données indicateurs1'!BD9</f>
        <v>71918102.739999995</v>
      </c>
      <c r="BE6" s="12">
        <f>'Base de données indicateurs1'!BE9</f>
        <v>4225168.32</v>
      </c>
      <c r="BF6" s="12">
        <f>SUM(E6:W6)</f>
        <v>352784472.42999995</v>
      </c>
      <c r="BG6" s="12">
        <f>SUM(X6:AJ6)</f>
        <v>70550624.230000004</v>
      </c>
      <c r="BH6" s="12">
        <f>SUM(AK6:BE6)</f>
        <v>223266613.80999994</v>
      </c>
    </row>
    <row r="7" spans="1:62" x14ac:dyDescent="0.25">
      <c r="A7" s="143" t="s">
        <v>239</v>
      </c>
      <c r="B7" s="144" t="s">
        <v>225</v>
      </c>
      <c r="C7" s="143">
        <v>10</v>
      </c>
      <c r="D7" s="145">
        <f>'Base de données indicateurs1'!BF6</f>
        <v>346299432.57999992</v>
      </c>
      <c r="E7" s="12">
        <f>'Base de données indicateurs1'!E6</f>
        <v>6037644.3899999997</v>
      </c>
      <c r="F7" s="12">
        <f>'Base de données indicateurs1'!F6</f>
        <v>1108066.8999999999</v>
      </c>
      <c r="G7" s="12">
        <f>'Base de données indicateurs1'!G6</f>
        <v>3353239.51</v>
      </c>
      <c r="H7" s="12">
        <f>'Base de données indicateurs1'!H6</f>
        <v>4584095.1500000004</v>
      </c>
      <c r="I7" s="12">
        <f>'Base de données indicateurs1'!I6</f>
        <v>16024215</v>
      </c>
      <c r="J7" s="12">
        <f>'Base de données indicateurs1'!J6</f>
        <v>8324678.54</v>
      </c>
      <c r="K7" s="12">
        <f>'Base de données indicateurs1'!K6</f>
        <v>11749552.24</v>
      </c>
      <c r="L7" s="12">
        <f>'Base de données indicateurs1'!L6</f>
        <v>68553767</v>
      </c>
      <c r="M7" s="12">
        <f>'Base de données indicateurs1'!M6</f>
        <v>3589866.27</v>
      </c>
      <c r="N7" s="12">
        <f>'Base de données indicateurs1'!N6</f>
        <v>301716.32</v>
      </c>
      <c r="O7" s="12">
        <f>'Base de données indicateurs1'!O6</f>
        <v>18227970.309999999</v>
      </c>
      <c r="P7" s="12">
        <f>'Base de données indicateurs1'!P6</f>
        <v>1955442.92</v>
      </c>
      <c r="Q7" s="12">
        <f>'Base de données indicateurs1'!Q6</f>
        <v>534068.06000000006</v>
      </c>
      <c r="R7" s="12">
        <f>'Base de données indicateurs1'!R6</f>
        <v>1563563.54</v>
      </c>
      <c r="S7" s="12">
        <f>'Base de données indicateurs1'!S6</f>
        <v>2684765.98</v>
      </c>
      <c r="T7" s="12">
        <f>'Base de données indicateurs1'!T6</f>
        <v>6195670.4299999997</v>
      </c>
      <c r="U7" s="12">
        <f>'Base de données indicateurs1'!U6</f>
        <v>928269.8</v>
      </c>
      <c r="V7" s="12">
        <f>'Base de données indicateurs1'!V6</f>
        <v>1935465.45</v>
      </c>
      <c r="W7" s="12">
        <f>'Base de données indicateurs1'!W6</f>
        <v>5127537.58</v>
      </c>
      <c r="X7" s="12">
        <f>'Base de données indicateurs1'!X6</f>
        <v>1652417.67</v>
      </c>
      <c r="Y7" s="12">
        <f>'Base de données indicateurs1'!Y6</f>
        <v>4319708.22</v>
      </c>
      <c r="Z7" s="12">
        <f>'Base de données indicateurs1'!Z6</f>
        <v>25335688.600000001</v>
      </c>
      <c r="AA7" s="12">
        <f>'Base de données indicateurs1'!AA6</f>
        <v>1044849.9</v>
      </c>
      <c r="AB7" s="12">
        <f>'Base de données indicateurs1'!AB6</f>
        <v>1666797.39</v>
      </c>
      <c r="AC7" s="12">
        <f>'Base de données indicateurs1'!AC6</f>
        <v>3382294.05</v>
      </c>
      <c r="AD7" s="12">
        <f>'Base de données indicateurs1'!AD6</f>
        <v>2392641.9500000002</v>
      </c>
      <c r="AE7" s="12">
        <f>'Base de données indicateurs1'!AE6</f>
        <v>2271201.0699999998</v>
      </c>
      <c r="AF7" s="12">
        <f>'Base de données indicateurs1'!AF6</f>
        <v>4599526.68</v>
      </c>
      <c r="AG7" s="12">
        <f>'Base de données indicateurs1'!AG6</f>
        <v>8510596.3800000008</v>
      </c>
      <c r="AH7" s="12">
        <f>'Base de données indicateurs1'!AH6</f>
        <v>10380606.49</v>
      </c>
      <c r="AI7" s="12">
        <f>'Base de données indicateurs1'!AI6</f>
        <v>1931580.05</v>
      </c>
      <c r="AJ7" s="12">
        <f>'Base de données indicateurs1'!AJ6</f>
        <v>2134375.87</v>
      </c>
      <c r="AK7" s="12">
        <f>'Base de données indicateurs1'!AK6</f>
        <v>6838537.3399999999</v>
      </c>
      <c r="AL7" s="12">
        <f>'Base de données indicateurs1'!AL6</f>
        <v>5396816</v>
      </c>
      <c r="AM7" s="12">
        <f>'Base de données indicateurs1'!AM6</f>
        <v>5695048.0199999996</v>
      </c>
      <c r="AN7" s="12">
        <f>'Base de données indicateurs1'!AN6</f>
        <v>551464.71</v>
      </c>
      <c r="AO7" s="12">
        <f>'Base de données indicateurs1'!AO6</f>
        <v>15122459.289999999</v>
      </c>
      <c r="AP7" s="12">
        <f>'Base de données indicateurs1'!AP6</f>
        <v>3338842.84</v>
      </c>
      <c r="AQ7" s="12">
        <f>'Base de données indicateurs1'!AQ6</f>
        <v>2476209</v>
      </c>
      <c r="AR7" s="12">
        <f>'Base de données indicateurs1'!AR6</f>
        <v>10275159.08</v>
      </c>
      <c r="AS7" s="12">
        <f>'Base de données indicateurs1'!AS6</f>
        <v>2610512.23</v>
      </c>
      <c r="AT7" s="12">
        <f>'Base de données indicateurs1'!AT6</f>
        <v>3846880.26</v>
      </c>
      <c r="AU7" s="12">
        <f>'Base de données indicateurs1'!AU6</f>
        <v>2658547.9700000002</v>
      </c>
      <c r="AV7" s="12">
        <f>'Base de données indicateurs1'!AV6</f>
        <v>5474469.3700000001</v>
      </c>
      <c r="AW7" s="12">
        <f>'Base de données indicateurs1'!AW6</f>
        <v>3491542.28</v>
      </c>
      <c r="AX7" s="12">
        <f>'Base de données indicateurs1'!AX6</f>
        <v>664260</v>
      </c>
      <c r="AY7" s="12">
        <f>'Base de données indicateurs1'!AY6</f>
        <v>2270337.29</v>
      </c>
      <c r="AZ7" s="12">
        <f>'Base de données indicateurs1'!AZ6</f>
        <v>4657846.28</v>
      </c>
      <c r="BA7" s="12">
        <f>'Base de données indicateurs1'!BA6</f>
        <v>3072489.28</v>
      </c>
      <c r="BB7" s="12">
        <f>'Base de données indicateurs1'!BB6</f>
        <v>5428306</v>
      </c>
      <c r="BC7" s="12">
        <f>'Base de données indicateurs1'!BC6</f>
        <v>818483.84</v>
      </c>
      <c r="BD7" s="12">
        <f>'Base de données indicateurs1'!BD6</f>
        <v>26795687.489999998</v>
      </c>
      <c r="BE7" s="12">
        <f>'Base de données indicateurs1'!BE6</f>
        <v>2413654.2999999998</v>
      </c>
      <c r="BF7" s="12">
        <f t="shared" ref="BF7:BF40" si="0">SUM(E7:W7)</f>
        <v>162779595.38999999</v>
      </c>
      <c r="BG7" s="12">
        <f t="shared" ref="BG7:BG40" si="1">SUM(X7:AJ7)</f>
        <v>69622284.320000008</v>
      </c>
      <c r="BH7" s="12">
        <f t="shared" ref="BH7:BH40" si="2">SUM(AK7:BE7)</f>
        <v>113897552.86999999</v>
      </c>
    </row>
    <row r="8" spans="1:62" ht="14.4" thickBot="1" x14ac:dyDescent="0.3">
      <c r="B8" s="146"/>
      <c r="D8" s="12"/>
      <c r="BF8" s="12"/>
      <c r="BG8" s="12"/>
      <c r="BH8" s="12"/>
    </row>
    <row r="9" spans="1:62" ht="14.4" thickBot="1" x14ac:dyDescent="0.3">
      <c r="A9" s="6" t="s">
        <v>495</v>
      </c>
      <c r="B9" s="97"/>
      <c r="C9" s="6"/>
      <c r="D9" s="147">
        <f>D6-D7</f>
        <v>300302277.88999999</v>
      </c>
      <c r="E9" s="12">
        <f>E6-E7</f>
        <v>4350117.6100000003</v>
      </c>
      <c r="F9" s="12">
        <f t="shared" ref="F9:BE9" si="3">F6-F7</f>
        <v>1350274.5500000003</v>
      </c>
      <c r="G9" s="12">
        <f t="shared" si="3"/>
        <v>2310199.3900000006</v>
      </c>
      <c r="H9" s="12">
        <f t="shared" si="3"/>
        <v>29580.799999999814</v>
      </c>
      <c r="I9" s="12">
        <f t="shared" si="3"/>
        <v>10596402</v>
      </c>
      <c r="J9" s="12">
        <f t="shared" si="3"/>
        <v>16567735.970000003</v>
      </c>
      <c r="K9" s="12">
        <f t="shared" si="3"/>
        <v>-429317.41000000015</v>
      </c>
      <c r="L9" s="12">
        <f t="shared" si="3"/>
        <v>103469664.55000001</v>
      </c>
      <c r="M9" s="12">
        <f t="shared" si="3"/>
        <v>4117624.07</v>
      </c>
      <c r="N9" s="12">
        <f t="shared" si="3"/>
        <v>779330.56999999983</v>
      </c>
      <c r="O9" s="12">
        <f t="shared" si="3"/>
        <v>29090469.220000003</v>
      </c>
      <c r="P9" s="12">
        <f t="shared" si="3"/>
        <v>1290983.73</v>
      </c>
      <c r="Q9" s="12">
        <f t="shared" si="3"/>
        <v>-17354.150000000081</v>
      </c>
      <c r="R9" s="12">
        <f t="shared" si="3"/>
        <v>1642738.42</v>
      </c>
      <c r="S9" s="12">
        <f t="shared" si="3"/>
        <v>1514124.1099999999</v>
      </c>
      <c r="T9" s="12">
        <f t="shared" si="3"/>
        <v>-451715.3599999994</v>
      </c>
      <c r="U9" s="12">
        <f t="shared" si="3"/>
        <v>448146.76</v>
      </c>
      <c r="V9" s="12">
        <f t="shared" si="3"/>
        <v>1914576.7700000003</v>
      </c>
      <c r="W9" s="12">
        <f t="shared" si="3"/>
        <v>11431295.439999999</v>
      </c>
      <c r="X9" s="12">
        <f t="shared" si="3"/>
        <v>-1095128.52</v>
      </c>
      <c r="Y9" s="12">
        <f t="shared" si="3"/>
        <v>5704163.3600000003</v>
      </c>
      <c r="Z9" s="12">
        <f t="shared" si="3"/>
        <v>-13726562.160000002</v>
      </c>
      <c r="AA9" s="12">
        <f t="shared" si="3"/>
        <v>89722.54999999993</v>
      </c>
      <c r="AB9" s="12">
        <f t="shared" si="3"/>
        <v>-211024.80999999982</v>
      </c>
      <c r="AC9" s="12">
        <f t="shared" si="3"/>
        <v>1427041.88</v>
      </c>
      <c r="AD9" s="12">
        <f t="shared" si="3"/>
        <v>5732641.0899999999</v>
      </c>
      <c r="AE9" s="12">
        <f t="shared" si="3"/>
        <v>2011074.1099999999</v>
      </c>
      <c r="AF9" s="12">
        <f t="shared" si="3"/>
        <v>-2267097.36</v>
      </c>
      <c r="AG9" s="12">
        <f t="shared" si="3"/>
        <v>-2397710.830000001</v>
      </c>
      <c r="AH9" s="12">
        <f t="shared" si="3"/>
        <v>7074721.7599999998</v>
      </c>
      <c r="AI9" s="12">
        <f t="shared" si="3"/>
        <v>-234773.05000000005</v>
      </c>
      <c r="AJ9" s="12">
        <f t="shared" si="3"/>
        <v>-1178728.1100000001</v>
      </c>
      <c r="AK9" s="12">
        <f t="shared" si="3"/>
        <v>11642148.41</v>
      </c>
      <c r="AL9" s="12">
        <f t="shared" si="3"/>
        <v>3685340.0500000007</v>
      </c>
      <c r="AM9" s="12">
        <f t="shared" si="3"/>
        <v>6512358.3300000001</v>
      </c>
      <c r="AN9" s="12">
        <f t="shared" si="3"/>
        <v>881755.3600000001</v>
      </c>
      <c r="AO9" s="12">
        <f t="shared" si="3"/>
        <v>-5341469.129999999</v>
      </c>
      <c r="AP9" s="12">
        <f t="shared" si="3"/>
        <v>1986975.6799999997</v>
      </c>
      <c r="AQ9" s="12">
        <f t="shared" si="3"/>
        <v>2313638</v>
      </c>
      <c r="AR9" s="12">
        <f t="shared" si="3"/>
        <v>474934.75</v>
      </c>
      <c r="AS9" s="12">
        <f t="shared" si="3"/>
        <v>3086864.3400000003</v>
      </c>
      <c r="AT9" s="12">
        <f t="shared" si="3"/>
        <v>5842658.7400000002</v>
      </c>
      <c r="AU9" s="12">
        <f t="shared" si="3"/>
        <v>-735043.0700000003</v>
      </c>
      <c r="AV9" s="12">
        <f t="shared" si="3"/>
        <v>8692321.1499999985</v>
      </c>
      <c r="AW9" s="12">
        <f t="shared" si="3"/>
        <v>2759687.7100000004</v>
      </c>
      <c r="AX9" s="12">
        <f t="shared" si="3"/>
        <v>197541</v>
      </c>
      <c r="AY9" s="12">
        <f t="shared" si="3"/>
        <v>-156279.87000000011</v>
      </c>
      <c r="AZ9" s="12">
        <f t="shared" si="3"/>
        <v>15130371.18</v>
      </c>
      <c r="BA9" s="12">
        <f t="shared" si="3"/>
        <v>51593.350000000093</v>
      </c>
      <c r="BB9" s="12">
        <f t="shared" si="3"/>
        <v>5751415</v>
      </c>
      <c r="BC9" s="12">
        <f t="shared" si="3"/>
        <v>-341679.30999999994</v>
      </c>
      <c r="BD9" s="12">
        <f t="shared" si="3"/>
        <v>45122415.25</v>
      </c>
      <c r="BE9" s="12">
        <f t="shared" si="3"/>
        <v>1811514.0200000005</v>
      </c>
      <c r="BF9" s="12">
        <f t="shared" si="0"/>
        <v>190004877.03999999</v>
      </c>
      <c r="BG9" s="12">
        <f t="shared" si="1"/>
        <v>928339.90999999666</v>
      </c>
      <c r="BH9" s="12">
        <f t="shared" si="2"/>
        <v>109369060.94</v>
      </c>
    </row>
    <row r="10" spans="1:62" x14ac:dyDescent="0.25">
      <c r="B10" s="146"/>
      <c r="D10" s="12"/>
      <c r="BF10" s="12"/>
      <c r="BG10" s="12"/>
      <c r="BH10" s="12"/>
    </row>
    <row r="11" spans="1:62" x14ac:dyDescent="0.25">
      <c r="A11" s="140" t="s">
        <v>277</v>
      </c>
      <c r="B11" s="141" t="s">
        <v>224</v>
      </c>
      <c r="C11" s="140">
        <v>400</v>
      </c>
      <c r="D11" s="142">
        <f>'Base de données indicateurs1'!BF39</f>
        <v>170790423.49000001</v>
      </c>
      <c r="E11" s="12">
        <f>'Base de données indicateurs1'!E39</f>
        <v>2262700.1</v>
      </c>
      <c r="F11" s="12">
        <f>'Base de données indicateurs1'!F39</f>
        <v>394584.4</v>
      </c>
      <c r="G11" s="12">
        <f>'Base de données indicateurs1'!G39</f>
        <v>1139128.03</v>
      </c>
      <c r="H11" s="12">
        <f>'Base de données indicateurs1'!H39</f>
        <v>950656.41</v>
      </c>
      <c r="I11" s="12">
        <f>'Base de données indicateurs1'!I39</f>
        <v>7671731</v>
      </c>
      <c r="J11" s="12">
        <f>'Base de données indicateurs1'!J39</f>
        <v>7674815.9800000004</v>
      </c>
      <c r="K11" s="12">
        <f>'Base de données indicateurs1'!K39</f>
        <v>6509152.8200000003</v>
      </c>
      <c r="L11" s="12">
        <f>'Base de données indicateurs1'!L39</f>
        <v>29188230.370000001</v>
      </c>
      <c r="M11" s="12">
        <f>'Base de données indicateurs1'!M39</f>
        <v>3029773.01</v>
      </c>
      <c r="N11" s="12">
        <f>'Base de données indicateurs1'!N39</f>
        <v>191379.45</v>
      </c>
      <c r="O11" s="12">
        <f>'Base de données indicateurs1'!O39</f>
        <v>14939845.5</v>
      </c>
      <c r="P11" s="12">
        <f>'Base de données indicateurs1'!P39</f>
        <v>1017923.84</v>
      </c>
      <c r="Q11" s="12">
        <f>'Base de données indicateurs1'!Q39</f>
        <v>207778.13</v>
      </c>
      <c r="R11" s="12">
        <f>'Base de données indicateurs1'!R39</f>
        <v>999136.44</v>
      </c>
      <c r="S11" s="12">
        <f>'Base de données indicateurs1'!S39</f>
        <v>640644.31000000006</v>
      </c>
      <c r="T11" s="12">
        <f>'Base de données indicateurs1'!T39</f>
        <v>2080807.3</v>
      </c>
      <c r="U11" s="12">
        <f>'Base de données indicateurs1'!U39</f>
        <v>447890.85</v>
      </c>
      <c r="V11" s="12">
        <f>'Base de données indicateurs1'!V39</f>
        <v>1095422.74</v>
      </c>
      <c r="W11" s="12">
        <f>'Base de données indicateurs1'!W39</f>
        <v>6728443.8799999999</v>
      </c>
      <c r="X11" s="12">
        <f>'Base de données indicateurs1'!X39</f>
        <v>746834.75</v>
      </c>
      <c r="Y11" s="12">
        <f>'Base de données indicateurs1'!Y39</f>
        <v>4344563.7</v>
      </c>
      <c r="Z11" s="12">
        <f>'Base de données indicateurs1'!Z39</f>
        <v>3016734.59</v>
      </c>
      <c r="AA11" s="12">
        <f>'Base de données indicateurs1'!AA39</f>
        <v>162980.45000000001</v>
      </c>
      <c r="AB11" s="12">
        <f>'Base de données indicateurs1'!AB39</f>
        <v>290960.59000000003</v>
      </c>
      <c r="AC11" s="12">
        <f>'Base de données indicateurs1'!AC39</f>
        <v>1263965.1499999999</v>
      </c>
      <c r="AD11" s="12">
        <f>'Base de données indicateurs1'!AD39</f>
        <v>1550453.62</v>
      </c>
      <c r="AE11" s="12">
        <f>'Base de données indicateurs1'!AE39</f>
        <v>1150391.33</v>
      </c>
      <c r="AF11" s="12">
        <f>'Base de données indicateurs1'!AF39</f>
        <v>1344189.14</v>
      </c>
      <c r="AG11" s="12">
        <f>'Base de données indicateurs1'!AG39</f>
        <v>4697662.17</v>
      </c>
      <c r="AH11" s="12">
        <f>'Base de données indicateurs1'!AH39</f>
        <v>6280726.4000000004</v>
      </c>
      <c r="AI11" s="12">
        <f>'Base de données indicateurs1'!AI39</f>
        <v>561108</v>
      </c>
      <c r="AJ11" s="12">
        <f>'Base de données indicateurs1'!AJ39</f>
        <v>246941.98</v>
      </c>
      <c r="AK11" s="12">
        <f>'Base de données indicateurs1'!AK39</f>
        <v>4913883.17</v>
      </c>
      <c r="AL11" s="12">
        <f>'Base de données indicateurs1'!AL39</f>
        <v>2112923</v>
      </c>
      <c r="AM11" s="12">
        <f>'Base de données indicateurs1'!AM39</f>
        <v>2384568.14</v>
      </c>
      <c r="AN11" s="12">
        <f>'Base de données indicateurs1'!AN39</f>
        <v>269179</v>
      </c>
      <c r="AO11" s="12">
        <f>'Base de données indicateurs1'!AO39</f>
        <v>3543365.99</v>
      </c>
      <c r="AP11" s="12">
        <f>'Base de données indicateurs1'!AP39</f>
        <v>1427538.26</v>
      </c>
      <c r="AQ11" s="12">
        <f>'Base de données indicateurs1'!AQ39</f>
        <v>1396588</v>
      </c>
      <c r="AR11" s="12">
        <f>'Base de données indicateurs1'!AR39</f>
        <v>2314628.2999999998</v>
      </c>
      <c r="AS11" s="12">
        <f>'Base de données indicateurs1'!AS39</f>
        <v>1555418.93</v>
      </c>
      <c r="AT11" s="12">
        <f>'Base de données indicateurs1'!AT39</f>
        <v>2260301.69</v>
      </c>
      <c r="AU11" s="12">
        <f>'Base de données indicateurs1'!AU39</f>
        <v>665145.5</v>
      </c>
      <c r="AV11" s="12">
        <f>'Base de données indicateurs1'!AV39</f>
        <v>5397412.5199999996</v>
      </c>
      <c r="AW11" s="12">
        <f>'Base de données indicateurs1'!AW39</f>
        <v>1851760.6</v>
      </c>
      <c r="AX11" s="12">
        <f>'Base de données indicateurs1'!AX39</f>
        <v>313766.09999999998</v>
      </c>
      <c r="AY11" s="12">
        <f>'Base de données indicateurs1'!AY39</f>
        <v>678698.3</v>
      </c>
      <c r="AZ11" s="12">
        <f>'Base de données indicateurs1'!AZ39</f>
        <v>4101354</v>
      </c>
      <c r="BA11" s="12">
        <f>'Base de données indicateurs1'!BA39</f>
        <v>693667.73</v>
      </c>
      <c r="BB11" s="12">
        <f>'Base de données indicateurs1'!BB39</f>
        <v>2709050</v>
      </c>
      <c r="BC11" s="12">
        <f>'Base de données indicateurs1'!BC39</f>
        <v>301178.40000000002</v>
      </c>
      <c r="BD11" s="12">
        <f>'Base de données indicateurs1'!BD39</f>
        <v>17855510.039999999</v>
      </c>
      <c r="BE11" s="12">
        <f>'Base de données indicateurs1'!BE39</f>
        <v>1216929.3899999999</v>
      </c>
      <c r="BF11" s="12">
        <f t="shared" si="0"/>
        <v>87170044.559999973</v>
      </c>
      <c r="BG11" s="12">
        <f t="shared" si="1"/>
        <v>25657511.870000001</v>
      </c>
      <c r="BH11" s="12">
        <f t="shared" si="2"/>
        <v>57962867.059999995</v>
      </c>
    </row>
    <row r="12" spans="1:62" x14ac:dyDescent="0.25">
      <c r="A12" s="143" t="s">
        <v>279</v>
      </c>
      <c r="B12" s="144" t="s">
        <v>224</v>
      </c>
      <c r="C12" s="143">
        <v>401</v>
      </c>
      <c r="D12" s="145">
        <f>'Base de données indicateurs1'!BF40</f>
        <v>26325477.629999988</v>
      </c>
      <c r="E12" s="12">
        <f>'Base de données indicateurs1'!E40</f>
        <v>104082.17</v>
      </c>
      <c r="F12" s="12">
        <f>'Base de données indicateurs1'!F40</f>
        <v>4199.7</v>
      </c>
      <c r="G12" s="12">
        <f>'Base de données indicateurs1'!G40</f>
        <v>-8741.4500000000007</v>
      </c>
      <c r="H12" s="12">
        <f>'Base de données indicateurs1'!H40</f>
        <v>-15810.9</v>
      </c>
      <c r="I12" s="12">
        <f>'Base de données indicateurs1'!I40</f>
        <v>410566</v>
      </c>
      <c r="J12" s="12">
        <f>'Base de données indicateurs1'!J40</f>
        <v>435109.2</v>
      </c>
      <c r="K12" s="12">
        <f>'Base de données indicateurs1'!K40</f>
        <v>1158851.46</v>
      </c>
      <c r="L12" s="12">
        <f>'Base de données indicateurs1'!L40</f>
        <v>4132816.72</v>
      </c>
      <c r="M12" s="12">
        <f>'Base de données indicateurs1'!M40</f>
        <v>169303.3</v>
      </c>
      <c r="N12" s="12">
        <f>'Base de données indicateurs1'!N40</f>
        <v>10437.31</v>
      </c>
      <c r="O12" s="12">
        <f>'Base de données indicateurs1'!O40</f>
        <v>1422894.55</v>
      </c>
      <c r="P12" s="12">
        <f>'Base de données indicateurs1'!P40</f>
        <v>1536.15</v>
      </c>
      <c r="Q12" s="12">
        <f>'Base de données indicateurs1'!Q40</f>
        <v>400.65</v>
      </c>
      <c r="R12" s="12">
        <f>'Base de données indicateurs1'!R40</f>
        <v>634.11</v>
      </c>
      <c r="S12" s="12">
        <f>'Base de données indicateurs1'!S40</f>
        <v>2644.55</v>
      </c>
      <c r="T12" s="12">
        <f>'Base de données indicateurs1'!T40</f>
        <v>-10344.4</v>
      </c>
      <c r="U12" s="12">
        <f>'Base de données indicateurs1'!U40</f>
        <v>4057.45</v>
      </c>
      <c r="V12" s="12">
        <f>'Base de données indicateurs1'!V40</f>
        <v>242179.35</v>
      </c>
      <c r="W12" s="12">
        <f>'Base de données indicateurs1'!W40</f>
        <v>414822.18</v>
      </c>
      <c r="X12" s="12">
        <f>'Base de données indicateurs1'!X40</f>
        <v>4574.2</v>
      </c>
      <c r="Y12" s="12">
        <f>'Base de données indicateurs1'!Y40</f>
        <v>112507.6</v>
      </c>
      <c r="Z12" s="12">
        <f>'Base de données indicateurs1'!Z40</f>
        <v>6938409.75</v>
      </c>
      <c r="AA12" s="12">
        <f>'Base de données indicateurs1'!AA40</f>
        <v>102.2</v>
      </c>
      <c r="AB12" s="12">
        <f>'Base de données indicateurs1'!AB40</f>
        <v>-5685.3</v>
      </c>
      <c r="AC12" s="12">
        <f>'Base de données indicateurs1'!AC40</f>
        <v>72681.350000000006</v>
      </c>
      <c r="AD12" s="12">
        <f>'Base de données indicateurs1'!AD40</f>
        <v>74341.350000000006</v>
      </c>
      <c r="AE12" s="12">
        <f>'Base de données indicateurs1'!AE40</f>
        <v>23967.7</v>
      </c>
      <c r="AF12" s="12">
        <f>'Base de données indicateurs1'!AF40</f>
        <v>48888.36</v>
      </c>
      <c r="AG12" s="12">
        <f>'Base de données indicateurs1'!AG40</f>
        <v>1308463.1000000001</v>
      </c>
      <c r="AH12" s="12">
        <f>'Base de données indicateurs1'!AH40</f>
        <v>480060.95</v>
      </c>
      <c r="AI12" s="12">
        <f>'Base de données indicateurs1'!AI40</f>
        <v>0</v>
      </c>
      <c r="AJ12" s="12">
        <f>'Base de données indicateurs1'!AJ40</f>
        <v>-559.15</v>
      </c>
      <c r="AK12" s="12">
        <f>'Base de données indicateurs1'!AK40</f>
        <v>381200.4</v>
      </c>
      <c r="AL12" s="12">
        <f>'Base de données indicateurs1'!AL40</f>
        <v>15337</v>
      </c>
      <c r="AM12" s="12">
        <f>'Base de données indicateurs1'!AM40</f>
        <v>70712.149999999994</v>
      </c>
      <c r="AN12" s="12">
        <f>'Base de données indicateurs1'!AN40</f>
        <v>41575</v>
      </c>
      <c r="AO12" s="12">
        <f>'Base de données indicateurs1'!AO40</f>
        <v>4126565.45</v>
      </c>
      <c r="AP12" s="12">
        <f>'Base de données indicateurs1'!AP40</f>
        <v>-20679.21</v>
      </c>
      <c r="AQ12" s="12">
        <f>'Base de données indicateurs1'!AQ40</f>
        <v>126130</v>
      </c>
      <c r="AR12" s="12">
        <f>'Base de données indicateurs1'!AR40</f>
        <v>21170.65</v>
      </c>
      <c r="AS12" s="12">
        <f>'Base de données indicateurs1'!AS40</f>
        <v>24447.4</v>
      </c>
      <c r="AT12" s="12">
        <f>'Base de données indicateurs1'!AT40</f>
        <v>18304.88</v>
      </c>
      <c r="AU12" s="12">
        <f>'Base de données indicateurs1'!AU40</f>
        <v>124189.1</v>
      </c>
      <c r="AV12" s="12">
        <f>'Base de données indicateurs1'!AV40</f>
        <v>395818.19</v>
      </c>
      <c r="AW12" s="12">
        <f>'Base de données indicateurs1'!AW40</f>
        <v>374940.27</v>
      </c>
      <c r="AX12" s="12">
        <f>'Base de données indicateurs1'!AX40</f>
        <v>7008.05</v>
      </c>
      <c r="AY12" s="12">
        <f>'Base de données indicateurs1'!AY40</f>
        <v>11008.4</v>
      </c>
      <c r="AZ12" s="12">
        <f>'Base de données indicateurs1'!AZ40</f>
        <v>49702.400000000001</v>
      </c>
      <c r="BA12" s="12">
        <f>'Base de données indicateurs1'!BA40</f>
        <v>16074.4</v>
      </c>
      <c r="BB12" s="12">
        <f>'Base de données indicateurs1'!BB40</f>
        <v>302844</v>
      </c>
      <c r="BC12" s="12">
        <f>'Base de données indicateurs1'!BC40</f>
        <v>10835.15</v>
      </c>
      <c r="BD12" s="12">
        <f>'Base de données indicateurs1'!BD40</f>
        <v>2575460.19</v>
      </c>
      <c r="BE12" s="12">
        <f>'Base de données indicateurs1'!BE40</f>
        <v>115443.55</v>
      </c>
      <c r="BF12" s="12">
        <f t="shared" si="0"/>
        <v>8479638.0999999996</v>
      </c>
      <c r="BG12" s="12">
        <f t="shared" si="1"/>
        <v>9057752.1099999994</v>
      </c>
      <c r="BH12" s="12">
        <f t="shared" si="2"/>
        <v>8788087.4200000037</v>
      </c>
      <c r="BJ12" s="12"/>
    </row>
    <row r="13" spans="1:62" x14ac:dyDescent="0.25">
      <c r="A13" s="143" t="s">
        <v>496</v>
      </c>
      <c r="B13" s="144" t="s">
        <v>497</v>
      </c>
      <c r="C13" s="148" t="s">
        <v>498</v>
      </c>
      <c r="D13" s="145">
        <f>'Base de données indicateurs1'!BF49-'Base de données indicateurs1'!BF27</f>
        <v>7712419</v>
      </c>
      <c r="E13" s="12">
        <f>'Base de données indicateurs1'!E49-'Base de données indicateurs1'!E27</f>
        <v>-16618</v>
      </c>
      <c r="F13" s="12">
        <f>'Base de données indicateurs1'!F49-'Base de données indicateurs1'!F27</f>
        <v>127563</v>
      </c>
      <c r="G13" s="12">
        <f>'Base de données indicateurs1'!G49-'Base de données indicateurs1'!G27</f>
        <v>65232</v>
      </c>
      <c r="H13" s="12">
        <f>'Base de données indicateurs1'!H49-'Base de données indicateurs1'!H27</f>
        <v>137174</v>
      </c>
      <c r="I13" s="12">
        <f>'Base de données indicateurs1'!I49-'Base de données indicateurs1'!I27</f>
        <v>1350784</v>
      </c>
      <c r="J13" s="12">
        <f>'Base de données indicateurs1'!J49-'Base de données indicateurs1'!J27</f>
        <v>15099</v>
      </c>
      <c r="K13" s="12">
        <f>'Base de données indicateurs1'!K49-'Base de données indicateurs1'!K27</f>
        <v>-212945</v>
      </c>
      <c r="L13" s="12">
        <f>'Base de données indicateurs1'!L49-'Base de données indicateurs1'!L27</f>
        <v>-407839</v>
      </c>
      <c r="M13" s="12">
        <f>'Base de données indicateurs1'!M49-'Base de données indicateurs1'!M27</f>
        <v>56476</v>
      </c>
      <c r="N13" s="12">
        <f>'Base de données indicateurs1'!N49-'Base de données indicateurs1'!N27</f>
        <v>127244</v>
      </c>
      <c r="O13" s="12">
        <f>'Base de données indicateurs1'!O49-'Base de données indicateurs1'!O27</f>
        <v>2422025</v>
      </c>
      <c r="P13" s="12">
        <f>'Base de données indicateurs1'!P49-'Base de données indicateurs1'!P27</f>
        <v>301970</v>
      </c>
      <c r="Q13" s="12">
        <f>'Base de données indicateurs1'!Q49-'Base de données indicateurs1'!Q27</f>
        <v>68749</v>
      </c>
      <c r="R13" s="12">
        <f>'Base de données indicateurs1'!R49-'Base de données indicateurs1'!R27</f>
        <v>142304</v>
      </c>
      <c r="S13" s="12">
        <f>'Base de données indicateurs1'!S49-'Base de données indicateurs1'!S27</f>
        <v>223270</v>
      </c>
      <c r="T13" s="12">
        <f>'Base de données indicateurs1'!T49-'Base de données indicateurs1'!T27</f>
        <v>-27562</v>
      </c>
      <c r="U13" s="12">
        <f>'Base de données indicateurs1'!U49-'Base de données indicateurs1'!U27</f>
        <v>110822</v>
      </c>
      <c r="V13" s="12">
        <f>'Base de données indicateurs1'!V49-'Base de données indicateurs1'!V27</f>
        <v>-17492</v>
      </c>
      <c r="W13" s="12">
        <f>'Base de données indicateurs1'!W49-'Base de données indicateurs1'!W27</f>
        <v>1141852</v>
      </c>
      <c r="X13" s="12">
        <f>'Base de données indicateurs1'!X49-'Base de données indicateurs1'!X27</f>
        <v>34964</v>
      </c>
      <c r="Y13" s="12">
        <f>'Base de données indicateurs1'!Y49-'Base de données indicateurs1'!Y27</f>
        <v>22802</v>
      </c>
      <c r="Z13" s="12">
        <f>'Base de données indicateurs1'!Z49-'Base de données indicateurs1'!Z27</f>
        <v>27962</v>
      </c>
      <c r="AA13" s="12">
        <f>'Base de données indicateurs1'!AA49-'Base de données indicateurs1'!AA27</f>
        <v>44458</v>
      </c>
      <c r="AB13" s="12">
        <f>'Base de données indicateurs1'!AB49-'Base de données indicateurs1'!AB27</f>
        <v>83800</v>
      </c>
      <c r="AC13" s="12">
        <f>'Base de données indicateurs1'!AC49-'Base de données indicateurs1'!AC27</f>
        <v>92618</v>
      </c>
      <c r="AD13" s="12">
        <f>'Base de données indicateurs1'!AD49-'Base de données indicateurs1'!AD27</f>
        <v>289439</v>
      </c>
      <c r="AE13" s="12">
        <f>'Base de données indicateurs1'!AE49-'Base de données indicateurs1'!AE27</f>
        <v>261508</v>
      </c>
      <c r="AF13" s="12">
        <f>'Base de données indicateurs1'!AF49-'Base de données indicateurs1'!AF27</f>
        <v>-117790</v>
      </c>
      <c r="AG13" s="12">
        <f>'Base de données indicateurs1'!AG49-'Base de données indicateurs1'!AG27</f>
        <v>-314160</v>
      </c>
      <c r="AH13" s="12">
        <f>'Base de données indicateurs1'!AH49-'Base de données indicateurs1'!AH27</f>
        <v>303952</v>
      </c>
      <c r="AI13" s="12">
        <f>'Base de données indicateurs1'!AI49-'Base de données indicateurs1'!AI27</f>
        <v>34404</v>
      </c>
      <c r="AJ13" s="12">
        <f>'Base de données indicateurs1'!AJ49-'Base de données indicateurs1'!AJ27</f>
        <v>84728</v>
      </c>
      <c r="AK13" s="12">
        <f>'Base de données indicateurs1'!AK49-'Base de données indicateurs1'!AK27</f>
        <v>255372</v>
      </c>
      <c r="AL13" s="12">
        <f>'Base de données indicateurs1'!AL49-'Base de données indicateurs1'!AL27</f>
        <v>541439</v>
      </c>
      <c r="AM13" s="12">
        <f>'Base de données indicateurs1'!AM49-'Base de données indicateurs1'!AM27</f>
        <v>554244</v>
      </c>
      <c r="AN13" s="12">
        <f>'Base de données indicateurs1'!AN49-'Base de données indicateurs1'!AN27</f>
        <v>20060</v>
      </c>
      <c r="AO13" s="12">
        <f>'Base de données indicateurs1'!AO49-'Base de données indicateurs1'!AO27</f>
        <v>-1442298</v>
      </c>
      <c r="AP13" s="12">
        <f>'Base de données indicateurs1'!AP49-'Base de données indicateurs1'!AP27</f>
        <v>0</v>
      </c>
      <c r="AQ13" s="12">
        <f>'Base de données indicateurs1'!AQ49-'Base de données indicateurs1'!AQ27</f>
        <v>41602</v>
      </c>
      <c r="AR13" s="12">
        <f>'Base de données indicateurs1'!AR49-'Base de données indicateurs1'!AR27</f>
        <v>355906</v>
      </c>
      <c r="AS13" s="12">
        <f>'Base de données indicateurs1'!AS49-'Base de données indicateurs1'!AS27</f>
        <v>337284</v>
      </c>
      <c r="AT13" s="12">
        <f>'Base de données indicateurs1'!AT49-'Base de données indicateurs1'!AT27</f>
        <v>307002</v>
      </c>
      <c r="AU13" s="12">
        <f>'Base de données indicateurs1'!AU49-'Base de données indicateurs1'!AU27</f>
        <v>-341674</v>
      </c>
      <c r="AV13" s="12">
        <f>'Base de données indicateurs1'!AV49-'Base de données indicateurs1'!AV27</f>
        <v>352294</v>
      </c>
      <c r="AW13" s="12">
        <f>'Base de données indicateurs1'!AW49-'Base de données indicateurs1'!AW27</f>
        <v>29564</v>
      </c>
      <c r="AX13" s="12">
        <f>'Base de données indicateurs1'!AX49-'Base de données indicateurs1'!AX27</f>
        <v>75954</v>
      </c>
      <c r="AY13" s="12">
        <f>'Base de données indicateurs1'!AY49-'Base de données indicateurs1'!AY27</f>
        <v>137830</v>
      </c>
      <c r="AZ13" s="12">
        <f>'Base de données indicateurs1'!AZ49-'Base de données indicateurs1'!AZ27</f>
        <v>227354</v>
      </c>
      <c r="BA13" s="12">
        <f>'Base de données indicateurs1'!BA49-'Base de données indicateurs1'!BA27</f>
        <v>147394</v>
      </c>
      <c r="BB13" s="12">
        <f>'Base de données indicateurs1'!BB49-'Base de données indicateurs1'!BB27</f>
        <v>-8093</v>
      </c>
      <c r="BC13" s="12">
        <f>'Base de données indicateurs1'!BC49-'Base de données indicateurs1'!BC27</f>
        <v>138528</v>
      </c>
      <c r="BD13" s="12">
        <f>'Base de données indicateurs1'!BD49-'Base de données indicateurs1'!BD27</f>
        <v>-679030</v>
      </c>
      <c r="BE13" s="12">
        <f>'Base de données indicateurs1'!BE49-'Base de données indicateurs1'!BE27</f>
        <v>204894</v>
      </c>
      <c r="BF13" s="12">
        <f t="shared" si="0"/>
        <v>5608108</v>
      </c>
      <c r="BG13" s="12">
        <f t="shared" si="1"/>
        <v>848685</v>
      </c>
      <c r="BH13" s="12">
        <f t="shared" si="2"/>
        <v>1255626</v>
      </c>
      <c r="BJ13" s="12"/>
    </row>
    <row r="14" spans="1:62" x14ac:dyDescent="0.25">
      <c r="A14" s="143" t="s">
        <v>499</v>
      </c>
      <c r="B14" s="144" t="s">
        <v>224</v>
      </c>
      <c r="C14" s="143">
        <v>46228</v>
      </c>
      <c r="D14" s="145">
        <f>'Base de données indicateurs1'!BF50</f>
        <v>1299788.6499999999</v>
      </c>
      <c r="E14" s="12">
        <f>'Base de données indicateurs1'!E50</f>
        <v>0</v>
      </c>
      <c r="F14" s="12">
        <f>'Base de données indicateurs1'!F50</f>
        <v>0</v>
      </c>
      <c r="G14" s="12">
        <f>'Base de données indicateurs1'!G50</f>
        <v>0</v>
      </c>
      <c r="H14" s="12">
        <f>'Base de données indicateurs1'!H50</f>
        <v>0</v>
      </c>
      <c r="I14" s="12">
        <f>'Base de données indicateurs1'!I50</f>
        <v>0</v>
      </c>
      <c r="J14" s="12">
        <f>'Base de données indicateurs1'!J50</f>
        <v>0</v>
      </c>
      <c r="K14" s="12">
        <f>'Base de données indicateurs1'!K50</f>
        <v>0</v>
      </c>
      <c r="L14" s="12">
        <f>'Base de données indicateurs1'!L50</f>
        <v>882357.8</v>
      </c>
      <c r="M14" s="12">
        <f>'Base de données indicateurs1'!M50</f>
        <v>0</v>
      </c>
      <c r="N14" s="12">
        <f>'Base de données indicateurs1'!N50</f>
        <v>0</v>
      </c>
      <c r="O14" s="12">
        <f>'Base de données indicateurs1'!O50</f>
        <v>0</v>
      </c>
      <c r="P14" s="12">
        <f>'Base de données indicateurs1'!P50</f>
        <v>0</v>
      </c>
      <c r="Q14" s="12">
        <f>'Base de données indicateurs1'!Q50</f>
        <v>0</v>
      </c>
      <c r="R14" s="12">
        <f>'Base de données indicateurs1'!R50</f>
        <v>0</v>
      </c>
      <c r="S14" s="12">
        <f>'Base de données indicateurs1'!S50</f>
        <v>0</v>
      </c>
      <c r="T14" s="12">
        <f>'Base de données indicateurs1'!T50</f>
        <v>0</v>
      </c>
      <c r="U14" s="12">
        <f>'Base de données indicateurs1'!U50</f>
        <v>0</v>
      </c>
      <c r="V14" s="12">
        <f>'Base de données indicateurs1'!V50</f>
        <v>0</v>
      </c>
      <c r="W14" s="12">
        <f>'Base de données indicateurs1'!W50</f>
        <v>0</v>
      </c>
      <c r="X14" s="12">
        <f>'Base de données indicateurs1'!X50</f>
        <v>0</v>
      </c>
      <c r="Y14" s="12">
        <f>'Base de données indicateurs1'!Y50</f>
        <v>0</v>
      </c>
      <c r="Z14" s="12">
        <f>'Base de données indicateurs1'!Z50</f>
        <v>0</v>
      </c>
      <c r="AA14" s="12">
        <f>'Base de données indicateurs1'!AA50</f>
        <v>44</v>
      </c>
      <c r="AB14" s="12">
        <f>'Base de données indicateurs1'!AB50</f>
        <v>0</v>
      </c>
      <c r="AC14" s="12">
        <f>'Base de données indicateurs1'!AC50</f>
        <v>0</v>
      </c>
      <c r="AD14" s="12">
        <f>'Base de données indicateurs1'!AD50</f>
        <v>0</v>
      </c>
      <c r="AE14" s="12">
        <f>'Base de données indicateurs1'!AE50</f>
        <v>0</v>
      </c>
      <c r="AF14" s="12">
        <f>'Base de données indicateurs1'!AF50</f>
        <v>0</v>
      </c>
      <c r="AG14" s="12">
        <f>'Base de données indicateurs1'!AG50</f>
        <v>0</v>
      </c>
      <c r="AH14" s="12">
        <f>'Base de données indicateurs1'!AH50</f>
        <v>0</v>
      </c>
      <c r="AI14" s="12">
        <f>'Base de données indicateurs1'!AI50</f>
        <v>0</v>
      </c>
      <c r="AJ14" s="12">
        <f>'Base de données indicateurs1'!AJ50</f>
        <v>0</v>
      </c>
      <c r="AK14" s="12">
        <f>'Base de données indicateurs1'!AK50</f>
        <v>0</v>
      </c>
      <c r="AL14" s="12">
        <f>'Base de données indicateurs1'!AL50</f>
        <v>0</v>
      </c>
      <c r="AM14" s="12">
        <f>'Base de données indicateurs1'!AM50</f>
        <v>0</v>
      </c>
      <c r="AN14" s="12">
        <f>'Base de données indicateurs1'!AN50</f>
        <v>0</v>
      </c>
      <c r="AO14" s="12">
        <f>'Base de données indicateurs1'!AO50</f>
        <v>0</v>
      </c>
      <c r="AP14" s="12">
        <f>'Base de données indicateurs1'!AP50</f>
        <v>0</v>
      </c>
      <c r="AQ14" s="12">
        <f>'Base de données indicateurs1'!AQ50</f>
        <v>0</v>
      </c>
      <c r="AR14" s="12">
        <f>'Base de données indicateurs1'!AR50</f>
        <v>0</v>
      </c>
      <c r="AS14" s="12">
        <f>'Base de données indicateurs1'!AS50</f>
        <v>0</v>
      </c>
      <c r="AT14" s="12">
        <f>'Base de données indicateurs1'!AT50</f>
        <v>0</v>
      </c>
      <c r="AU14" s="12">
        <f>'Base de données indicateurs1'!AU50</f>
        <v>0</v>
      </c>
      <c r="AV14" s="12">
        <f>'Base de données indicateurs1'!AV50</f>
        <v>0</v>
      </c>
      <c r="AW14" s="12">
        <f>'Base de données indicateurs1'!AW50</f>
        <v>0</v>
      </c>
      <c r="AX14" s="12">
        <f>'Base de données indicateurs1'!AX50</f>
        <v>0</v>
      </c>
      <c r="AY14" s="12">
        <f>'Base de données indicateurs1'!AY50</f>
        <v>0</v>
      </c>
      <c r="AZ14" s="12">
        <f>'Base de données indicateurs1'!AZ50</f>
        <v>0</v>
      </c>
      <c r="BA14" s="12">
        <f>'Base de données indicateurs1'!BA50</f>
        <v>0</v>
      </c>
      <c r="BB14" s="12">
        <f>'Base de données indicateurs1'!BB50</f>
        <v>0</v>
      </c>
      <c r="BC14" s="12">
        <f>'Base de données indicateurs1'!BC50</f>
        <v>0</v>
      </c>
      <c r="BD14" s="12">
        <f>'Base de données indicateurs1'!BD50</f>
        <v>417386.85</v>
      </c>
      <c r="BE14" s="12">
        <f>'Base de données indicateurs1'!BE50</f>
        <v>0</v>
      </c>
      <c r="BF14" s="12">
        <f t="shared" si="0"/>
        <v>882357.8</v>
      </c>
      <c r="BG14" s="12">
        <f t="shared" si="1"/>
        <v>44</v>
      </c>
      <c r="BH14" s="12">
        <f t="shared" si="2"/>
        <v>417386.85</v>
      </c>
      <c r="BJ14" s="12"/>
    </row>
    <row r="15" spans="1:62" ht="14.4" thickBot="1" x14ac:dyDescent="0.3">
      <c r="B15" s="146"/>
      <c r="D15" s="12"/>
      <c r="BF15" s="12"/>
      <c r="BG15" s="12"/>
      <c r="BH15" s="12"/>
      <c r="BJ15" s="12"/>
    </row>
    <row r="16" spans="1:62" ht="14.4" thickBot="1" x14ac:dyDescent="0.3">
      <c r="A16" s="6" t="s">
        <v>500</v>
      </c>
      <c r="B16" s="97"/>
      <c r="C16" s="6"/>
      <c r="D16" s="147">
        <f>D11+D12+D13+D14</f>
        <v>206128108.77000001</v>
      </c>
      <c r="E16" s="12">
        <f>E11+E12+E13+E14</f>
        <v>2350164.27</v>
      </c>
      <c r="F16" s="12">
        <f t="shared" ref="F16:BE16" si="4">F11+F12+F13+F14</f>
        <v>526347.10000000009</v>
      </c>
      <c r="G16" s="12">
        <f t="shared" si="4"/>
        <v>1195618.58</v>
      </c>
      <c r="H16" s="12">
        <f t="shared" si="4"/>
        <v>1072019.51</v>
      </c>
      <c r="I16" s="12">
        <f t="shared" si="4"/>
        <v>9433081</v>
      </c>
      <c r="J16" s="12">
        <f t="shared" si="4"/>
        <v>8125024.1800000006</v>
      </c>
      <c r="K16" s="12">
        <f t="shared" si="4"/>
        <v>7455059.2800000003</v>
      </c>
      <c r="L16" s="12">
        <f t="shared" si="4"/>
        <v>33795565.890000001</v>
      </c>
      <c r="M16" s="12">
        <f t="shared" si="4"/>
        <v>3255552.3099999996</v>
      </c>
      <c r="N16" s="12">
        <f t="shared" si="4"/>
        <v>329060.76</v>
      </c>
      <c r="O16" s="12">
        <f t="shared" si="4"/>
        <v>18784765.050000001</v>
      </c>
      <c r="P16" s="12">
        <f t="shared" si="4"/>
        <v>1321429.99</v>
      </c>
      <c r="Q16" s="12">
        <f t="shared" si="4"/>
        <v>276927.78000000003</v>
      </c>
      <c r="R16" s="12">
        <f t="shared" si="4"/>
        <v>1142074.5499999998</v>
      </c>
      <c r="S16" s="12">
        <f t="shared" si="4"/>
        <v>866558.8600000001</v>
      </c>
      <c r="T16" s="12">
        <f t="shared" si="4"/>
        <v>2042900.9000000001</v>
      </c>
      <c r="U16" s="12">
        <f t="shared" si="4"/>
        <v>562770.30000000005</v>
      </c>
      <c r="V16" s="12">
        <f t="shared" si="4"/>
        <v>1320110.0900000001</v>
      </c>
      <c r="W16" s="12">
        <f t="shared" si="4"/>
        <v>8285118.0599999996</v>
      </c>
      <c r="X16" s="12">
        <f t="shared" si="4"/>
        <v>786372.95</v>
      </c>
      <c r="Y16" s="12">
        <f t="shared" si="4"/>
        <v>4479873.3</v>
      </c>
      <c r="Z16" s="12">
        <f t="shared" si="4"/>
        <v>9983106.3399999999</v>
      </c>
      <c r="AA16" s="12">
        <f t="shared" si="4"/>
        <v>207584.65000000002</v>
      </c>
      <c r="AB16" s="12">
        <f t="shared" si="4"/>
        <v>369075.29000000004</v>
      </c>
      <c r="AC16" s="12">
        <f t="shared" si="4"/>
        <v>1429264.5</v>
      </c>
      <c r="AD16" s="12">
        <f t="shared" si="4"/>
        <v>1914233.9700000002</v>
      </c>
      <c r="AE16" s="12">
        <f t="shared" si="4"/>
        <v>1435867.03</v>
      </c>
      <c r="AF16" s="12">
        <f t="shared" si="4"/>
        <v>1275287.5</v>
      </c>
      <c r="AG16" s="12">
        <f t="shared" si="4"/>
        <v>5691965.2699999996</v>
      </c>
      <c r="AH16" s="12">
        <f t="shared" si="4"/>
        <v>7064739.3500000006</v>
      </c>
      <c r="AI16" s="12">
        <f t="shared" si="4"/>
        <v>595512</v>
      </c>
      <c r="AJ16" s="12">
        <f t="shared" si="4"/>
        <v>331110.83</v>
      </c>
      <c r="AK16" s="12">
        <f t="shared" si="4"/>
        <v>5550455.5700000003</v>
      </c>
      <c r="AL16" s="12">
        <f t="shared" si="4"/>
        <v>2669699</v>
      </c>
      <c r="AM16" s="12">
        <f t="shared" si="4"/>
        <v>3009524.29</v>
      </c>
      <c r="AN16" s="12">
        <f t="shared" si="4"/>
        <v>330814</v>
      </c>
      <c r="AO16" s="12">
        <f t="shared" si="4"/>
        <v>6227633.4400000004</v>
      </c>
      <c r="AP16" s="12">
        <f t="shared" si="4"/>
        <v>1406859.05</v>
      </c>
      <c r="AQ16" s="12">
        <f t="shared" si="4"/>
        <v>1564320</v>
      </c>
      <c r="AR16" s="12">
        <f t="shared" si="4"/>
        <v>2691704.9499999997</v>
      </c>
      <c r="AS16" s="12">
        <f t="shared" si="4"/>
        <v>1917150.3299999998</v>
      </c>
      <c r="AT16" s="12">
        <f t="shared" si="4"/>
        <v>2585608.5699999998</v>
      </c>
      <c r="AU16" s="12">
        <f t="shared" si="4"/>
        <v>447660.6</v>
      </c>
      <c r="AV16" s="12">
        <f t="shared" si="4"/>
        <v>6145524.71</v>
      </c>
      <c r="AW16" s="12">
        <f t="shared" si="4"/>
        <v>2256264.87</v>
      </c>
      <c r="AX16" s="12">
        <f t="shared" si="4"/>
        <v>396728.14999999997</v>
      </c>
      <c r="AY16" s="12">
        <f t="shared" si="4"/>
        <v>827536.70000000007</v>
      </c>
      <c r="AZ16" s="12">
        <f t="shared" si="4"/>
        <v>4378410.4000000004</v>
      </c>
      <c r="BA16" s="12">
        <f t="shared" si="4"/>
        <v>857136.13</v>
      </c>
      <c r="BB16" s="12">
        <f t="shared" si="4"/>
        <v>3003801</v>
      </c>
      <c r="BC16" s="12">
        <f t="shared" si="4"/>
        <v>450541.55000000005</v>
      </c>
      <c r="BD16" s="12">
        <f t="shared" si="4"/>
        <v>20169327.080000002</v>
      </c>
      <c r="BE16" s="12">
        <f t="shared" si="4"/>
        <v>1537266.94</v>
      </c>
      <c r="BF16" s="12">
        <f t="shared" si="0"/>
        <v>102140148.46000001</v>
      </c>
      <c r="BG16" s="12">
        <f t="shared" si="1"/>
        <v>35563992.979999997</v>
      </c>
      <c r="BH16" s="12">
        <f t="shared" si="2"/>
        <v>68423967.329999998</v>
      </c>
      <c r="BJ16" s="12"/>
    </row>
    <row r="17" spans="1:62" ht="14.4" thickBot="1" x14ac:dyDescent="0.3">
      <c r="B17" s="146"/>
      <c r="D17" s="12"/>
      <c r="BF17" s="12"/>
      <c r="BG17" s="12"/>
      <c r="BH17" s="12"/>
      <c r="BJ17" s="12"/>
    </row>
    <row r="18" spans="1:62" ht="14.4" thickBot="1" x14ac:dyDescent="0.3">
      <c r="A18" s="6" t="s">
        <v>501</v>
      </c>
      <c r="B18" s="146"/>
      <c r="D18" s="147">
        <f>IF(D16&lt;&gt;0,D9/D16,"")*100</f>
        <v>145.68720378892164</v>
      </c>
      <c r="E18" s="149">
        <f>IF(E16&lt;&gt;0,E9/E16,"")*100</f>
        <v>185.09844888417101</v>
      </c>
      <c r="F18" s="75">
        <f t="shared" ref="F18:BH18" si="5">IF(F16&lt;&gt;0,F9/F16,"")*100</f>
        <v>256.53690311963345</v>
      </c>
      <c r="G18" s="75">
        <f t="shared" si="5"/>
        <v>193.22210516333735</v>
      </c>
      <c r="H18" s="75">
        <f t="shared" si="5"/>
        <v>2.7593527658838797</v>
      </c>
      <c r="I18" s="75">
        <f t="shared" si="5"/>
        <v>112.33235461457396</v>
      </c>
      <c r="J18" s="75">
        <f t="shared" si="5"/>
        <v>203.9099897177168</v>
      </c>
      <c r="K18" s="75">
        <f t="shared" si="5"/>
        <v>-5.7587390505632596</v>
      </c>
      <c r="L18" s="75">
        <f t="shared" si="5"/>
        <v>306.1634324656074</v>
      </c>
      <c r="M18" s="75">
        <f t="shared" si="5"/>
        <v>126.48004633044894</v>
      </c>
      <c r="N18" s="75">
        <f t="shared" si="5"/>
        <v>236.83485384279783</v>
      </c>
      <c r="O18" s="75">
        <f t="shared" si="5"/>
        <v>154.86203390124382</v>
      </c>
      <c r="P18" s="75">
        <f t="shared" si="5"/>
        <v>97.695961176119511</v>
      </c>
      <c r="Q18" s="75">
        <f t="shared" si="5"/>
        <v>-6.2666699599440978</v>
      </c>
      <c r="R18" s="75">
        <f t="shared" si="5"/>
        <v>143.83810759113757</v>
      </c>
      <c r="S18" s="75">
        <f t="shared" si="5"/>
        <v>174.72836294120859</v>
      </c>
      <c r="T18" s="75">
        <f t="shared" si="5"/>
        <v>-22.111467080953336</v>
      </c>
      <c r="U18" s="75">
        <f t="shared" si="5"/>
        <v>79.632269151374899</v>
      </c>
      <c r="V18" s="75">
        <f t="shared" si="5"/>
        <v>145.03159884188145</v>
      </c>
      <c r="W18" s="75">
        <f t="shared" si="5"/>
        <v>137.97383884231579</v>
      </c>
      <c r="X18" s="75">
        <f t="shared" si="5"/>
        <v>-139.26324907284771</v>
      </c>
      <c r="Y18" s="75">
        <f t="shared" si="5"/>
        <v>127.32867601411854</v>
      </c>
      <c r="Z18" s="75">
        <f t="shared" si="5"/>
        <v>-137.4979058872772</v>
      </c>
      <c r="AA18" s="75">
        <f t="shared" si="5"/>
        <v>43.222150578089433</v>
      </c>
      <c r="AB18" s="75">
        <f t="shared" si="5"/>
        <v>-57.176629191295845</v>
      </c>
      <c r="AC18" s="75">
        <f t="shared" si="5"/>
        <v>99.844492044684515</v>
      </c>
      <c r="AD18" s="75">
        <f t="shared" si="5"/>
        <v>299.4744205693936</v>
      </c>
      <c r="AE18" s="75">
        <f t="shared" si="5"/>
        <v>140.05991279011397</v>
      </c>
      <c r="AF18" s="75">
        <f t="shared" si="5"/>
        <v>-177.77147192299773</v>
      </c>
      <c r="AG18" s="75">
        <f t="shared" si="5"/>
        <v>-42.124481023054472</v>
      </c>
      <c r="AH18" s="75">
        <f t="shared" si="5"/>
        <v>100.14129905585263</v>
      </c>
      <c r="AI18" s="75">
        <f t="shared" si="5"/>
        <v>-39.423731175862123</v>
      </c>
      <c r="AJ18" s="75">
        <f t="shared" si="5"/>
        <v>-355.9920133086556</v>
      </c>
      <c r="AK18" s="75">
        <f t="shared" si="5"/>
        <v>209.75122245686219</v>
      </c>
      <c r="AL18" s="75">
        <f t="shared" si="5"/>
        <v>138.04327941089991</v>
      </c>
      <c r="AM18" s="75">
        <f t="shared" si="5"/>
        <v>216.39161882292032</v>
      </c>
      <c r="AN18" s="75">
        <f t="shared" si="5"/>
        <v>266.54112582901575</v>
      </c>
      <c r="AO18" s="75">
        <f t="shared" si="5"/>
        <v>-85.770448461077038</v>
      </c>
      <c r="AP18" s="75">
        <f t="shared" si="5"/>
        <v>141.23487921551202</v>
      </c>
      <c r="AQ18" s="75">
        <f t="shared" si="5"/>
        <v>147.90055743070471</v>
      </c>
      <c r="AR18" s="75">
        <f t="shared" si="5"/>
        <v>17.644383720437119</v>
      </c>
      <c r="AS18" s="75">
        <f t="shared" si="5"/>
        <v>161.01316061114522</v>
      </c>
      <c r="AT18" s="75">
        <f t="shared" si="5"/>
        <v>225.96841640264213</v>
      </c>
      <c r="AU18" s="75">
        <f t="shared" si="5"/>
        <v>-164.1965073540089</v>
      </c>
      <c r="AV18" s="75">
        <f t="shared" si="5"/>
        <v>141.44148075518842</v>
      </c>
      <c r="AW18" s="75">
        <f t="shared" si="5"/>
        <v>122.31222258936295</v>
      </c>
      <c r="AX18" s="75">
        <f t="shared" si="5"/>
        <v>49.792534258030344</v>
      </c>
      <c r="AY18" s="75">
        <f t="shared" si="5"/>
        <v>-18.884947338287244</v>
      </c>
      <c r="AZ18" s="75">
        <f t="shared" si="5"/>
        <v>345.56767862601453</v>
      </c>
      <c r="BA18" s="75">
        <f t="shared" si="5"/>
        <v>6.0192714079151104</v>
      </c>
      <c r="BB18" s="75">
        <f t="shared" si="5"/>
        <v>191.47123927317423</v>
      </c>
      <c r="BC18" s="75">
        <f t="shared" si="5"/>
        <v>-75.837469374356232</v>
      </c>
      <c r="BD18" s="75">
        <f t="shared" si="5"/>
        <v>223.7180004619172</v>
      </c>
      <c r="BE18" s="75">
        <f t="shared" si="5"/>
        <v>117.8399126959694</v>
      </c>
      <c r="BF18" s="75">
        <f t="shared" si="5"/>
        <v>186.02369382144519</v>
      </c>
      <c r="BG18" s="75">
        <f t="shared" si="5"/>
        <v>2.6103365573209509</v>
      </c>
      <c r="BH18" s="75">
        <f t="shared" si="5"/>
        <v>159.84027995998403</v>
      </c>
      <c r="BJ18" s="12"/>
    </row>
    <row r="19" spans="1:62" x14ac:dyDescent="0.25">
      <c r="A19" s="150" t="s">
        <v>502</v>
      </c>
      <c r="B19" s="146"/>
      <c r="D19" s="12"/>
      <c r="BF19" s="12"/>
      <c r="BG19" s="12"/>
      <c r="BH19" s="12"/>
      <c r="BJ19" s="12"/>
    </row>
    <row r="20" spans="1:62" x14ac:dyDescent="0.25">
      <c r="A20" s="150"/>
      <c r="B20" s="146"/>
      <c r="D20" s="12"/>
      <c r="BF20" s="12"/>
      <c r="BG20" s="12"/>
      <c r="BH20" s="12"/>
      <c r="BJ20" s="12"/>
    </row>
    <row r="21" spans="1:62" x14ac:dyDescent="0.25">
      <c r="B21" s="146"/>
      <c r="D21" s="12"/>
      <c r="BF21" s="12"/>
      <c r="BG21" s="12"/>
      <c r="BH21" s="12"/>
      <c r="BJ21" s="12"/>
    </row>
    <row r="22" spans="1:62" x14ac:dyDescent="0.25">
      <c r="A22" s="6" t="s">
        <v>503</v>
      </c>
      <c r="B22" s="146"/>
      <c r="D22" s="12"/>
      <c r="BF22" s="12"/>
      <c r="BG22" s="12"/>
      <c r="BH22" s="12"/>
      <c r="BJ22" s="12"/>
    </row>
    <row r="23" spans="1:62" x14ac:dyDescent="0.25">
      <c r="B23" s="146"/>
      <c r="D23" s="12"/>
      <c r="BF23" s="12"/>
      <c r="BG23" s="12"/>
      <c r="BH23" s="12"/>
      <c r="BJ23" s="12"/>
    </row>
    <row r="24" spans="1:62" x14ac:dyDescent="0.25">
      <c r="A24" s="140" t="s">
        <v>504</v>
      </c>
      <c r="B24" s="141"/>
      <c r="C24" s="151">
        <v>90</v>
      </c>
      <c r="D24" s="142">
        <f>'Base de données indicateurs1'!BF55</f>
        <v>4235594.42</v>
      </c>
      <c r="E24" s="12">
        <f>'Base de données indicateurs1'!E55</f>
        <v>-206117.81</v>
      </c>
      <c r="F24" s="12">
        <f>'Base de données indicateurs1'!F55</f>
        <v>-230931.74</v>
      </c>
      <c r="G24" s="12">
        <f>'Base de données indicateurs1'!G55</f>
        <v>277440.62</v>
      </c>
      <c r="H24" s="12">
        <f>'Base de données indicateurs1'!H55</f>
        <v>-54896.01</v>
      </c>
      <c r="I24" s="12">
        <f>'Base de données indicateurs1'!I55</f>
        <v>166774</v>
      </c>
      <c r="J24" s="12">
        <f>'Base de données indicateurs1'!J55</f>
        <v>317395</v>
      </c>
      <c r="K24" s="12">
        <f>'Base de données indicateurs1'!K55</f>
        <v>23773.27</v>
      </c>
      <c r="L24" s="12">
        <f>'Base de données indicateurs1'!L55</f>
        <v>-1042128.57</v>
      </c>
      <c r="M24" s="12">
        <f>'Base de données indicateurs1'!M55</f>
        <v>-288991.67</v>
      </c>
      <c r="N24" s="12">
        <f>'Base de données indicateurs1'!N55</f>
        <v>5101.07</v>
      </c>
      <c r="O24" s="12">
        <f>'Base de données indicateurs1'!O55</f>
        <v>383432.05</v>
      </c>
      <c r="P24" s="12">
        <f>'Base de données indicateurs1'!P55</f>
        <v>-86729.27</v>
      </c>
      <c r="Q24" s="12">
        <f>'Base de données indicateurs1'!Q55</f>
        <v>27333.61</v>
      </c>
      <c r="R24" s="12">
        <f>'Base de données indicateurs1'!R55</f>
        <v>-32883.71</v>
      </c>
      <c r="S24" s="12">
        <f>'Base de données indicateurs1'!S55</f>
        <v>137834.76999999999</v>
      </c>
      <c r="T24" s="12">
        <f>'Base de données indicateurs1'!T55</f>
        <v>100618.68</v>
      </c>
      <c r="U24" s="12">
        <f>'Base de données indicateurs1'!U55</f>
        <v>-52483.040000000001</v>
      </c>
      <c r="V24" s="12">
        <f>'Base de données indicateurs1'!V55</f>
        <v>-34441.11</v>
      </c>
      <c r="W24" s="12">
        <f>'Base de données indicateurs1'!W55</f>
        <v>418445.06</v>
      </c>
      <c r="X24" s="12">
        <f>'Base de données indicateurs1'!X55</f>
        <v>64094.42</v>
      </c>
      <c r="Y24" s="12">
        <f>'Base de données indicateurs1'!Y55</f>
        <v>762175.92</v>
      </c>
      <c r="Z24" s="12">
        <f>'Base de données indicateurs1'!Z55</f>
        <v>1866501.58</v>
      </c>
      <c r="AA24" s="12">
        <f>'Base de données indicateurs1'!AA55</f>
        <v>-116577.55</v>
      </c>
      <c r="AB24" s="12">
        <f>'Base de données indicateurs1'!AB55</f>
        <v>37709.21</v>
      </c>
      <c r="AC24" s="12">
        <f>'Base de données indicateurs1'!AC55</f>
        <v>7580.24</v>
      </c>
      <c r="AD24" s="12">
        <f>'Base de données indicateurs1'!AD55</f>
        <v>54270.14</v>
      </c>
      <c r="AE24" s="12">
        <f>'Base de données indicateurs1'!AE55</f>
        <v>-258305.8</v>
      </c>
      <c r="AF24" s="12">
        <f>'Base de données indicateurs1'!AF55</f>
        <v>-209245.59</v>
      </c>
      <c r="AG24" s="12">
        <f>'Base de données indicateurs1'!AG55</f>
        <v>570704.15</v>
      </c>
      <c r="AH24" s="12">
        <f>'Base de données indicateurs1'!AH55</f>
        <v>89717.45</v>
      </c>
      <c r="AI24" s="12">
        <f>'Base de données indicateurs1'!AI55</f>
        <v>48632.11</v>
      </c>
      <c r="AJ24" s="12">
        <f>'Base de données indicateurs1'!AJ55</f>
        <v>-49352.77</v>
      </c>
      <c r="AK24" s="12">
        <f>'Base de données indicateurs1'!AK55</f>
        <v>617262.02</v>
      </c>
      <c r="AL24" s="12">
        <f>'Base de données indicateurs1'!AL55</f>
        <v>42549</v>
      </c>
      <c r="AM24" s="12">
        <f>'Base de données indicateurs1'!AM55</f>
        <v>-22426.21</v>
      </c>
      <c r="AN24" s="12">
        <f>'Base de données indicateurs1'!AN55</f>
        <v>-9442.24</v>
      </c>
      <c r="AO24" s="12">
        <f>'Base de données indicateurs1'!AO55</f>
        <v>53245.440000000002</v>
      </c>
      <c r="AP24" s="12">
        <f>'Base de données indicateurs1'!AP55</f>
        <v>-28465.24</v>
      </c>
      <c r="AQ24" s="12">
        <f>'Base de données indicateurs1'!AQ55</f>
        <v>-105515</v>
      </c>
      <c r="AR24" s="12">
        <f>'Base de données indicateurs1'!AR55</f>
        <v>1535.82</v>
      </c>
      <c r="AS24" s="12">
        <f>'Base de données indicateurs1'!AS55</f>
        <v>163520.98000000001</v>
      </c>
      <c r="AT24" s="12">
        <f>'Base de données indicateurs1'!AT55</f>
        <v>-154372.34</v>
      </c>
      <c r="AU24" s="12">
        <f>'Base de données indicateurs1'!AU55</f>
        <v>-213500.08</v>
      </c>
      <c r="AV24" s="12">
        <f>'Base de données indicateurs1'!AV55</f>
        <v>34266.46</v>
      </c>
      <c r="AW24" s="12">
        <f>'Base de données indicateurs1'!AW55</f>
        <v>51005.88</v>
      </c>
      <c r="AX24" s="12">
        <f>'Base de données indicateurs1'!AX55</f>
        <v>-44181.13</v>
      </c>
      <c r="AY24" s="12">
        <f>'Base de données indicateurs1'!AY55</f>
        <v>-87327.44</v>
      </c>
      <c r="AZ24" s="12">
        <f>'Base de données indicateurs1'!AZ55</f>
        <v>7224.15</v>
      </c>
      <c r="BA24" s="12">
        <f>'Base de données indicateurs1'!BA55</f>
        <v>251.69</v>
      </c>
      <c r="BB24" s="12">
        <f>'Base de données indicateurs1'!BB55</f>
        <v>135911</v>
      </c>
      <c r="BC24" s="12">
        <f>'Base de données indicateurs1'!BC55</f>
        <v>1611.37</v>
      </c>
      <c r="BD24" s="12">
        <f>'Base de données indicateurs1'!BD55</f>
        <v>1042023.45</v>
      </c>
      <c r="BE24" s="12">
        <f>'Base de données indicateurs1'!BE55</f>
        <v>53968.13</v>
      </c>
      <c r="BF24" s="12">
        <f t="shared" si="0"/>
        <v>-171454.8</v>
      </c>
      <c r="BG24" s="12">
        <f t="shared" si="1"/>
        <v>2867903.5100000007</v>
      </c>
      <c r="BH24" s="12">
        <f t="shared" si="2"/>
        <v>1539145.71</v>
      </c>
      <c r="BJ24" s="12"/>
    </row>
    <row r="25" spans="1:62" x14ac:dyDescent="0.25">
      <c r="A25" s="143" t="s">
        <v>97</v>
      </c>
      <c r="B25" s="144" t="s">
        <v>224</v>
      </c>
      <c r="C25" s="143">
        <v>33</v>
      </c>
      <c r="D25" s="145">
        <f>'Base de données indicateurs1'!BF21</f>
        <v>25063349.649999999</v>
      </c>
      <c r="E25" s="12">
        <f>'Base de données indicateurs1'!E21</f>
        <v>273439.17</v>
      </c>
      <c r="F25" s="12">
        <f>'Base de données indicateurs1'!F21</f>
        <v>83034</v>
      </c>
      <c r="G25" s="12">
        <f>'Base de données indicateurs1'!G21</f>
        <v>78515.149999999994</v>
      </c>
      <c r="H25" s="12">
        <f>'Base de données indicateurs1'!H21</f>
        <v>93170.3</v>
      </c>
      <c r="I25" s="12">
        <f>'Base de données indicateurs1'!I21</f>
        <v>858686</v>
      </c>
      <c r="J25" s="12">
        <f>'Base de données indicateurs1'!J21</f>
        <v>1089085.6299999999</v>
      </c>
      <c r="K25" s="12">
        <f>'Base de données indicateurs1'!K21</f>
        <v>632517.34</v>
      </c>
      <c r="L25" s="12">
        <f>'Base de données indicateurs1'!L21</f>
        <v>5967644.75</v>
      </c>
      <c r="M25" s="12">
        <f>'Base de données indicateurs1'!M21</f>
        <v>613168.35</v>
      </c>
      <c r="N25" s="12">
        <f>'Base de données indicateurs1'!N21</f>
        <v>50799.23</v>
      </c>
      <c r="O25" s="12">
        <f>'Base de données indicateurs1'!O21</f>
        <v>1383618.3</v>
      </c>
      <c r="P25" s="12">
        <f>'Base de données indicateurs1'!P21</f>
        <v>122720.55</v>
      </c>
      <c r="Q25" s="12">
        <f>'Base de données indicateurs1'!Q21</f>
        <v>12625</v>
      </c>
      <c r="R25" s="12">
        <f>'Base de données indicateurs1'!R21</f>
        <v>87650</v>
      </c>
      <c r="S25" s="12">
        <f>'Base de données indicateurs1'!S21</f>
        <v>105668.5</v>
      </c>
      <c r="T25" s="12">
        <f>'Base de données indicateurs1'!T21</f>
        <v>168872.25</v>
      </c>
      <c r="U25" s="12">
        <f>'Base de données indicateurs1'!U21</f>
        <v>40149.85</v>
      </c>
      <c r="V25" s="12">
        <f>'Base de données indicateurs1'!V21</f>
        <v>139791.85</v>
      </c>
      <c r="W25" s="12">
        <f>'Base de données indicateurs1'!W21</f>
        <v>1101646.21</v>
      </c>
      <c r="X25" s="12">
        <f>'Base de données indicateurs1'!X21</f>
        <v>59856.25</v>
      </c>
      <c r="Y25" s="12">
        <f>'Base de données indicateurs1'!Y21</f>
        <v>296371.95</v>
      </c>
      <c r="Z25" s="12">
        <f>'Base de données indicateurs1'!Z21</f>
        <v>498784</v>
      </c>
      <c r="AA25" s="12">
        <f>'Base de données indicateurs1'!AA21</f>
        <v>98769.65</v>
      </c>
      <c r="AB25" s="12">
        <f>'Base de données indicateurs1'!AB21</f>
        <v>163116.93</v>
      </c>
      <c r="AC25" s="12">
        <f>'Base de données indicateurs1'!AC21</f>
        <v>93759.9</v>
      </c>
      <c r="AD25" s="12">
        <f>'Base de données indicateurs1'!AD21</f>
        <v>282477.59999999998</v>
      </c>
      <c r="AE25" s="12">
        <f>'Base de données indicateurs1'!AE21</f>
        <v>124708.45</v>
      </c>
      <c r="AF25" s="12">
        <f>'Base de données indicateurs1'!AF21</f>
        <v>102124.94</v>
      </c>
      <c r="AG25" s="12">
        <f>'Base de données indicateurs1'!AG21</f>
        <v>610812.23</v>
      </c>
      <c r="AH25" s="12">
        <f>'Base de données indicateurs1'!AH21</f>
        <v>775580.9</v>
      </c>
      <c r="AI25" s="12">
        <f>'Base de données indicateurs1'!AI21</f>
        <v>62896</v>
      </c>
      <c r="AJ25" s="12">
        <f>'Base de données indicateurs1'!AJ21</f>
        <v>158021.35999999999</v>
      </c>
      <c r="AK25" s="12">
        <f>'Base de données indicateurs1'!AK21</f>
        <v>423638.75</v>
      </c>
      <c r="AL25" s="12">
        <f>'Base de données indicateurs1'!AL21</f>
        <v>393262</v>
      </c>
      <c r="AM25" s="12">
        <f>'Base de données indicateurs1'!AM21</f>
        <v>270930</v>
      </c>
      <c r="AN25" s="12">
        <f>'Base de données indicateurs1'!AN21</f>
        <v>42915</v>
      </c>
      <c r="AO25" s="12">
        <f>'Base de données indicateurs1'!AO21</f>
        <v>609937.27</v>
      </c>
      <c r="AP25" s="12">
        <f>'Base de données indicateurs1'!AP21</f>
        <v>112200</v>
      </c>
      <c r="AQ25" s="12">
        <f>'Base de données indicateurs1'!AQ21</f>
        <v>224974</v>
      </c>
      <c r="AR25" s="12">
        <f>'Base de données indicateurs1'!AR21</f>
        <v>972063.07</v>
      </c>
      <c r="AS25" s="12">
        <f>'Base de données indicateurs1'!AS21</f>
        <v>174026.95</v>
      </c>
      <c r="AT25" s="12">
        <f>'Base de données indicateurs1'!AT21</f>
        <v>264605.2</v>
      </c>
      <c r="AU25" s="12">
        <f>'Base de données indicateurs1'!AU21</f>
        <v>129587.55</v>
      </c>
      <c r="AV25" s="12">
        <f>'Base de données indicateurs1'!AV21</f>
        <v>842004.6</v>
      </c>
      <c r="AW25" s="12">
        <f>'Base de données indicateurs1'!AW21</f>
        <v>115334.39999999999</v>
      </c>
      <c r="AX25" s="12">
        <f>'Base de données indicateurs1'!AX21</f>
        <v>33410</v>
      </c>
      <c r="AY25" s="12">
        <f>'Base de données indicateurs1'!AY21</f>
        <v>175965</v>
      </c>
      <c r="AZ25" s="12">
        <f>'Base de données indicateurs1'!AZ21</f>
        <v>581198.1</v>
      </c>
      <c r="BA25" s="12">
        <f>'Base de données indicateurs1'!BA21</f>
        <v>46350</v>
      </c>
      <c r="BB25" s="12">
        <f>'Base de données indicateurs1'!BB21</f>
        <v>391952</v>
      </c>
      <c r="BC25" s="12">
        <f>'Base de données indicateurs1'!BC21</f>
        <v>25245</v>
      </c>
      <c r="BD25" s="12">
        <f>'Base de données indicateurs1'!BD21</f>
        <v>2911318.17</v>
      </c>
      <c r="BE25" s="12">
        <f>'Base de données indicateurs1'!BE21</f>
        <v>92350</v>
      </c>
      <c r="BF25" s="12">
        <f t="shared" si="0"/>
        <v>12902802.43</v>
      </c>
      <c r="BG25" s="12">
        <f t="shared" si="1"/>
        <v>3327280.1599999992</v>
      </c>
      <c r="BH25" s="12">
        <f t="shared" si="2"/>
        <v>8833267.0599999987</v>
      </c>
      <c r="BJ25" s="12"/>
    </row>
    <row r="26" spans="1:62" x14ac:dyDescent="0.25">
      <c r="A26" s="143" t="s">
        <v>226</v>
      </c>
      <c r="B26" s="144" t="s">
        <v>224</v>
      </c>
      <c r="C26" s="143">
        <v>35</v>
      </c>
      <c r="D26" s="145">
        <f>'Base de données indicateurs1'!BF25</f>
        <v>2534975.8100000005</v>
      </c>
      <c r="E26" s="12">
        <f>'Base de données indicateurs1'!E25</f>
        <v>13699.95</v>
      </c>
      <c r="F26" s="12">
        <f>'Base de données indicateurs1'!F25</f>
        <v>22425.32</v>
      </c>
      <c r="G26" s="12">
        <f>'Base de données indicateurs1'!G25</f>
        <v>5326.55</v>
      </c>
      <c r="H26" s="12">
        <f>'Base de données indicateurs1'!H25</f>
        <v>0</v>
      </c>
      <c r="I26" s="12">
        <f>'Base de données indicateurs1'!I25</f>
        <v>12819.95</v>
      </c>
      <c r="J26" s="12">
        <f>'Base de données indicateurs1'!J25</f>
        <v>8240.7000000000007</v>
      </c>
      <c r="K26" s="12">
        <f>'Base de données indicateurs1'!K25</f>
        <v>29873.4</v>
      </c>
      <c r="L26" s="12">
        <f>'Base de données indicateurs1'!L25</f>
        <v>0</v>
      </c>
      <c r="M26" s="12">
        <f>'Base de données indicateurs1'!M25</f>
        <v>94598.63</v>
      </c>
      <c r="N26" s="12">
        <f>'Base de données indicateurs1'!N25</f>
        <v>19000</v>
      </c>
      <c r="O26" s="12">
        <f>'Base de données indicateurs1'!O25</f>
        <v>998890</v>
      </c>
      <c r="P26" s="12">
        <f>'Base de données indicateurs1'!P25</f>
        <v>0</v>
      </c>
      <c r="Q26" s="12">
        <f>'Base de données indicateurs1'!Q25</f>
        <v>0</v>
      </c>
      <c r="R26" s="12">
        <f>'Base de données indicateurs1'!R25</f>
        <v>0</v>
      </c>
      <c r="S26" s="12">
        <f>'Base de données indicateurs1'!S25</f>
        <v>0</v>
      </c>
      <c r="T26" s="12">
        <f>'Base de données indicateurs1'!T25</f>
        <v>0</v>
      </c>
      <c r="U26" s="12">
        <f>'Base de données indicateurs1'!U25</f>
        <v>0</v>
      </c>
      <c r="V26" s="12">
        <f>'Base de données indicateurs1'!V25</f>
        <v>0</v>
      </c>
      <c r="W26" s="12">
        <f>'Base de données indicateurs1'!W25</f>
        <v>0</v>
      </c>
      <c r="X26" s="12">
        <f>'Base de données indicateurs1'!X25</f>
        <v>28915.25</v>
      </c>
      <c r="Y26" s="12">
        <f>'Base de données indicateurs1'!Y25</f>
        <v>323.14999999999998</v>
      </c>
      <c r="Z26" s="12">
        <f>'Base de données indicateurs1'!Z25</f>
        <v>122878</v>
      </c>
      <c r="AA26" s="12">
        <f>'Base de données indicateurs1'!AA25</f>
        <v>12281.9</v>
      </c>
      <c r="AB26" s="12">
        <f>'Base de données indicateurs1'!AB25</f>
        <v>8938.7999999999993</v>
      </c>
      <c r="AC26" s="12">
        <f>'Base de données indicateurs1'!AC25</f>
        <v>12454</v>
      </c>
      <c r="AD26" s="12">
        <f>'Base de données indicateurs1'!AD25</f>
        <v>4699</v>
      </c>
      <c r="AE26" s="12">
        <f>'Base de données indicateurs1'!AE25</f>
        <v>16453.509999999998</v>
      </c>
      <c r="AF26" s="12">
        <f>'Base de données indicateurs1'!AF25</f>
        <v>0</v>
      </c>
      <c r="AG26" s="12">
        <f>'Base de données indicateurs1'!AG25</f>
        <v>32708.1</v>
      </c>
      <c r="AH26" s="12">
        <f>'Base de données indicateurs1'!AH25</f>
        <v>83053.600000000006</v>
      </c>
      <c r="AI26" s="12">
        <f>'Base de données indicateurs1'!AI25</f>
        <v>1586</v>
      </c>
      <c r="AJ26" s="12">
        <f>'Base de données indicateurs1'!AJ25</f>
        <v>3000</v>
      </c>
      <c r="AK26" s="12">
        <f>'Base de données indicateurs1'!AK25</f>
        <v>2696.1</v>
      </c>
      <c r="AL26" s="12">
        <f>'Base de données indicateurs1'!AL25</f>
        <v>44906</v>
      </c>
      <c r="AM26" s="12">
        <f>'Base de données indicateurs1'!AM25</f>
        <v>8438.27</v>
      </c>
      <c r="AN26" s="12">
        <f>'Base de données indicateurs1'!AN25</f>
        <v>0</v>
      </c>
      <c r="AO26" s="12">
        <f>'Base de données indicateurs1'!AO25</f>
        <v>0</v>
      </c>
      <c r="AP26" s="12">
        <f>'Base de données indicateurs1'!AP25</f>
        <v>10.25</v>
      </c>
      <c r="AQ26" s="12">
        <f>'Base de données indicateurs1'!AQ25</f>
        <v>1740</v>
      </c>
      <c r="AR26" s="12">
        <f>'Base de données indicateurs1'!AR25</f>
        <v>250436.1</v>
      </c>
      <c r="AS26" s="12">
        <f>'Base de données indicateurs1'!AS25</f>
        <v>114117.9</v>
      </c>
      <c r="AT26" s="12">
        <f>'Base de données indicateurs1'!AT25</f>
        <v>255280</v>
      </c>
      <c r="AU26" s="12">
        <f>'Base de données indicateurs1'!AU25</f>
        <v>1402.95</v>
      </c>
      <c r="AV26" s="12">
        <f>'Base de données indicateurs1'!AV25</f>
        <v>208371.59</v>
      </c>
      <c r="AW26" s="12">
        <f>'Base de données indicateurs1'!AW25</f>
        <v>16960</v>
      </c>
      <c r="AX26" s="12">
        <f>'Base de données indicateurs1'!AX25</f>
        <v>59.85</v>
      </c>
      <c r="AY26" s="12">
        <f>'Base de données indicateurs1'!AY25</f>
        <v>0</v>
      </c>
      <c r="AZ26" s="12">
        <f>'Base de données indicateurs1'!AZ25</f>
        <v>1391.7</v>
      </c>
      <c r="BA26" s="12">
        <f>'Base de données indicateurs1'!BA25</f>
        <v>1144.44</v>
      </c>
      <c r="BB26" s="12">
        <f>'Base de données indicateurs1'!BB25</f>
        <v>71263</v>
      </c>
      <c r="BC26" s="12">
        <f>'Base de données indicateurs1'!BC25</f>
        <v>444.15</v>
      </c>
      <c r="BD26" s="12">
        <f>'Base de données indicateurs1'!BD25</f>
        <v>13630.41</v>
      </c>
      <c r="BE26" s="12">
        <f>'Base de données indicateurs1'!BE25</f>
        <v>10517.29</v>
      </c>
      <c r="BF26" s="12">
        <f t="shared" si="0"/>
        <v>1204874.5</v>
      </c>
      <c r="BG26" s="12">
        <f t="shared" si="1"/>
        <v>327291.31</v>
      </c>
      <c r="BH26" s="12">
        <f t="shared" si="2"/>
        <v>1002809.9999999999</v>
      </c>
      <c r="BJ26" s="12"/>
    </row>
    <row r="27" spans="1:62" x14ac:dyDescent="0.25">
      <c r="A27" s="143" t="s">
        <v>173</v>
      </c>
      <c r="B27" s="144" t="s">
        <v>225</v>
      </c>
      <c r="C27" s="143">
        <v>45</v>
      </c>
      <c r="D27" s="145">
        <f>'Base de données indicateurs1'!BF48</f>
        <v>3957131.1100000003</v>
      </c>
      <c r="E27" s="12">
        <f>'Base de données indicateurs1'!E48</f>
        <v>2234.6</v>
      </c>
      <c r="F27" s="12">
        <f>'Base de données indicateurs1'!F48</f>
        <v>0</v>
      </c>
      <c r="G27" s="12">
        <f>'Base de données indicateurs1'!G48</f>
        <v>1088.3499999999999</v>
      </c>
      <c r="H27" s="12">
        <f>'Base de données indicateurs1'!H48</f>
        <v>0</v>
      </c>
      <c r="I27" s="12">
        <f>'Base de données indicateurs1'!I48</f>
        <v>15115</v>
      </c>
      <c r="J27" s="12">
        <f>'Base de données indicateurs1'!J48</f>
        <v>98995.8</v>
      </c>
      <c r="K27" s="12">
        <f>'Base de données indicateurs1'!K48</f>
        <v>156127.19</v>
      </c>
      <c r="L27" s="12">
        <f>'Base de données indicateurs1'!L48</f>
        <v>33917.85</v>
      </c>
      <c r="M27" s="12">
        <f>'Base de données indicateurs1'!M48</f>
        <v>517063.15</v>
      </c>
      <c r="N27" s="12">
        <f>'Base de données indicateurs1'!N48</f>
        <v>0</v>
      </c>
      <c r="O27" s="12">
        <f>'Base de données indicateurs1'!O48</f>
        <v>350380.1</v>
      </c>
      <c r="P27" s="12">
        <f>'Base de données indicateurs1'!P48</f>
        <v>0</v>
      </c>
      <c r="Q27" s="12">
        <f>'Base de données indicateurs1'!Q48</f>
        <v>0</v>
      </c>
      <c r="R27" s="12">
        <f>'Base de données indicateurs1'!R48</f>
        <v>990.35</v>
      </c>
      <c r="S27" s="12">
        <f>'Base de données indicateurs1'!S48</f>
        <v>808.7</v>
      </c>
      <c r="T27" s="12">
        <f>'Base de données indicateurs1'!T48</f>
        <v>1678.65</v>
      </c>
      <c r="U27" s="12">
        <f>'Base de données indicateurs1'!U48</f>
        <v>0</v>
      </c>
      <c r="V27" s="12">
        <f>'Base de données indicateurs1'!V48</f>
        <v>444.87</v>
      </c>
      <c r="W27" s="12">
        <f>'Base de données indicateurs1'!W48</f>
        <v>179280.84</v>
      </c>
      <c r="X27" s="12">
        <f>'Base de données indicateurs1'!X48</f>
        <v>51302.15</v>
      </c>
      <c r="Y27" s="12">
        <f>'Base de données indicateurs1'!Y48</f>
        <v>8671.75</v>
      </c>
      <c r="Z27" s="12">
        <f>'Base de données indicateurs1'!Z48</f>
        <v>136701.20000000001</v>
      </c>
      <c r="AA27" s="12">
        <f>'Base de données indicateurs1'!AA48</f>
        <v>0</v>
      </c>
      <c r="AB27" s="12">
        <f>'Base de données indicateurs1'!AB48</f>
        <v>169413.48</v>
      </c>
      <c r="AC27" s="12">
        <f>'Base de données indicateurs1'!AC48</f>
        <v>0</v>
      </c>
      <c r="AD27" s="12">
        <f>'Base de données indicateurs1'!AD48</f>
        <v>88471.7</v>
      </c>
      <c r="AE27" s="12">
        <f>'Base de données indicateurs1'!AE48</f>
        <v>2369.5</v>
      </c>
      <c r="AF27" s="12">
        <f>'Base de données indicateurs1'!AF48</f>
        <v>1253.05</v>
      </c>
      <c r="AG27" s="12">
        <f>'Base de données indicateurs1'!AG48</f>
        <v>58798.2</v>
      </c>
      <c r="AH27" s="12">
        <f>'Base de données indicateurs1'!AH48</f>
        <v>9358</v>
      </c>
      <c r="AI27" s="12">
        <f>'Base de données indicateurs1'!AI48</f>
        <v>517</v>
      </c>
      <c r="AJ27" s="12">
        <f>'Base de données indicateurs1'!AJ48</f>
        <v>149801.35999999999</v>
      </c>
      <c r="AK27" s="12">
        <f>'Base de données indicateurs1'!AK48</f>
        <v>0</v>
      </c>
      <c r="AL27" s="12">
        <f>'Base de données indicateurs1'!AL48</f>
        <v>44220</v>
      </c>
      <c r="AM27" s="12">
        <f>'Base de données indicateurs1'!AM48</f>
        <v>28000</v>
      </c>
      <c r="AN27" s="12">
        <f>'Base de données indicateurs1'!AN48</f>
        <v>272.8</v>
      </c>
      <c r="AO27" s="12">
        <f>'Base de données indicateurs1'!AO48</f>
        <v>10000</v>
      </c>
      <c r="AP27" s="12">
        <f>'Base de données indicateurs1'!AP48</f>
        <v>1412.5</v>
      </c>
      <c r="AQ27" s="12">
        <f>'Base de données indicateurs1'!AQ48</f>
        <v>0</v>
      </c>
      <c r="AR27" s="12">
        <f>'Base de données indicateurs1'!AR48</f>
        <v>856437.03</v>
      </c>
      <c r="AS27" s="12">
        <f>'Base de données indicateurs1'!AS48</f>
        <v>91012.75</v>
      </c>
      <c r="AT27" s="12">
        <f>'Base de données indicateurs1'!AT48</f>
        <v>107462.21</v>
      </c>
      <c r="AU27" s="12">
        <f>'Base de données indicateurs1'!AU48</f>
        <v>60060.6</v>
      </c>
      <c r="AV27" s="12">
        <f>'Base de données indicateurs1'!AV48</f>
        <v>321941.75</v>
      </c>
      <c r="AW27" s="12">
        <f>'Base de données indicateurs1'!AW48</f>
        <v>10958.95</v>
      </c>
      <c r="AX27" s="12">
        <f>'Base de données indicateurs1'!AX48</f>
        <v>436.1</v>
      </c>
      <c r="AY27" s="12">
        <f>'Base de données indicateurs1'!AY48</f>
        <v>792</v>
      </c>
      <c r="AZ27" s="12">
        <f>'Base de données indicateurs1'!AZ48</f>
        <v>70983.350000000006</v>
      </c>
      <c r="BA27" s="12">
        <f>'Base de données indicateurs1'!BA48</f>
        <v>4500</v>
      </c>
      <c r="BB27" s="12">
        <f>'Base de données indicateurs1'!BB48</f>
        <v>53022</v>
      </c>
      <c r="BC27" s="12">
        <f>'Base de données indicateurs1'!BC48</f>
        <v>0</v>
      </c>
      <c r="BD27" s="12">
        <f>'Base de données indicateurs1'!BD48</f>
        <v>204344.33</v>
      </c>
      <c r="BE27" s="12">
        <f>'Base de données indicateurs1'!BE48</f>
        <v>56491.9</v>
      </c>
      <c r="BF27" s="12">
        <f t="shared" si="0"/>
        <v>1358125.4500000002</v>
      </c>
      <c r="BG27" s="12">
        <f t="shared" si="1"/>
        <v>676657.39</v>
      </c>
      <c r="BH27" s="12">
        <f t="shared" si="2"/>
        <v>1922348.2700000003</v>
      </c>
      <c r="BJ27" s="12"/>
    </row>
    <row r="28" spans="1:62" x14ac:dyDescent="0.25">
      <c r="A28" s="143" t="s">
        <v>505</v>
      </c>
      <c r="B28" s="144" t="s">
        <v>224</v>
      </c>
      <c r="C28" s="143">
        <v>364</v>
      </c>
      <c r="D28" s="145">
        <f>'Base de données indicateurs1'!BF29</f>
        <v>0</v>
      </c>
      <c r="E28" s="12">
        <f>'Base de données indicateurs1'!E29</f>
        <v>0</v>
      </c>
      <c r="F28" s="12">
        <f>'Base de données indicateurs1'!F29</f>
        <v>0</v>
      </c>
      <c r="G28" s="12">
        <f>'Base de données indicateurs1'!G29</f>
        <v>0</v>
      </c>
      <c r="H28" s="12">
        <f>'Base de données indicateurs1'!H29</f>
        <v>0</v>
      </c>
      <c r="I28" s="12">
        <f>'Base de données indicateurs1'!I29</f>
        <v>0</v>
      </c>
      <c r="J28" s="12">
        <f>'Base de données indicateurs1'!J29</f>
        <v>0</v>
      </c>
      <c r="K28" s="12">
        <f>'Base de données indicateurs1'!K29</f>
        <v>0</v>
      </c>
      <c r="L28" s="12">
        <f>'Base de données indicateurs1'!L29</f>
        <v>0</v>
      </c>
      <c r="M28" s="12">
        <f>'Base de données indicateurs1'!M29</f>
        <v>0</v>
      </c>
      <c r="N28" s="12">
        <f>'Base de données indicateurs1'!N29</f>
        <v>0</v>
      </c>
      <c r="O28" s="12">
        <f>'Base de données indicateurs1'!O29</f>
        <v>0</v>
      </c>
      <c r="P28" s="12">
        <f>'Base de données indicateurs1'!P29</f>
        <v>0</v>
      </c>
      <c r="Q28" s="12">
        <f>'Base de données indicateurs1'!Q29</f>
        <v>0</v>
      </c>
      <c r="R28" s="12">
        <f>'Base de données indicateurs1'!R29</f>
        <v>0</v>
      </c>
      <c r="S28" s="12">
        <f>'Base de données indicateurs1'!S29</f>
        <v>0</v>
      </c>
      <c r="T28" s="12">
        <f>'Base de données indicateurs1'!T29</f>
        <v>0</v>
      </c>
      <c r="U28" s="12">
        <f>'Base de données indicateurs1'!U29</f>
        <v>0</v>
      </c>
      <c r="V28" s="12">
        <f>'Base de données indicateurs1'!V29</f>
        <v>0</v>
      </c>
      <c r="W28" s="12">
        <f>'Base de données indicateurs1'!W29</f>
        <v>0</v>
      </c>
      <c r="X28" s="12">
        <f>'Base de données indicateurs1'!X29</f>
        <v>0</v>
      </c>
      <c r="Y28" s="12">
        <f>'Base de données indicateurs1'!Y29</f>
        <v>0</v>
      </c>
      <c r="Z28" s="12">
        <f>'Base de données indicateurs1'!Z29</f>
        <v>0</v>
      </c>
      <c r="AA28" s="12">
        <f>'Base de données indicateurs1'!AA29</f>
        <v>0</v>
      </c>
      <c r="AB28" s="12">
        <f>'Base de données indicateurs1'!AB29</f>
        <v>0</v>
      </c>
      <c r="AC28" s="12">
        <f>'Base de données indicateurs1'!AC29</f>
        <v>0</v>
      </c>
      <c r="AD28" s="12">
        <f>'Base de données indicateurs1'!AD29</f>
        <v>0</v>
      </c>
      <c r="AE28" s="12">
        <f>'Base de données indicateurs1'!AE29</f>
        <v>0</v>
      </c>
      <c r="AF28" s="12">
        <f>'Base de données indicateurs1'!AF29</f>
        <v>0</v>
      </c>
      <c r="AG28" s="12">
        <f>'Base de données indicateurs1'!AG29</f>
        <v>0</v>
      </c>
      <c r="AH28" s="12">
        <f>'Base de données indicateurs1'!AH29</f>
        <v>0</v>
      </c>
      <c r="AI28" s="12">
        <f>'Base de données indicateurs1'!AI29</f>
        <v>0</v>
      </c>
      <c r="AJ28" s="12">
        <f>'Base de données indicateurs1'!AJ29</f>
        <v>0</v>
      </c>
      <c r="AK28" s="12">
        <f>'Base de données indicateurs1'!AK29</f>
        <v>0</v>
      </c>
      <c r="AL28" s="12">
        <f>'Base de données indicateurs1'!AL29</f>
        <v>0</v>
      </c>
      <c r="AM28" s="12">
        <f>'Base de données indicateurs1'!AM29</f>
        <v>0</v>
      </c>
      <c r="AN28" s="12">
        <f>'Base de données indicateurs1'!AN29</f>
        <v>0</v>
      </c>
      <c r="AO28" s="12">
        <f>'Base de données indicateurs1'!AO29</f>
        <v>0</v>
      </c>
      <c r="AP28" s="12">
        <f>'Base de données indicateurs1'!AP29</f>
        <v>0</v>
      </c>
      <c r="AQ28" s="12">
        <f>'Base de données indicateurs1'!AQ29</f>
        <v>0</v>
      </c>
      <c r="AR28" s="12">
        <f>'Base de données indicateurs1'!AR29</f>
        <v>0</v>
      </c>
      <c r="AS28" s="12">
        <f>'Base de données indicateurs1'!AS29</f>
        <v>0</v>
      </c>
      <c r="AT28" s="12">
        <f>'Base de données indicateurs1'!AT29</f>
        <v>0</v>
      </c>
      <c r="AU28" s="12">
        <f>'Base de données indicateurs1'!AU29</f>
        <v>0</v>
      </c>
      <c r="AV28" s="12">
        <f>'Base de données indicateurs1'!AV29</f>
        <v>0</v>
      </c>
      <c r="AW28" s="12">
        <f>'Base de données indicateurs1'!AW29</f>
        <v>0</v>
      </c>
      <c r="AX28" s="12">
        <f>'Base de données indicateurs1'!AX29</f>
        <v>0</v>
      </c>
      <c r="AY28" s="12">
        <f>'Base de données indicateurs1'!AY29</f>
        <v>0</v>
      </c>
      <c r="AZ28" s="12">
        <f>'Base de données indicateurs1'!AZ29</f>
        <v>0</v>
      </c>
      <c r="BA28" s="12">
        <f>'Base de données indicateurs1'!BA29</f>
        <v>0</v>
      </c>
      <c r="BB28" s="12">
        <f>'Base de données indicateurs1'!BB29</f>
        <v>0</v>
      </c>
      <c r="BC28" s="12">
        <f>'Base de données indicateurs1'!BC29</f>
        <v>0</v>
      </c>
      <c r="BD28" s="12">
        <f>'Base de données indicateurs1'!BD29</f>
        <v>0</v>
      </c>
      <c r="BE28" s="12">
        <f>'Base de données indicateurs1'!BE29</f>
        <v>0</v>
      </c>
      <c r="BF28" s="12">
        <f t="shared" si="0"/>
        <v>0</v>
      </c>
      <c r="BG28" s="12">
        <f t="shared" si="1"/>
        <v>0</v>
      </c>
      <c r="BH28" s="12">
        <f t="shared" si="2"/>
        <v>0</v>
      </c>
      <c r="BJ28" s="12"/>
    </row>
    <row r="29" spans="1:62" x14ac:dyDescent="0.25">
      <c r="A29" s="143" t="s">
        <v>506</v>
      </c>
      <c r="B29" s="144" t="s">
        <v>224</v>
      </c>
      <c r="C29" s="143">
        <v>365</v>
      </c>
      <c r="D29" s="145">
        <f>'Base de données indicateurs1'!BF30</f>
        <v>21100</v>
      </c>
      <c r="E29" s="12">
        <f>'Base de données indicateurs1'!E30</f>
        <v>0</v>
      </c>
      <c r="F29" s="12">
        <f>'Base de données indicateurs1'!F30</f>
        <v>0</v>
      </c>
      <c r="G29" s="12">
        <f>'Base de données indicateurs1'!G30</f>
        <v>0</v>
      </c>
      <c r="H29" s="12">
        <f>'Base de données indicateurs1'!H30</f>
        <v>0</v>
      </c>
      <c r="I29" s="12">
        <f>'Base de données indicateurs1'!I30</f>
        <v>0</v>
      </c>
      <c r="J29" s="12">
        <f>'Base de données indicateurs1'!J30</f>
        <v>0</v>
      </c>
      <c r="K29" s="12">
        <f>'Base de données indicateurs1'!K30</f>
        <v>0</v>
      </c>
      <c r="L29" s="12">
        <f>'Base de données indicateurs1'!L30</f>
        <v>0</v>
      </c>
      <c r="M29" s="12">
        <f>'Base de données indicateurs1'!M30</f>
        <v>0</v>
      </c>
      <c r="N29" s="12">
        <f>'Base de données indicateurs1'!N30</f>
        <v>0</v>
      </c>
      <c r="O29" s="12">
        <f>'Base de données indicateurs1'!O30</f>
        <v>0</v>
      </c>
      <c r="P29" s="12">
        <f>'Base de données indicateurs1'!P30</f>
        <v>0</v>
      </c>
      <c r="Q29" s="12">
        <f>'Base de données indicateurs1'!Q30</f>
        <v>0</v>
      </c>
      <c r="R29" s="12">
        <f>'Base de données indicateurs1'!R30</f>
        <v>0</v>
      </c>
      <c r="S29" s="12">
        <f>'Base de données indicateurs1'!S30</f>
        <v>0</v>
      </c>
      <c r="T29" s="12">
        <f>'Base de données indicateurs1'!T30</f>
        <v>0</v>
      </c>
      <c r="U29" s="12">
        <f>'Base de données indicateurs1'!U30</f>
        <v>8100</v>
      </c>
      <c r="V29" s="12">
        <f>'Base de données indicateurs1'!V30</f>
        <v>0</v>
      </c>
      <c r="W29" s="12">
        <f>'Base de données indicateurs1'!W30</f>
        <v>0</v>
      </c>
      <c r="X29" s="12">
        <f>'Base de données indicateurs1'!X30</f>
        <v>0</v>
      </c>
      <c r="Y29" s="12">
        <f>'Base de données indicateurs1'!Y30</f>
        <v>0</v>
      </c>
      <c r="Z29" s="12">
        <f>'Base de données indicateurs1'!Z30</f>
        <v>0</v>
      </c>
      <c r="AA29" s="12">
        <f>'Base de données indicateurs1'!AA30</f>
        <v>0</v>
      </c>
      <c r="AB29" s="12">
        <f>'Base de données indicateurs1'!AB30</f>
        <v>0</v>
      </c>
      <c r="AC29" s="12">
        <f>'Base de données indicateurs1'!AC30</f>
        <v>0</v>
      </c>
      <c r="AD29" s="12">
        <f>'Base de données indicateurs1'!AD30</f>
        <v>0</v>
      </c>
      <c r="AE29" s="12">
        <f>'Base de données indicateurs1'!AE30</f>
        <v>0</v>
      </c>
      <c r="AF29" s="12">
        <f>'Base de données indicateurs1'!AF30</f>
        <v>0</v>
      </c>
      <c r="AG29" s="12">
        <f>'Base de données indicateurs1'!AG30</f>
        <v>0</v>
      </c>
      <c r="AH29" s="12">
        <f>'Base de données indicateurs1'!AH30</f>
        <v>0</v>
      </c>
      <c r="AI29" s="12">
        <f>'Base de données indicateurs1'!AI30</f>
        <v>0</v>
      </c>
      <c r="AJ29" s="12">
        <f>'Base de données indicateurs1'!AJ30</f>
        <v>0</v>
      </c>
      <c r="AK29" s="12">
        <f>'Base de données indicateurs1'!AK30</f>
        <v>0</v>
      </c>
      <c r="AL29" s="12">
        <f>'Base de données indicateurs1'!AL30</f>
        <v>0</v>
      </c>
      <c r="AM29" s="12">
        <f>'Base de données indicateurs1'!AM30</f>
        <v>0</v>
      </c>
      <c r="AN29" s="12">
        <f>'Base de données indicateurs1'!AN30</f>
        <v>0</v>
      </c>
      <c r="AO29" s="12">
        <f>'Base de données indicateurs1'!AO30</f>
        <v>0</v>
      </c>
      <c r="AP29" s="12">
        <f>'Base de données indicateurs1'!AP30</f>
        <v>0</v>
      </c>
      <c r="AQ29" s="12">
        <f>'Base de données indicateurs1'!AQ30</f>
        <v>0</v>
      </c>
      <c r="AR29" s="12">
        <f>'Base de données indicateurs1'!AR30</f>
        <v>0</v>
      </c>
      <c r="AS29" s="12">
        <f>'Base de données indicateurs1'!AS30</f>
        <v>0</v>
      </c>
      <c r="AT29" s="12">
        <f>'Base de données indicateurs1'!AT30</f>
        <v>0</v>
      </c>
      <c r="AU29" s="12">
        <f>'Base de données indicateurs1'!AU30</f>
        <v>0</v>
      </c>
      <c r="AV29" s="12">
        <f>'Base de données indicateurs1'!AV30</f>
        <v>0</v>
      </c>
      <c r="AW29" s="12">
        <f>'Base de données indicateurs1'!AW30</f>
        <v>0</v>
      </c>
      <c r="AX29" s="12">
        <f>'Base de données indicateurs1'!AX30</f>
        <v>0</v>
      </c>
      <c r="AY29" s="12">
        <f>'Base de données indicateurs1'!AY30</f>
        <v>0</v>
      </c>
      <c r="AZ29" s="12">
        <f>'Base de données indicateurs1'!AZ30</f>
        <v>13000</v>
      </c>
      <c r="BA29" s="12">
        <f>'Base de données indicateurs1'!BA30</f>
        <v>0</v>
      </c>
      <c r="BB29" s="12">
        <f>'Base de données indicateurs1'!BB30</f>
        <v>0</v>
      </c>
      <c r="BC29" s="12">
        <f>'Base de données indicateurs1'!BC30</f>
        <v>0</v>
      </c>
      <c r="BD29" s="12">
        <f>'Base de données indicateurs1'!BD30</f>
        <v>0</v>
      </c>
      <c r="BE29" s="12">
        <f>'Base de données indicateurs1'!BE30</f>
        <v>0</v>
      </c>
      <c r="BF29" s="12">
        <f t="shared" si="0"/>
        <v>8100</v>
      </c>
      <c r="BG29" s="12">
        <f t="shared" si="1"/>
        <v>0</v>
      </c>
      <c r="BH29" s="12">
        <f t="shared" si="2"/>
        <v>13000</v>
      </c>
      <c r="BJ29" s="12"/>
    </row>
    <row r="30" spans="1:62" x14ac:dyDescent="0.25">
      <c r="A30" s="143" t="s">
        <v>507</v>
      </c>
      <c r="B30" s="144" t="s">
        <v>224</v>
      </c>
      <c r="C30" s="143">
        <v>366</v>
      </c>
      <c r="D30" s="145">
        <f>'Base de données indicateurs1'!BF31</f>
        <v>229456.08000000002</v>
      </c>
      <c r="E30" s="12">
        <f>'Base de données indicateurs1'!E31</f>
        <v>7905.29</v>
      </c>
      <c r="F30" s="12">
        <f>'Base de données indicateurs1'!F31</f>
        <v>0</v>
      </c>
      <c r="G30" s="12">
        <f>'Base de données indicateurs1'!G31</f>
        <v>0</v>
      </c>
      <c r="H30" s="12">
        <f>'Base de données indicateurs1'!H31</f>
        <v>0</v>
      </c>
      <c r="I30" s="12">
        <f>'Base de données indicateurs1'!I31</f>
        <v>1741</v>
      </c>
      <c r="J30" s="12">
        <f>'Base de données indicateurs1'!J31</f>
        <v>0</v>
      </c>
      <c r="K30" s="12">
        <f>'Base de données indicateurs1'!K31</f>
        <v>0</v>
      </c>
      <c r="L30" s="12">
        <f>'Base de données indicateurs1'!L31</f>
        <v>0</v>
      </c>
      <c r="M30" s="12">
        <f>'Base de données indicateurs1'!M31</f>
        <v>10700</v>
      </c>
      <c r="N30" s="12">
        <f>'Base de données indicateurs1'!N31</f>
        <v>0</v>
      </c>
      <c r="O30" s="12">
        <f>'Base de données indicateurs1'!O31</f>
        <v>71002.240000000005</v>
      </c>
      <c r="P30" s="12">
        <f>'Base de données indicateurs1'!P31</f>
        <v>0</v>
      </c>
      <c r="Q30" s="12">
        <f>'Base de données indicateurs1'!Q31</f>
        <v>0</v>
      </c>
      <c r="R30" s="12">
        <f>'Base de données indicateurs1'!R31</f>
        <v>0</v>
      </c>
      <c r="S30" s="12">
        <f>'Base de données indicateurs1'!S31</f>
        <v>0</v>
      </c>
      <c r="T30" s="12">
        <f>'Base de données indicateurs1'!T31</f>
        <v>0</v>
      </c>
      <c r="U30" s="12">
        <f>'Base de données indicateurs1'!U31</f>
        <v>667.55</v>
      </c>
      <c r="V30" s="12">
        <f>'Base de données indicateurs1'!V31</f>
        <v>0</v>
      </c>
      <c r="W30" s="12">
        <f>'Base de données indicateurs1'!W31</f>
        <v>133028</v>
      </c>
      <c r="X30" s="12">
        <f>'Base de données indicateurs1'!X31</f>
        <v>0</v>
      </c>
      <c r="Y30" s="12">
        <f>'Base de données indicateurs1'!Y31</f>
        <v>0</v>
      </c>
      <c r="Z30" s="12">
        <f>'Base de données indicateurs1'!Z31</f>
        <v>0</v>
      </c>
      <c r="AA30" s="12">
        <f>'Base de données indicateurs1'!AA31</f>
        <v>0</v>
      </c>
      <c r="AB30" s="12">
        <f>'Base de données indicateurs1'!AB31</f>
        <v>0</v>
      </c>
      <c r="AC30" s="12">
        <f>'Base de données indicateurs1'!AC31</f>
        <v>0</v>
      </c>
      <c r="AD30" s="12">
        <f>'Base de données indicateurs1'!AD31</f>
        <v>0</v>
      </c>
      <c r="AE30" s="12">
        <f>'Base de données indicateurs1'!AE31</f>
        <v>0</v>
      </c>
      <c r="AF30" s="12">
        <f>'Base de données indicateurs1'!AF31</f>
        <v>0</v>
      </c>
      <c r="AG30" s="12">
        <f>'Base de données indicateurs1'!AG31</f>
        <v>0</v>
      </c>
      <c r="AH30" s="12">
        <f>'Base de données indicateurs1'!AH31</f>
        <v>0</v>
      </c>
      <c r="AI30" s="12">
        <f>'Base de données indicateurs1'!AI31</f>
        <v>0</v>
      </c>
      <c r="AJ30" s="12">
        <f>'Base de données indicateurs1'!AJ31</f>
        <v>0</v>
      </c>
      <c r="AK30" s="12">
        <f>'Base de données indicateurs1'!AK31</f>
        <v>0</v>
      </c>
      <c r="AL30" s="12">
        <f>'Base de données indicateurs1'!AL31</f>
        <v>0</v>
      </c>
      <c r="AM30" s="12">
        <f>'Base de données indicateurs1'!AM31</f>
        <v>0</v>
      </c>
      <c r="AN30" s="12">
        <f>'Base de données indicateurs1'!AN31</f>
        <v>0</v>
      </c>
      <c r="AO30" s="12">
        <f>'Base de données indicateurs1'!AO31</f>
        <v>0</v>
      </c>
      <c r="AP30" s="12">
        <f>'Base de données indicateurs1'!AP31</f>
        <v>0</v>
      </c>
      <c r="AQ30" s="12">
        <f>'Base de données indicateurs1'!AQ31</f>
        <v>0</v>
      </c>
      <c r="AR30" s="12">
        <f>'Base de données indicateurs1'!AR31</f>
        <v>0</v>
      </c>
      <c r="AS30" s="12">
        <f>'Base de données indicateurs1'!AS31</f>
        <v>0</v>
      </c>
      <c r="AT30" s="12">
        <f>'Base de données indicateurs1'!AT31</f>
        <v>0</v>
      </c>
      <c r="AU30" s="12">
        <f>'Base de données indicateurs1'!AU31</f>
        <v>338</v>
      </c>
      <c r="AV30" s="12">
        <f>'Base de données indicateurs1'!AV31</f>
        <v>0</v>
      </c>
      <c r="AW30" s="12">
        <f>'Base de données indicateurs1'!AW31</f>
        <v>633</v>
      </c>
      <c r="AX30" s="12">
        <f>'Base de données indicateurs1'!AX31</f>
        <v>207</v>
      </c>
      <c r="AY30" s="12">
        <f>'Base de données indicateurs1'!AY31</f>
        <v>0</v>
      </c>
      <c r="AZ30" s="12">
        <f>'Base de données indicateurs1'!AZ31</f>
        <v>1597</v>
      </c>
      <c r="BA30" s="12">
        <f>'Base de données indicateurs1'!BA31</f>
        <v>319</v>
      </c>
      <c r="BB30" s="12">
        <f>'Base de données indicateurs1'!BB31</f>
        <v>1083</v>
      </c>
      <c r="BC30" s="12">
        <f>'Base de données indicateurs1'!BC31</f>
        <v>235</v>
      </c>
      <c r="BD30" s="12">
        <f>'Base de données indicateurs1'!BD31</f>
        <v>0</v>
      </c>
      <c r="BE30" s="12">
        <f>'Base de données indicateurs1'!BE31</f>
        <v>0</v>
      </c>
      <c r="BF30" s="12">
        <f t="shared" si="0"/>
        <v>225044.08000000002</v>
      </c>
      <c r="BG30" s="12">
        <f t="shared" si="1"/>
        <v>0</v>
      </c>
      <c r="BH30" s="12">
        <f t="shared" si="2"/>
        <v>4412</v>
      </c>
      <c r="BJ30" s="12"/>
    </row>
    <row r="31" spans="1:62" x14ac:dyDescent="0.25">
      <c r="A31" s="143" t="s">
        <v>508</v>
      </c>
      <c r="B31" s="144" t="s">
        <v>224</v>
      </c>
      <c r="C31" s="143">
        <v>389</v>
      </c>
      <c r="D31" s="145">
        <f>'Base de données indicateurs1'!BF32</f>
        <v>6477878.1200000001</v>
      </c>
      <c r="E31" s="12">
        <f>'Base de données indicateurs1'!E32</f>
        <v>0</v>
      </c>
      <c r="F31" s="12">
        <f>'Base de données indicateurs1'!F32</f>
        <v>0</v>
      </c>
      <c r="G31" s="12">
        <f>'Base de données indicateurs1'!G32</f>
        <v>0</v>
      </c>
      <c r="H31" s="12">
        <f>'Base de données indicateurs1'!H32</f>
        <v>0</v>
      </c>
      <c r="I31" s="12">
        <f>'Base de données indicateurs1'!I32</f>
        <v>300000</v>
      </c>
      <c r="J31" s="12">
        <f>'Base de données indicateurs1'!J32</f>
        <v>0</v>
      </c>
      <c r="K31" s="12">
        <f>'Base de données indicateurs1'!K32</f>
        <v>650000</v>
      </c>
      <c r="L31" s="12">
        <f>'Base de données indicateurs1'!L32</f>
        <v>0</v>
      </c>
      <c r="M31" s="12">
        <f>'Base de données indicateurs1'!M32</f>
        <v>0</v>
      </c>
      <c r="N31" s="12">
        <f>'Base de données indicateurs1'!N32</f>
        <v>0</v>
      </c>
      <c r="O31" s="12">
        <f>'Base de données indicateurs1'!O32</f>
        <v>383300</v>
      </c>
      <c r="P31" s="12">
        <f>'Base de données indicateurs1'!P32</f>
        <v>337.1</v>
      </c>
      <c r="Q31" s="12">
        <f>'Base de données indicateurs1'!Q32</f>
        <v>0</v>
      </c>
      <c r="R31" s="12">
        <f>'Base de données indicateurs1'!R32</f>
        <v>0</v>
      </c>
      <c r="S31" s="12">
        <f>'Base de données indicateurs1'!S32</f>
        <v>0</v>
      </c>
      <c r="T31" s="12">
        <f>'Base de données indicateurs1'!T32</f>
        <v>95000</v>
      </c>
      <c r="U31" s="12">
        <f>'Base de données indicateurs1'!U32</f>
        <v>0</v>
      </c>
      <c r="V31" s="12">
        <f>'Base de données indicateurs1'!V32</f>
        <v>0</v>
      </c>
      <c r="W31" s="12">
        <f>'Base de données indicateurs1'!W32</f>
        <v>600000</v>
      </c>
      <c r="X31" s="12">
        <f>'Base de données indicateurs1'!X32</f>
        <v>0</v>
      </c>
      <c r="Y31" s="12">
        <f>'Base de données indicateurs1'!Y32</f>
        <v>0</v>
      </c>
      <c r="Z31" s="12">
        <f>'Base de données indicateurs1'!Z32</f>
        <v>1000000</v>
      </c>
      <c r="AA31" s="12">
        <f>'Base de données indicateurs1'!AA32</f>
        <v>0</v>
      </c>
      <c r="AB31" s="12">
        <f>'Base de données indicateurs1'!AB32</f>
        <v>35000</v>
      </c>
      <c r="AC31" s="12">
        <f>'Base de données indicateurs1'!AC32</f>
        <v>0</v>
      </c>
      <c r="AD31" s="12">
        <f>'Base de données indicateurs1'!AD32</f>
        <v>0</v>
      </c>
      <c r="AE31" s="12">
        <f>'Base de données indicateurs1'!AE32</f>
        <v>0</v>
      </c>
      <c r="AF31" s="12">
        <f>'Base de données indicateurs1'!AF32</f>
        <v>0</v>
      </c>
      <c r="AG31" s="12">
        <f>'Base de données indicateurs1'!AG32</f>
        <v>0</v>
      </c>
      <c r="AH31" s="12">
        <f>'Base de données indicateurs1'!AH32</f>
        <v>350000</v>
      </c>
      <c r="AI31" s="12">
        <f>'Base de données indicateurs1'!AI32</f>
        <v>0</v>
      </c>
      <c r="AJ31" s="12">
        <f>'Base de données indicateurs1'!AJ32</f>
        <v>170000</v>
      </c>
      <c r="AK31" s="12">
        <f>'Base de données indicateurs1'!AK32</f>
        <v>367367.02</v>
      </c>
      <c r="AL31" s="12">
        <f>'Base de données indicateurs1'!AL32</f>
        <v>43343</v>
      </c>
      <c r="AM31" s="12">
        <f>'Base de données indicateurs1'!AM32</f>
        <v>0</v>
      </c>
      <c r="AN31" s="12">
        <f>'Base de données indicateurs1'!AN32</f>
        <v>12358</v>
      </c>
      <c r="AO31" s="12">
        <f>'Base de données indicateurs1'!AO32</f>
        <v>1900000</v>
      </c>
      <c r="AP31" s="12">
        <f>'Base de données indicateurs1'!AP32</f>
        <v>0</v>
      </c>
      <c r="AQ31" s="12">
        <f>'Base de données indicateurs1'!AQ32</f>
        <v>0</v>
      </c>
      <c r="AR31" s="12">
        <f>'Base de données indicateurs1'!AR32</f>
        <v>20000</v>
      </c>
      <c r="AS31" s="12">
        <f>'Base de données indicateurs1'!AS32</f>
        <v>0</v>
      </c>
      <c r="AT31" s="12">
        <f>'Base de données indicateurs1'!AT32</f>
        <v>0</v>
      </c>
      <c r="AU31" s="12">
        <f>'Base de données indicateurs1'!AU32</f>
        <v>0</v>
      </c>
      <c r="AV31" s="12">
        <f>'Base de données indicateurs1'!AV32</f>
        <v>100000</v>
      </c>
      <c r="AW31" s="12">
        <f>'Base de données indicateurs1'!AW32</f>
        <v>200000</v>
      </c>
      <c r="AX31" s="12">
        <f>'Base de données indicateurs1'!AX32</f>
        <v>0</v>
      </c>
      <c r="AY31" s="12">
        <f>'Base de données indicateurs1'!AY32</f>
        <v>0</v>
      </c>
      <c r="AZ31" s="12">
        <f>'Base de données indicateurs1'!AZ32</f>
        <v>0</v>
      </c>
      <c r="BA31" s="12">
        <f>'Base de données indicateurs1'!BA32</f>
        <v>920</v>
      </c>
      <c r="BB31" s="12">
        <f>'Base de données indicateurs1'!BB32</f>
        <v>250253</v>
      </c>
      <c r="BC31" s="12">
        <f>'Base de données indicateurs1'!BC32</f>
        <v>0</v>
      </c>
      <c r="BD31" s="12">
        <f>'Base de données indicateurs1'!BD32</f>
        <v>0</v>
      </c>
      <c r="BE31" s="12">
        <f>'Base de données indicateurs1'!BE32</f>
        <v>0</v>
      </c>
      <c r="BF31" s="12">
        <f t="shared" si="0"/>
        <v>2028637.1</v>
      </c>
      <c r="BG31" s="12">
        <f t="shared" si="1"/>
        <v>1555000</v>
      </c>
      <c r="BH31" s="12">
        <f t="shared" si="2"/>
        <v>2894241.02</v>
      </c>
      <c r="BJ31" s="12"/>
    </row>
    <row r="32" spans="1:62" x14ac:dyDescent="0.25">
      <c r="A32" s="143" t="s">
        <v>232</v>
      </c>
      <c r="B32" s="144" t="s">
        <v>225</v>
      </c>
      <c r="C32" s="143">
        <v>489</v>
      </c>
      <c r="D32" s="145">
        <f>'Base de données indicateurs1'!BF52</f>
        <v>4143888.6699999995</v>
      </c>
      <c r="E32" s="12">
        <f>'Base de données indicateurs1'!E52</f>
        <v>7472.67</v>
      </c>
      <c r="F32" s="12">
        <f>'Base de données indicateurs1'!F52</f>
        <v>0</v>
      </c>
      <c r="G32" s="12">
        <f>'Base de données indicateurs1'!G52</f>
        <v>0</v>
      </c>
      <c r="H32" s="12">
        <f>'Base de données indicateurs1'!H52</f>
        <v>0</v>
      </c>
      <c r="I32" s="12">
        <f>'Base de données indicateurs1'!I52</f>
        <v>0</v>
      </c>
      <c r="J32" s="12">
        <f>'Base de données indicateurs1'!J52</f>
        <v>190359.86</v>
      </c>
      <c r="K32" s="12">
        <f>'Base de données indicateurs1'!K52</f>
        <v>0</v>
      </c>
      <c r="L32" s="12">
        <f>'Base de données indicateurs1'!L52</f>
        <v>2500000</v>
      </c>
      <c r="M32" s="12">
        <f>'Base de données indicateurs1'!M52</f>
        <v>10700</v>
      </c>
      <c r="N32" s="12">
        <f>'Base de données indicateurs1'!N52</f>
        <v>0</v>
      </c>
      <c r="O32" s="12">
        <f>'Base de données indicateurs1'!O52</f>
        <v>60684.04</v>
      </c>
      <c r="P32" s="12">
        <f>'Base de données indicateurs1'!P52</f>
        <v>29578.3</v>
      </c>
      <c r="Q32" s="12">
        <f>'Base de données indicateurs1'!Q52</f>
        <v>0</v>
      </c>
      <c r="R32" s="12">
        <f>'Base de données indicateurs1'!R52</f>
        <v>0</v>
      </c>
      <c r="S32" s="12">
        <f>'Base de données indicateurs1'!S52</f>
        <v>240001.25</v>
      </c>
      <c r="T32" s="12">
        <f>'Base de données indicateurs1'!T52</f>
        <v>26100</v>
      </c>
      <c r="U32" s="12">
        <f>'Base de données indicateurs1'!U52</f>
        <v>40667.550000000003</v>
      </c>
      <c r="V32" s="12">
        <f>'Base de données indicateurs1'!V52</f>
        <v>0</v>
      </c>
      <c r="W32" s="12">
        <f>'Base de données indicateurs1'!W52</f>
        <v>133028</v>
      </c>
      <c r="X32" s="12">
        <f>'Base de données indicateurs1'!X52</f>
        <v>0</v>
      </c>
      <c r="Y32" s="12">
        <f>'Base de données indicateurs1'!Y52</f>
        <v>0</v>
      </c>
      <c r="Z32" s="12">
        <f>'Base de données indicateurs1'!Z52</f>
        <v>0</v>
      </c>
      <c r="AA32" s="12">
        <f>'Base de données indicateurs1'!AA52</f>
        <v>0</v>
      </c>
      <c r="AB32" s="12">
        <f>'Base de données indicateurs1'!AB52</f>
        <v>0</v>
      </c>
      <c r="AC32" s="12">
        <f>'Base de données indicateurs1'!AC52</f>
        <v>0</v>
      </c>
      <c r="AD32" s="12">
        <f>'Base de données indicateurs1'!AD52</f>
        <v>0</v>
      </c>
      <c r="AE32" s="12">
        <f>'Base de données indicateurs1'!AE52</f>
        <v>96</v>
      </c>
      <c r="AF32" s="12">
        <f>'Base de données indicateurs1'!AF52</f>
        <v>0</v>
      </c>
      <c r="AG32" s="12">
        <f>'Base de données indicateurs1'!AG52</f>
        <v>0</v>
      </c>
      <c r="AH32" s="12">
        <f>'Base de données indicateurs1'!AH52</f>
        <v>0</v>
      </c>
      <c r="AI32" s="12">
        <f>'Base de données indicateurs1'!AI52</f>
        <v>0</v>
      </c>
      <c r="AJ32" s="12">
        <f>'Base de données indicateurs1'!AJ52</f>
        <v>0</v>
      </c>
      <c r="AK32" s="12">
        <f>'Base de données indicateurs1'!AK52</f>
        <v>0</v>
      </c>
      <c r="AL32" s="12">
        <f>'Base de données indicateurs1'!AL52</f>
        <v>40000</v>
      </c>
      <c r="AM32" s="12">
        <f>'Base de données indicateurs1'!AM52</f>
        <v>0</v>
      </c>
      <c r="AN32" s="12">
        <f>'Base de données indicateurs1'!AN52</f>
        <v>4800</v>
      </c>
      <c r="AO32" s="12">
        <f>'Base de données indicateurs1'!AO52</f>
        <v>0</v>
      </c>
      <c r="AP32" s="12">
        <f>'Base de données indicateurs1'!AP52</f>
        <v>0</v>
      </c>
      <c r="AQ32" s="12">
        <f>'Base de données indicateurs1'!AQ52</f>
        <v>130567</v>
      </c>
      <c r="AR32" s="12">
        <f>'Base de données indicateurs1'!AR52</f>
        <v>0</v>
      </c>
      <c r="AS32" s="12">
        <f>'Base de données indicateurs1'!AS52</f>
        <v>422</v>
      </c>
      <c r="AT32" s="12">
        <f>'Base de données indicateurs1'!AT52</f>
        <v>20000</v>
      </c>
      <c r="AU32" s="12">
        <f>'Base de données indicateurs1'!AU52</f>
        <v>50338</v>
      </c>
      <c r="AV32" s="12">
        <f>'Base de données indicateurs1'!AV52</f>
        <v>0</v>
      </c>
      <c r="AW32" s="12">
        <f>'Base de données indicateurs1'!AW52</f>
        <v>633</v>
      </c>
      <c r="AX32" s="12">
        <f>'Base de données indicateurs1'!AX52</f>
        <v>5207</v>
      </c>
      <c r="AY32" s="12">
        <f>'Base de données indicateurs1'!AY52</f>
        <v>0</v>
      </c>
      <c r="AZ32" s="12">
        <f>'Base de données indicateurs1'!AZ52</f>
        <v>151597</v>
      </c>
      <c r="BA32" s="12">
        <f>'Base de données indicateurs1'!BA52</f>
        <v>319</v>
      </c>
      <c r="BB32" s="12">
        <f>'Base de données indicateurs1'!BB52</f>
        <v>1083</v>
      </c>
      <c r="BC32" s="12">
        <f>'Base de données indicateurs1'!BC52</f>
        <v>235</v>
      </c>
      <c r="BD32" s="12">
        <f>'Base de données indicateurs1'!BD52</f>
        <v>500000</v>
      </c>
      <c r="BE32" s="12">
        <f>'Base de données indicateurs1'!BE52</f>
        <v>0</v>
      </c>
      <c r="BF32" s="12">
        <f t="shared" si="0"/>
        <v>3238591.6699999995</v>
      </c>
      <c r="BG32" s="12">
        <f t="shared" si="1"/>
        <v>96</v>
      </c>
      <c r="BH32" s="12">
        <f t="shared" si="2"/>
        <v>905201</v>
      </c>
      <c r="BJ32" s="12"/>
    </row>
    <row r="33" spans="1:62" x14ac:dyDescent="0.25">
      <c r="A33" s="143" t="s">
        <v>509</v>
      </c>
      <c r="B33" s="144" t="s">
        <v>225</v>
      </c>
      <c r="C33" s="143">
        <v>4490</v>
      </c>
      <c r="D33" s="145">
        <f>'Base de données indicateurs1'!BF47</f>
        <v>8461.2900000000009</v>
      </c>
      <c r="E33" s="12">
        <f>'Base de données indicateurs1'!E47</f>
        <v>0</v>
      </c>
      <c r="F33" s="12">
        <f>'Base de données indicateurs1'!F47</f>
        <v>0</v>
      </c>
      <c r="G33" s="12">
        <f>'Base de données indicateurs1'!G47</f>
        <v>0</v>
      </c>
      <c r="H33" s="12">
        <f>'Base de données indicateurs1'!H47</f>
        <v>0</v>
      </c>
      <c r="I33" s="12">
        <f>'Base de données indicateurs1'!I47</f>
        <v>0</v>
      </c>
      <c r="J33" s="12">
        <f>'Base de données indicateurs1'!J47</f>
        <v>0</v>
      </c>
      <c r="K33" s="12">
        <f>'Base de données indicateurs1'!K47</f>
        <v>0</v>
      </c>
      <c r="L33" s="12">
        <f>'Base de données indicateurs1'!L47</f>
        <v>0</v>
      </c>
      <c r="M33" s="12">
        <f>'Base de données indicateurs1'!M47</f>
        <v>0</v>
      </c>
      <c r="N33" s="12">
        <f>'Base de données indicateurs1'!N47</f>
        <v>0</v>
      </c>
      <c r="O33" s="12">
        <f>'Base de données indicateurs1'!O47</f>
        <v>8461.2900000000009</v>
      </c>
      <c r="P33" s="12">
        <f>'Base de données indicateurs1'!P47</f>
        <v>0</v>
      </c>
      <c r="Q33" s="12">
        <f>'Base de données indicateurs1'!Q47</f>
        <v>0</v>
      </c>
      <c r="R33" s="12">
        <f>'Base de données indicateurs1'!R47</f>
        <v>0</v>
      </c>
      <c r="S33" s="12">
        <f>'Base de données indicateurs1'!S47</f>
        <v>0</v>
      </c>
      <c r="T33" s="12">
        <f>'Base de données indicateurs1'!T47</f>
        <v>0</v>
      </c>
      <c r="U33" s="12">
        <f>'Base de données indicateurs1'!U47</f>
        <v>0</v>
      </c>
      <c r="V33" s="12">
        <f>'Base de données indicateurs1'!V47</f>
        <v>0</v>
      </c>
      <c r="W33" s="12">
        <f>'Base de données indicateurs1'!W47</f>
        <v>0</v>
      </c>
      <c r="X33" s="12">
        <f>'Base de données indicateurs1'!X47</f>
        <v>0</v>
      </c>
      <c r="Y33" s="12">
        <f>'Base de données indicateurs1'!Y47</f>
        <v>0</v>
      </c>
      <c r="Z33" s="12">
        <f>'Base de données indicateurs1'!Z47</f>
        <v>0</v>
      </c>
      <c r="AA33" s="12">
        <f>'Base de données indicateurs1'!AA47</f>
        <v>0</v>
      </c>
      <c r="AB33" s="12">
        <f>'Base de données indicateurs1'!AB47</f>
        <v>0</v>
      </c>
      <c r="AC33" s="12">
        <f>'Base de données indicateurs1'!AC47</f>
        <v>0</v>
      </c>
      <c r="AD33" s="12">
        <f>'Base de données indicateurs1'!AD47</f>
        <v>0</v>
      </c>
      <c r="AE33" s="12">
        <f>'Base de données indicateurs1'!AE47</f>
        <v>0</v>
      </c>
      <c r="AF33" s="12">
        <f>'Base de données indicateurs1'!AF47</f>
        <v>0</v>
      </c>
      <c r="AG33" s="12">
        <f>'Base de données indicateurs1'!AG47</f>
        <v>0</v>
      </c>
      <c r="AH33" s="12">
        <f>'Base de données indicateurs1'!AH47</f>
        <v>0</v>
      </c>
      <c r="AI33" s="12">
        <f>'Base de données indicateurs1'!AI47</f>
        <v>0</v>
      </c>
      <c r="AJ33" s="12">
        <f>'Base de données indicateurs1'!AJ47</f>
        <v>0</v>
      </c>
      <c r="AK33" s="12">
        <f>'Base de données indicateurs1'!AK47</f>
        <v>0</v>
      </c>
      <c r="AL33" s="12">
        <f>'Base de données indicateurs1'!AL47</f>
        <v>0</v>
      </c>
      <c r="AM33" s="12">
        <f>'Base de données indicateurs1'!AM47</f>
        <v>0</v>
      </c>
      <c r="AN33" s="12">
        <f>'Base de données indicateurs1'!AN47</f>
        <v>0</v>
      </c>
      <c r="AO33" s="12">
        <f>'Base de données indicateurs1'!AO47</f>
        <v>0</v>
      </c>
      <c r="AP33" s="12">
        <f>'Base de données indicateurs1'!AP47</f>
        <v>0</v>
      </c>
      <c r="AQ33" s="12">
        <f>'Base de données indicateurs1'!AQ47</f>
        <v>0</v>
      </c>
      <c r="AR33" s="12">
        <f>'Base de données indicateurs1'!AR47</f>
        <v>0</v>
      </c>
      <c r="AS33" s="12">
        <f>'Base de données indicateurs1'!AS47</f>
        <v>0</v>
      </c>
      <c r="AT33" s="12">
        <f>'Base de données indicateurs1'!AT47</f>
        <v>0</v>
      </c>
      <c r="AU33" s="12">
        <f>'Base de données indicateurs1'!AU47</f>
        <v>0</v>
      </c>
      <c r="AV33" s="12">
        <f>'Base de données indicateurs1'!AV47</f>
        <v>0</v>
      </c>
      <c r="AW33" s="12">
        <f>'Base de données indicateurs1'!AW47</f>
        <v>0</v>
      </c>
      <c r="AX33" s="12">
        <f>'Base de données indicateurs1'!AX47</f>
        <v>0</v>
      </c>
      <c r="AY33" s="12">
        <f>'Base de données indicateurs1'!AY47</f>
        <v>0</v>
      </c>
      <c r="AZ33" s="12">
        <f>'Base de données indicateurs1'!AZ47</f>
        <v>0</v>
      </c>
      <c r="BA33" s="12">
        <f>'Base de données indicateurs1'!BA47</f>
        <v>0</v>
      </c>
      <c r="BB33" s="12">
        <f>'Base de données indicateurs1'!BB47</f>
        <v>0</v>
      </c>
      <c r="BC33" s="12">
        <f>'Base de données indicateurs1'!BC47</f>
        <v>0</v>
      </c>
      <c r="BD33" s="12">
        <f>'Base de données indicateurs1'!BD47</f>
        <v>0</v>
      </c>
      <c r="BE33" s="12">
        <f>'Base de données indicateurs1'!BE47</f>
        <v>0</v>
      </c>
      <c r="BF33" s="12">
        <f t="shared" si="0"/>
        <v>8461.2900000000009</v>
      </c>
      <c r="BG33" s="12">
        <f t="shared" si="1"/>
        <v>0</v>
      </c>
      <c r="BH33" s="12">
        <f t="shared" si="2"/>
        <v>0</v>
      </c>
      <c r="BJ33" s="12"/>
    </row>
    <row r="34" spans="1:62" ht="14.4" thickBot="1" x14ac:dyDescent="0.3">
      <c r="B34" s="146"/>
      <c r="D34" s="12"/>
      <c r="BF34" s="12"/>
      <c r="BG34" s="12"/>
      <c r="BH34" s="12"/>
      <c r="BJ34" s="12"/>
    </row>
    <row r="35" spans="1:62" ht="14.4" thickBot="1" x14ac:dyDescent="0.3">
      <c r="A35" s="6" t="s">
        <v>510</v>
      </c>
      <c r="B35" s="97"/>
      <c r="C35" s="6"/>
      <c r="D35" s="147">
        <f>SUM(D24:D26,D28:D31)-SUM(D27,D32:D33)</f>
        <v>30452873.009999998</v>
      </c>
      <c r="E35" s="152">
        <f>SUM(E24:E26,E28:E31)-SUM(E27,E32:E33)</f>
        <v>79219.329999999973</v>
      </c>
      <c r="F35" s="12">
        <f t="shared" ref="F35:BE35" si="6">SUM(F24:F26,F28:F31)-SUM(F27,F32:F33)</f>
        <v>-125472.41999999998</v>
      </c>
      <c r="G35" s="12">
        <f t="shared" si="6"/>
        <v>360193.97000000003</v>
      </c>
      <c r="H35" s="12">
        <f t="shared" si="6"/>
        <v>38274.29</v>
      </c>
      <c r="I35" s="12">
        <f t="shared" si="6"/>
        <v>1324905.95</v>
      </c>
      <c r="J35" s="12">
        <f t="shared" si="6"/>
        <v>1125365.67</v>
      </c>
      <c r="K35" s="12">
        <f t="shared" si="6"/>
        <v>1180036.82</v>
      </c>
      <c r="L35" s="12">
        <f t="shared" si="6"/>
        <v>2391598.3299999996</v>
      </c>
      <c r="M35" s="12">
        <f t="shared" si="6"/>
        <v>-98287.840000000026</v>
      </c>
      <c r="N35" s="12">
        <f t="shared" si="6"/>
        <v>74900.3</v>
      </c>
      <c r="O35" s="12">
        <f t="shared" si="6"/>
        <v>2800717.16</v>
      </c>
      <c r="P35" s="12">
        <f t="shared" si="6"/>
        <v>6750.0799999999981</v>
      </c>
      <c r="Q35" s="12">
        <f t="shared" si="6"/>
        <v>39958.61</v>
      </c>
      <c r="R35" s="12">
        <f t="shared" si="6"/>
        <v>53775.94</v>
      </c>
      <c r="S35" s="12">
        <f t="shared" si="6"/>
        <v>2693.3199999999779</v>
      </c>
      <c r="T35" s="12">
        <f t="shared" si="6"/>
        <v>336712.27999999997</v>
      </c>
      <c r="U35" s="12">
        <f t="shared" si="6"/>
        <v>-44233.19</v>
      </c>
      <c r="V35" s="12">
        <f t="shared" si="6"/>
        <v>104905.87000000001</v>
      </c>
      <c r="W35" s="12">
        <f t="shared" si="6"/>
        <v>1940810.4300000002</v>
      </c>
      <c r="X35" s="12">
        <f t="shared" si="6"/>
        <v>101563.76999999999</v>
      </c>
      <c r="Y35" s="12">
        <f t="shared" si="6"/>
        <v>1050199.27</v>
      </c>
      <c r="Z35" s="12">
        <f t="shared" si="6"/>
        <v>3351462.38</v>
      </c>
      <c r="AA35" s="12">
        <f t="shared" si="6"/>
        <v>-5526.0000000000091</v>
      </c>
      <c r="AB35" s="12">
        <f t="shared" si="6"/>
        <v>75351.459999999963</v>
      </c>
      <c r="AC35" s="12">
        <f t="shared" si="6"/>
        <v>113794.14</v>
      </c>
      <c r="AD35" s="12">
        <f t="shared" si="6"/>
        <v>252975.03999999998</v>
      </c>
      <c r="AE35" s="12">
        <f t="shared" si="6"/>
        <v>-119609.33999999998</v>
      </c>
      <c r="AF35" s="12">
        <f t="shared" si="6"/>
        <v>-108373.7</v>
      </c>
      <c r="AG35" s="12">
        <f t="shared" si="6"/>
        <v>1155426.28</v>
      </c>
      <c r="AH35" s="12">
        <f t="shared" si="6"/>
        <v>1288993.95</v>
      </c>
      <c r="AI35" s="12">
        <f t="shared" si="6"/>
        <v>112597.11</v>
      </c>
      <c r="AJ35" s="12">
        <f t="shared" si="6"/>
        <v>131867.22999999998</v>
      </c>
      <c r="AK35" s="12">
        <f t="shared" si="6"/>
        <v>1410963.8900000001</v>
      </c>
      <c r="AL35" s="12">
        <f t="shared" si="6"/>
        <v>439840</v>
      </c>
      <c r="AM35" s="12">
        <f t="shared" si="6"/>
        <v>228942.06</v>
      </c>
      <c r="AN35" s="12">
        <f t="shared" si="6"/>
        <v>40757.96</v>
      </c>
      <c r="AO35" s="12">
        <f t="shared" si="6"/>
        <v>2553182.71</v>
      </c>
      <c r="AP35" s="12">
        <f t="shared" si="6"/>
        <v>82332.509999999995</v>
      </c>
      <c r="AQ35" s="12">
        <f t="shared" si="6"/>
        <v>-9368</v>
      </c>
      <c r="AR35" s="12">
        <f t="shared" si="6"/>
        <v>387597.95999999996</v>
      </c>
      <c r="AS35" s="12">
        <f t="shared" si="6"/>
        <v>360231.08000000007</v>
      </c>
      <c r="AT35" s="12">
        <f t="shared" si="6"/>
        <v>238050.64999999997</v>
      </c>
      <c r="AU35" s="12">
        <f t="shared" si="6"/>
        <v>-192570.18</v>
      </c>
      <c r="AV35" s="12">
        <f t="shared" si="6"/>
        <v>862700.89999999991</v>
      </c>
      <c r="AW35" s="12">
        <f t="shared" si="6"/>
        <v>372341.33</v>
      </c>
      <c r="AX35" s="12">
        <f t="shared" si="6"/>
        <v>-16147.379999999997</v>
      </c>
      <c r="AY35" s="12">
        <f t="shared" si="6"/>
        <v>87845.56</v>
      </c>
      <c r="AZ35" s="12">
        <f t="shared" si="6"/>
        <v>381830.6</v>
      </c>
      <c r="BA35" s="12">
        <f t="shared" si="6"/>
        <v>44166.130000000005</v>
      </c>
      <c r="BB35" s="12">
        <f t="shared" si="6"/>
        <v>796357</v>
      </c>
      <c r="BC35" s="12">
        <f t="shared" si="6"/>
        <v>27300.52</v>
      </c>
      <c r="BD35" s="12">
        <f t="shared" si="6"/>
        <v>3262627.7</v>
      </c>
      <c r="BE35" s="12">
        <f t="shared" si="6"/>
        <v>100343.52000000002</v>
      </c>
      <c r="BF35" s="12">
        <f t="shared" si="0"/>
        <v>11592824.899999997</v>
      </c>
      <c r="BG35" s="12">
        <f t="shared" si="1"/>
        <v>7400721.5899999999</v>
      </c>
      <c r="BH35" s="12">
        <f t="shared" si="2"/>
        <v>11459326.52</v>
      </c>
      <c r="BJ35" s="12"/>
    </row>
    <row r="36" spans="1:62" x14ac:dyDescent="0.25">
      <c r="B36" s="146"/>
      <c r="D36" s="12"/>
      <c r="BF36" s="12"/>
      <c r="BG36" s="12"/>
      <c r="BH36" s="12"/>
      <c r="BJ36" s="12"/>
    </row>
    <row r="37" spans="1:62" x14ac:dyDescent="0.25">
      <c r="A37" s="140" t="s">
        <v>511</v>
      </c>
      <c r="B37" s="141" t="s">
        <v>224</v>
      </c>
      <c r="C37" s="140">
        <v>690</v>
      </c>
      <c r="D37" s="142">
        <f>'Base de données indicateurs1'!BF59</f>
        <v>58141471.820000008</v>
      </c>
      <c r="E37" s="12">
        <f>'Base de données indicateurs1'!E59</f>
        <v>371702.39</v>
      </c>
      <c r="F37" s="12">
        <f>'Base de données indicateurs1'!F59</f>
        <v>28081.5</v>
      </c>
      <c r="G37" s="12">
        <f>'Base de données indicateurs1'!G59</f>
        <v>242182.39999999999</v>
      </c>
      <c r="H37" s="12">
        <f>'Base de données indicateurs1'!H59</f>
        <v>62259.15</v>
      </c>
      <c r="I37" s="12">
        <f>'Base de données indicateurs1'!I59</f>
        <v>2378465.62</v>
      </c>
      <c r="J37" s="12">
        <f>'Base de données indicateurs1'!J59</f>
        <v>2202642.27</v>
      </c>
      <c r="K37" s="12">
        <f>'Base de données indicateurs1'!K59</f>
        <v>979069.46</v>
      </c>
      <c r="L37" s="12">
        <f>'Base de données indicateurs1'!L59</f>
        <v>12017308.6</v>
      </c>
      <c r="M37" s="12">
        <f>'Base de données indicateurs1'!M59</f>
        <v>1910906.37</v>
      </c>
      <c r="N37" s="12">
        <f>'Base de données indicateurs1'!N59</f>
        <v>41267.75</v>
      </c>
      <c r="O37" s="12">
        <f>'Base de données indicateurs1'!O59</f>
        <v>5431484.6500000004</v>
      </c>
      <c r="P37" s="12">
        <f>'Base de données indicateurs1'!P59</f>
        <v>50979.71</v>
      </c>
      <c r="Q37" s="12">
        <f>'Base de données indicateurs1'!Q59</f>
        <v>2188.15</v>
      </c>
      <c r="R37" s="12">
        <f>'Base de données indicateurs1'!R59</f>
        <v>43432.21</v>
      </c>
      <c r="S37" s="12">
        <f>'Base de données indicateurs1'!S59</f>
        <v>209.25</v>
      </c>
      <c r="T37" s="12">
        <f>'Base de données indicateurs1'!T59</f>
        <v>198621.2</v>
      </c>
      <c r="U37" s="12">
        <f>'Base de données indicateurs1'!U59</f>
        <v>112192.75</v>
      </c>
      <c r="V37" s="12">
        <f>'Base de données indicateurs1'!V59</f>
        <v>65376</v>
      </c>
      <c r="W37" s="12">
        <f>'Base de données indicateurs1'!W59</f>
        <v>4915498.45</v>
      </c>
      <c r="X37" s="12">
        <f>'Base de données indicateurs1'!X59</f>
        <v>331568.45</v>
      </c>
      <c r="Y37" s="12">
        <f>'Base de données indicateurs1'!Y59</f>
        <v>568913.5</v>
      </c>
      <c r="Z37" s="12">
        <f>'Base de données indicateurs1'!Z59</f>
        <v>356335.8</v>
      </c>
      <c r="AA37" s="12">
        <f>'Base de données indicateurs1'!AA59</f>
        <v>339692.7</v>
      </c>
      <c r="AB37" s="12">
        <f>'Base de données indicateurs1'!AB59</f>
        <v>178259.75</v>
      </c>
      <c r="AC37" s="12">
        <f>'Base de données indicateurs1'!AC59</f>
        <v>373782</v>
      </c>
      <c r="AD37" s="12">
        <f>'Base de données indicateurs1'!AD59</f>
        <v>1534075.49</v>
      </c>
      <c r="AE37" s="12">
        <f>'Base de données indicateurs1'!AE59</f>
        <v>482944.8</v>
      </c>
      <c r="AF37" s="12">
        <f>'Base de données indicateurs1'!AF59</f>
        <v>606075.91</v>
      </c>
      <c r="AG37" s="12">
        <f>'Base de données indicateurs1'!AG59</f>
        <v>830847.02</v>
      </c>
      <c r="AH37" s="12">
        <f>'Base de données indicateurs1'!AH59</f>
        <v>1171479.83</v>
      </c>
      <c r="AI37" s="12">
        <f>'Base de données indicateurs1'!AI59</f>
        <v>25468.85</v>
      </c>
      <c r="AJ37" s="12">
        <f>'Base de données indicateurs1'!AJ59</f>
        <v>66722.850000000006</v>
      </c>
      <c r="AK37" s="12">
        <f>'Base de données indicateurs1'!AK59</f>
        <v>723238.84</v>
      </c>
      <c r="AL37" s="12">
        <f>'Base de données indicateurs1'!AL59</f>
        <v>248880.85</v>
      </c>
      <c r="AM37" s="12">
        <f>'Base de données indicateurs1'!AM59</f>
        <v>463854.36</v>
      </c>
      <c r="AN37" s="12">
        <f>'Base de données indicateurs1'!AN59</f>
        <v>19656.5</v>
      </c>
      <c r="AO37" s="12">
        <f>'Base de données indicateurs1'!AO59</f>
        <v>1528389.06</v>
      </c>
      <c r="AP37" s="12">
        <f>'Base de données indicateurs1'!AP59</f>
        <v>334781.95</v>
      </c>
      <c r="AQ37" s="12">
        <f>'Base de données indicateurs1'!AQ59</f>
        <v>1123724.8</v>
      </c>
      <c r="AR37" s="12">
        <f>'Base de données indicateurs1'!AR59</f>
        <v>1965475.15</v>
      </c>
      <c r="AS37" s="12">
        <f>'Base de données indicateurs1'!AS59</f>
        <v>152819.9</v>
      </c>
      <c r="AT37" s="12">
        <f>'Base de données indicateurs1'!AT59</f>
        <v>1040598.75</v>
      </c>
      <c r="AU37" s="12">
        <f>'Base de données indicateurs1'!AU59</f>
        <v>177717.8</v>
      </c>
      <c r="AV37" s="12">
        <f>'Base de données indicateurs1'!AV59</f>
        <v>2134973.85</v>
      </c>
      <c r="AW37" s="12">
        <f>'Base de données indicateurs1'!AW59</f>
        <v>344279.7</v>
      </c>
      <c r="AX37" s="12">
        <f>'Base de données indicateurs1'!AX59</f>
        <v>0</v>
      </c>
      <c r="AY37" s="12">
        <f>'Base de données indicateurs1'!AY59</f>
        <v>84585.35</v>
      </c>
      <c r="AZ37" s="12">
        <f>'Base de données indicateurs1'!AZ59</f>
        <v>264388.7</v>
      </c>
      <c r="BA37" s="12">
        <f>'Base de données indicateurs1'!BA59</f>
        <v>1181638.93</v>
      </c>
      <c r="BB37" s="12">
        <f>'Base de données indicateurs1'!BB59</f>
        <v>944192.91</v>
      </c>
      <c r="BC37" s="12">
        <f>'Base de données indicateurs1'!BC59</f>
        <v>469551.45</v>
      </c>
      <c r="BD37" s="12">
        <f>'Base de données indicateurs1'!BD59</f>
        <v>6984682.2400000002</v>
      </c>
      <c r="BE37" s="12">
        <f>'Base de données indicateurs1'!BE59</f>
        <v>34005.9</v>
      </c>
      <c r="BF37" s="12">
        <f t="shared" si="0"/>
        <v>31053867.880000003</v>
      </c>
      <c r="BG37" s="12">
        <f t="shared" si="1"/>
        <v>6866166.9499999993</v>
      </c>
      <c r="BH37" s="12">
        <f t="shared" si="2"/>
        <v>20221436.989999995</v>
      </c>
      <c r="BJ37" s="12"/>
    </row>
    <row r="38" spans="1:62" x14ac:dyDescent="0.25">
      <c r="A38" s="143" t="s">
        <v>512</v>
      </c>
      <c r="B38" s="144" t="s">
        <v>225</v>
      </c>
      <c r="C38" s="143">
        <v>590</v>
      </c>
      <c r="D38" s="145">
        <f>'Base de données indicateurs1'!BF62</f>
        <v>12820872.170000002</v>
      </c>
      <c r="E38" s="12">
        <f>'Base de données indicateurs1'!E62</f>
        <v>0</v>
      </c>
      <c r="F38" s="12">
        <f>'Base de données indicateurs1'!F62</f>
        <v>5829.7</v>
      </c>
      <c r="G38" s="12">
        <f>'Base de données indicateurs1'!G62</f>
        <v>64996</v>
      </c>
      <c r="H38" s="12">
        <f>'Base de données indicateurs1'!H62</f>
        <v>194100</v>
      </c>
      <c r="I38" s="12">
        <f>'Base de données indicateurs1'!I62</f>
        <v>213899</v>
      </c>
      <c r="J38" s="12">
        <f>'Base de données indicateurs1'!J62</f>
        <v>671572.4</v>
      </c>
      <c r="K38" s="12">
        <f>'Base de données indicateurs1'!K62</f>
        <v>364783.8</v>
      </c>
      <c r="L38" s="12">
        <f>'Base de données indicateurs1'!L62</f>
        <v>1458029</v>
      </c>
      <c r="M38" s="12">
        <f>'Base de données indicateurs1'!M62</f>
        <v>975441.8</v>
      </c>
      <c r="N38" s="12">
        <f>'Base de données indicateurs1'!N62</f>
        <v>0</v>
      </c>
      <c r="O38" s="12">
        <f>'Base de données indicateurs1'!O62</f>
        <v>926847.45</v>
      </c>
      <c r="P38" s="12">
        <f>'Base de données indicateurs1'!P62</f>
        <v>182690.4</v>
      </c>
      <c r="Q38" s="12">
        <f>'Base de données indicateurs1'!Q62</f>
        <v>0</v>
      </c>
      <c r="R38" s="12">
        <f>'Base de données indicateurs1'!R62</f>
        <v>707.45</v>
      </c>
      <c r="S38" s="12">
        <f>'Base de données indicateurs1'!S62</f>
        <v>221400</v>
      </c>
      <c r="T38" s="12">
        <f>'Base de données indicateurs1'!T62</f>
        <v>48700</v>
      </c>
      <c r="U38" s="12">
        <f>'Base de données indicateurs1'!U62</f>
        <v>3802.9</v>
      </c>
      <c r="V38" s="12">
        <f>'Base de données indicateurs1'!V62</f>
        <v>3884</v>
      </c>
      <c r="W38" s="12">
        <f>'Base de données indicateurs1'!W62</f>
        <v>2362720.15</v>
      </c>
      <c r="X38" s="12">
        <f>'Base de données indicateurs1'!X62</f>
        <v>3000</v>
      </c>
      <c r="Y38" s="12">
        <f>'Base de données indicateurs1'!Y62</f>
        <v>129671.2</v>
      </c>
      <c r="Z38" s="12">
        <f>'Base de données indicateurs1'!Z62</f>
        <v>97701.8</v>
      </c>
      <c r="AA38" s="12">
        <f>'Base de données indicateurs1'!AA62</f>
        <v>0</v>
      </c>
      <c r="AB38" s="12">
        <f>'Base de données indicateurs1'!AB62</f>
        <v>0</v>
      </c>
      <c r="AC38" s="12">
        <f>'Base de données indicateurs1'!AC62</f>
        <v>69100</v>
      </c>
      <c r="AD38" s="12">
        <f>'Base de données indicateurs1'!AD62</f>
        <v>158561.54999999999</v>
      </c>
      <c r="AE38" s="12">
        <f>'Base de données indicateurs1'!AE62</f>
        <v>0</v>
      </c>
      <c r="AF38" s="12">
        <f>'Base de données indicateurs1'!AF62</f>
        <v>61998</v>
      </c>
      <c r="AG38" s="12">
        <f>'Base de données indicateurs1'!AG62</f>
        <v>44859.1</v>
      </c>
      <c r="AH38" s="12">
        <f>'Base de données indicateurs1'!AH62</f>
        <v>706607.6</v>
      </c>
      <c r="AI38" s="12">
        <f>'Base de données indicateurs1'!AI62</f>
        <v>4600</v>
      </c>
      <c r="AJ38" s="12">
        <f>'Base de données indicateurs1'!AJ62</f>
        <v>9250</v>
      </c>
      <c r="AK38" s="12">
        <f>'Base de données indicateurs1'!AK62</f>
        <v>454939.4</v>
      </c>
      <c r="AL38" s="12">
        <f>'Base de données indicateurs1'!AL62</f>
        <v>99916.05</v>
      </c>
      <c r="AM38" s="12">
        <f>'Base de données indicateurs1'!AM62</f>
        <v>97387.9</v>
      </c>
      <c r="AN38" s="12">
        <f>'Base de données indicateurs1'!AN62</f>
        <v>0</v>
      </c>
      <c r="AO38" s="12">
        <f>'Base de données indicateurs1'!AO62</f>
        <v>194820.35</v>
      </c>
      <c r="AP38" s="12">
        <f>'Base de données indicateurs1'!AP62</f>
        <v>3823.75</v>
      </c>
      <c r="AQ38" s="12">
        <f>'Base de données indicateurs1'!AQ62</f>
        <v>74742.350000000006</v>
      </c>
      <c r="AR38" s="12">
        <f>'Base de données indicateurs1'!AR62</f>
        <v>751289.62</v>
      </c>
      <c r="AS38" s="12">
        <f>'Base de données indicateurs1'!AS62</f>
        <v>77000</v>
      </c>
      <c r="AT38" s="12">
        <f>'Base de données indicateurs1'!AT62</f>
        <v>90000.05</v>
      </c>
      <c r="AU38" s="12">
        <f>'Base de données indicateurs1'!AU62</f>
        <v>53027.5</v>
      </c>
      <c r="AV38" s="12">
        <f>'Base de données indicateurs1'!AV62</f>
        <v>142427.79999999999</v>
      </c>
      <c r="AW38" s="12">
        <f>'Base de données indicateurs1'!AW62</f>
        <v>16355</v>
      </c>
      <c r="AX38" s="12">
        <f>'Base de données indicateurs1'!AX62</f>
        <v>0</v>
      </c>
      <c r="AY38" s="12">
        <f>'Base de données indicateurs1'!AY62</f>
        <v>0</v>
      </c>
      <c r="AZ38" s="12">
        <f>'Base de données indicateurs1'!AZ62</f>
        <v>0</v>
      </c>
      <c r="BA38" s="12">
        <f>'Base de données indicateurs1'!BA62</f>
        <v>173814.15</v>
      </c>
      <c r="BB38" s="12">
        <f>'Base de données indicateurs1'!BB62</f>
        <v>106328</v>
      </c>
      <c r="BC38" s="12">
        <f>'Base de données indicateurs1'!BC62</f>
        <v>203366</v>
      </c>
      <c r="BD38" s="12">
        <f>'Base de données indicateurs1'!BD62</f>
        <v>1234923.95</v>
      </c>
      <c r="BE38" s="12">
        <f>'Base de données indicateurs1'!BE62</f>
        <v>61957</v>
      </c>
      <c r="BF38" s="12">
        <f t="shared" si="0"/>
        <v>7699404.0500000007</v>
      </c>
      <c r="BG38" s="12">
        <f t="shared" si="1"/>
        <v>1285349.25</v>
      </c>
      <c r="BH38" s="12">
        <f t="shared" si="2"/>
        <v>3836118.87</v>
      </c>
      <c r="BJ38" s="12"/>
    </row>
    <row r="39" spans="1:62" ht="14.4" thickBot="1" x14ac:dyDescent="0.3">
      <c r="B39" s="139"/>
      <c r="D39" s="12"/>
      <c r="BF39" s="12"/>
      <c r="BG39" s="12"/>
      <c r="BH39" s="12"/>
      <c r="BJ39" s="12"/>
    </row>
    <row r="40" spans="1:62" ht="14.4" thickBot="1" x14ac:dyDescent="0.3">
      <c r="A40" s="6" t="s">
        <v>220</v>
      </c>
      <c r="B40" s="153"/>
      <c r="C40" s="6"/>
      <c r="D40" s="147">
        <f>D37-D38</f>
        <v>45320599.650000006</v>
      </c>
      <c r="E40" s="12">
        <f>E37-E38</f>
        <v>371702.39</v>
      </c>
      <c r="F40" s="12">
        <f t="shared" ref="F40:BE40" si="7">F37-F38</f>
        <v>22251.8</v>
      </c>
      <c r="G40" s="12">
        <f t="shared" si="7"/>
        <v>177186.4</v>
      </c>
      <c r="H40" s="12">
        <f t="shared" si="7"/>
        <v>-131840.85</v>
      </c>
      <c r="I40" s="12">
        <f t="shared" si="7"/>
        <v>2164566.62</v>
      </c>
      <c r="J40" s="12">
        <f t="shared" si="7"/>
        <v>1531069.87</v>
      </c>
      <c r="K40" s="12">
        <f t="shared" si="7"/>
        <v>614285.65999999992</v>
      </c>
      <c r="L40" s="12">
        <f t="shared" si="7"/>
        <v>10559279.6</v>
      </c>
      <c r="M40" s="12">
        <f t="shared" si="7"/>
        <v>935464.57000000007</v>
      </c>
      <c r="N40" s="12">
        <f t="shared" si="7"/>
        <v>41267.75</v>
      </c>
      <c r="O40" s="12">
        <f t="shared" si="7"/>
        <v>4504637.2</v>
      </c>
      <c r="P40" s="12">
        <f t="shared" si="7"/>
        <v>-131710.69</v>
      </c>
      <c r="Q40" s="12">
        <f t="shared" si="7"/>
        <v>2188.15</v>
      </c>
      <c r="R40" s="12">
        <f t="shared" si="7"/>
        <v>42724.76</v>
      </c>
      <c r="S40" s="12">
        <f t="shared" si="7"/>
        <v>-221190.75</v>
      </c>
      <c r="T40" s="12">
        <f t="shared" si="7"/>
        <v>149921.20000000001</v>
      </c>
      <c r="U40" s="12">
        <f t="shared" si="7"/>
        <v>108389.85</v>
      </c>
      <c r="V40" s="12">
        <f t="shared" si="7"/>
        <v>61492</v>
      </c>
      <c r="W40" s="12">
        <f t="shared" si="7"/>
        <v>2552778.3000000003</v>
      </c>
      <c r="X40" s="12">
        <f t="shared" si="7"/>
        <v>328568.45</v>
      </c>
      <c r="Y40" s="12">
        <f t="shared" si="7"/>
        <v>439242.3</v>
      </c>
      <c r="Z40" s="12">
        <f t="shared" si="7"/>
        <v>258634</v>
      </c>
      <c r="AA40" s="12">
        <f t="shared" si="7"/>
        <v>339692.7</v>
      </c>
      <c r="AB40" s="12">
        <f t="shared" si="7"/>
        <v>178259.75</v>
      </c>
      <c r="AC40" s="12">
        <f t="shared" si="7"/>
        <v>304682</v>
      </c>
      <c r="AD40" s="12">
        <f t="shared" si="7"/>
        <v>1375513.94</v>
      </c>
      <c r="AE40" s="12">
        <f t="shared" si="7"/>
        <v>482944.8</v>
      </c>
      <c r="AF40" s="12">
        <f t="shared" si="7"/>
        <v>544077.91</v>
      </c>
      <c r="AG40" s="12">
        <f t="shared" si="7"/>
        <v>785987.92</v>
      </c>
      <c r="AH40" s="12">
        <f t="shared" si="7"/>
        <v>464872.2300000001</v>
      </c>
      <c r="AI40" s="12">
        <f t="shared" si="7"/>
        <v>20868.849999999999</v>
      </c>
      <c r="AJ40" s="12">
        <f t="shared" si="7"/>
        <v>57472.850000000006</v>
      </c>
      <c r="AK40" s="12">
        <f t="shared" si="7"/>
        <v>268299.43999999994</v>
      </c>
      <c r="AL40" s="12">
        <f t="shared" si="7"/>
        <v>148964.79999999999</v>
      </c>
      <c r="AM40" s="12">
        <f t="shared" si="7"/>
        <v>366466.45999999996</v>
      </c>
      <c r="AN40" s="12">
        <f t="shared" si="7"/>
        <v>19656.5</v>
      </c>
      <c r="AO40" s="12">
        <f t="shared" si="7"/>
        <v>1333568.71</v>
      </c>
      <c r="AP40" s="12">
        <f t="shared" si="7"/>
        <v>330958.2</v>
      </c>
      <c r="AQ40" s="12">
        <f t="shared" si="7"/>
        <v>1048982.45</v>
      </c>
      <c r="AR40" s="12">
        <f t="shared" si="7"/>
        <v>1214185.5299999998</v>
      </c>
      <c r="AS40" s="12">
        <f t="shared" si="7"/>
        <v>75819.899999999994</v>
      </c>
      <c r="AT40" s="12">
        <f t="shared" si="7"/>
        <v>950598.7</v>
      </c>
      <c r="AU40" s="12">
        <f t="shared" si="7"/>
        <v>124690.29999999999</v>
      </c>
      <c r="AV40" s="12">
        <f t="shared" si="7"/>
        <v>1992546.05</v>
      </c>
      <c r="AW40" s="12">
        <f t="shared" si="7"/>
        <v>327924.7</v>
      </c>
      <c r="AX40" s="12">
        <f t="shared" si="7"/>
        <v>0</v>
      </c>
      <c r="AY40" s="12">
        <f t="shared" si="7"/>
        <v>84585.35</v>
      </c>
      <c r="AZ40" s="12">
        <f t="shared" si="7"/>
        <v>264388.7</v>
      </c>
      <c r="BA40" s="12">
        <f t="shared" si="7"/>
        <v>1007824.7799999999</v>
      </c>
      <c r="BB40" s="12">
        <f t="shared" si="7"/>
        <v>837864.91</v>
      </c>
      <c r="BC40" s="12">
        <f t="shared" si="7"/>
        <v>266185.45</v>
      </c>
      <c r="BD40" s="12">
        <f t="shared" si="7"/>
        <v>5749758.29</v>
      </c>
      <c r="BE40" s="12">
        <f t="shared" si="7"/>
        <v>-27951.1</v>
      </c>
      <c r="BF40" s="12">
        <f t="shared" si="0"/>
        <v>23354463.830000002</v>
      </c>
      <c r="BG40" s="12">
        <f t="shared" si="1"/>
        <v>5580817.6999999993</v>
      </c>
      <c r="BH40" s="12">
        <f t="shared" si="2"/>
        <v>16385318.119999999</v>
      </c>
      <c r="BJ40" s="12"/>
    </row>
    <row r="41" spans="1:62" ht="14.4" thickBot="1" x14ac:dyDescent="0.3">
      <c r="B41" s="139"/>
      <c r="D41" s="12"/>
      <c r="BF41" s="12"/>
      <c r="BG41" s="12"/>
      <c r="BH41" s="12"/>
      <c r="BJ41" s="12"/>
    </row>
    <row r="42" spans="1:62" ht="14.4" thickBot="1" x14ac:dyDescent="0.3">
      <c r="A42" s="6" t="s">
        <v>513</v>
      </c>
      <c r="B42" s="153"/>
      <c r="C42" s="6"/>
      <c r="D42" s="147">
        <f>IF(D40&lt;&gt;0,D35/D40,"")*100</f>
        <v>67.194329389240536</v>
      </c>
      <c r="E42" s="149">
        <f>IF(E40&lt;&gt;0,E35/E40,"")*100</f>
        <v>21.312569445679369</v>
      </c>
      <c r="F42" s="75">
        <f t="shared" ref="F42:BH42" si="8">IF(F40&lt;&gt;0,F35/F40,"")*100</f>
        <v>-563.87537188002761</v>
      </c>
      <c r="G42" s="75">
        <f t="shared" si="8"/>
        <v>203.28533679785812</v>
      </c>
      <c r="H42" s="75">
        <f t="shared" si="8"/>
        <v>-29.030676000647748</v>
      </c>
      <c r="I42" s="75">
        <f t="shared" si="8"/>
        <v>61.208832186463255</v>
      </c>
      <c r="J42" s="75">
        <f t="shared" si="8"/>
        <v>73.501914710136631</v>
      </c>
      <c r="K42" s="75">
        <f t="shared" si="8"/>
        <v>192.09903418549607</v>
      </c>
      <c r="L42" s="75">
        <f t="shared" si="8"/>
        <v>22.649256583754063</v>
      </c>
      <c r="M42" s="75">
        <f t="shared" si="8"/>
        <v>-10.506847950425319</v>
      </c>
      <c r="N42" s="75">
        <f t="shared" si="8"/>
        <v>181.49838554319052</v>
      </c>
      <c r="O42" s="75">
        <f>IF(O40&lt;&gt;0,O35/O40,"")*100</f>
        <v>62.174089402804732</v>
      </c>
      <c r="P42" s="75">
        <f t="shared" si="8"/>
        <v>-5.1249294950926139</v>
      </c>
      <c r="Q42" s="75">
        <f t="shared" si="8"/>
        <v>1826.136690811873</v>
      </c>
      <c r="R42" s="75">
        <f t="shared" si="8"/>
        <v>125.8659849698395</v>
      </c>
      <c r="S42" s="75">
        <f t="shared" si="8"/>
        <v>-1.2176458554437644</v>
      </c>
      <c r="T42" s="75">
        <f t="shared" si="8"/>
        <v>224.59283943831824</v>
      </c>
      <c r="U42" s="75">
        <f t="shared" si="8"/>
        <v>-40.809347000664729</v>
      </c>
      <c r="V42" s="75">
        <f t="shared" si="8"/>
        <v>170.60084238600143</v>
      </c>
      <c r="W42" s="75">
        <f t="shared" si="8"/>
        <v>76.027378875791925</v>
      </c>
      <c r="X42" s="75">
        <f t="shared" si="8"/>
        <v>30.910992823565376</v>
      </c>
      <c r="Y42" s="75">
        <f t="shared" si="8"/>
        <v>239.09338194431641</v>
      </c>
      <c r="Z42" s="75">
        <f>IF(Z40&lt;&gt;0,Z35/Z40,"")*100</f>
        <v>1295.8320947748555</v>
      </c>
      <c r="AA42" s="75">
        <f t="shared" si="8"/>
        <v>-1.6267644256117393</v>
      </c>
      <c r="AB42" s="75">
        <f t="shared" si="8"/>
        <v>42.270596699479249</v>
      </c>
      <c r="AC42" s="75">
        <f t="shared" si="8"/>
        <v>37.348494495900638</v>
      </c>
      <c r="AD42" s="75">
        <f t="shared" si="8"/>
        <v>18.391310523541478</v>
      </c>
      <c r="AE42" s="75">
        <f t="shared" si="8"/>
        <v>-24.766668985772284</v>
      </c>
      <c r="AF42" s="75">
        <f t="shared" si="8"/>
        <v>-19.918783322778165</v>
      </c>
      <c r="AG42" s="75">
        <f t="shared" si="8"/>
        <v>147.00305826583187</v>
      </c>
      <c r="AH42" s="75">
        <f t="shared" si="8"/>
        <v>277.27918916559065</v>
      </c>
      <c r="AI42" s="75">
        <f t="shared" si="8"/>
        <v>539.54630945164683</v>
      </c>
      <c r="AJ42" s="75">
        <f t="shared" si="8"/>
        <v>229.44264987728982</v>
      </c>
      <c r="AK42" s="75">
        <f t="shared" si="8"/>
        <v>525.89147782045325</v>
      </c>
      <c r="AL42" s="75">
        <f t="shared" si="8"/>
        <v>295.26438460629629</v>
      </c>
      <c r="AM42" s="75">
        <f t="shared" si="8"/>
        <v>62.472854951036993</v>
      </c>
      <c r="AN42" s="75">
        <f t="shared" si="8"/>
        <v>207.3510543586091</v>
      </c>
      <c r="AO42" s="75">
        <f t="shared" si="8"/>
        <v>191.45490523694127</v>
      </c>
      <c r="AP42" s="75">
        <f t="shared" si="8"/>
        <v>24.877011658874139</v>
      </c>
      <c r="AQ42" s="75">
        <f t="shared" si="8"/>
        <v>-0.89305593244195847</v>
      </c>
      <c r="AR42" s="75">
        <f t="shared" si="8"/>
        <v>31.922465753648044</v>
      </c>
      <c r="AS42" s="75">
        <f t="shared" si="8"/>
        <v>475.11415868393402</v>
      </c>
      <c r="AT42" s="75">
        <f t="shared" si="8"/>
        <v>25.042181311630234</v>
      </c>
      <c r="AU42" s="75">
        <f t="shared" si="8"/>
        <v>-154.43878152510661</v>
      </c>
      <c r="AV42" s="75">
        <f t="shared" si="8"/>
        <v>43.296409636304261</v>
      </c>
      <c r="AW42" s="75">
        <f t="shared" si="8"/>
        <v>113.54476500245332</v>
      </c>
      <c r="AX42" s="75" t="e">
        <f t="shared" si="8"/>
        <v>#VALUE!</v>
      </c>
      <c r="AY42" s="75">
        <f t="shared" si="8"/>
        <v>103.85434357131582</v>
      </c>
      <c r="AZ42" s="75">
        <f t="shared" si="8"/>
        <v>144.42016621739126</v>
      </c>
      <c r="BA42" s="75">
        <f t="shared" si="8"/>
        <v>4.3823222921746385</v>
      </c>
      <c r="BB42" s="75">
        <f t="shared" si="8"/>
        <v>95.045990170420197</v>
      </c>
      <c r="BC42" s="75">
        <f t="shared" si="8"/>
        <v>10.256202959252656</v>
      </c>
      <c r="BD42" s="75">
        <f t="shared" si="8"/>
        <v>56.743736613665554</v>
      </c>
      <c r="BE42" s="75">
        <f t="shared" si="8"/>
        <v>-358.9966763383195</v>
      </c>
      <c r="BF42" s="75">
        <f t="shared" si="8"/>
        <v>49.63858294665031</v>
      </c>
      <c r="BG42" s="75">
        <f t="shared" si="8"/>
        <v>132.60998634662445</v>
      </c>
      <c r="BH42" s="75">
        <f t="shared" si="8"/>
        <v>69.936551955086486</v>
      </c>
      <c r="BJ42" s="12"/>
    </row>
    <row r="43" spans="1:62" x14ac:dyDescent="0.25">
      <c r="A43" s="150" t="s">
        <v>514</v>
      </c>
      <c r="B43" s="139"/>
    </row>
    <row r="44" spans="1:62" x14ac:dyDescent="0.25">
      <c r="B44" s="139"/>
    </row>
  </sheetData>
  <mergeCells count="1">
    <mergeCell ref="A2:D2"/>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5" tint="0.59999389629810485"/>
  </sheetPr>
  <dimension ref="A2:BH37"/>
  <sheetViews>
    <sheetView zoomScaleNormal="100" workbookViewId="0">
      <pane xSplit="4" ySplit="5" topLeftCell="E6" activePane="bottomRight" state="frozen"/>
      <selection pane="topRight" activeCell="E1" sqref="E1"/>
      <selection pane="bottomLeft" activeCell="A6" sqref="A6"/>
      <selection pane="bottomRight" activeCell="E6" sqref="E6"/>
    </sheetView>
  </sheetViews>
  <sheetFormatPr baseColWidth="10" defaultColWidth="11.44140625" defaultRowHeight="13.8" x14ac:dyDescent="0.25"/>
  <cols>
    <col min="1" max="1" width="51.88671875" style="7" customWidth="1"/>
    <col min="2" max="2" width="7.44140625" style="7" customWidth="1"/>
    <col min="3" max="3" width="11.44140625" style="7"/>
    <col min="4" max="4" width="22.88671875" style="7" customWidth="1"/>
    <col min="5" max="60" width="15.6640625" style="7" customWidth="1"/>
    <col min="61" max="16384" width="11.44140625" style="7"/>
  </cols>
  <sheetData>
    <row r="2" spans="1:60" ht="17.399999999999999" x14ac:dyDescent="0.3">
      <c r="A2" s="136" t="s">
        <v>491</v>
      </c>
      <c r="B2" s="136"/>
      <c r="C2" s="136"/>
      <c r="D2" s="136"/>
    </row>
    <row r="4" spans="1:60" x14ac:dyDescent="0.25">
      <c r="A4" s="6" t="s">
        <v>515</v>
      </c>
      <c r="B4" s="139"/>
      <c r="C4" s="29" t="s">
        <v>493</v>
      </c>
      <c r="D4" s="29" t="s">
        <v>494</v>
      </c>
      <c r="E4" s="154">
        <f>'MCH2'!E3</f>
        <v>951</v>
      </c>
      <c r="F4" s="154">
        <f>'MCH2'!F3</f>
        <v>258</v>
      </c>
      <c r="G4" s="154">
        <f>'MCH2'!G3</f>
        <v>471</v>
      </c>
      <c r="H4" s="154">
        <f>'MCH2'!H3</f>
        <v>441</v>
      </c>
      <c r="I4" s="154">
        <f>'MCH2'!I3</f>
        <v>3686</v>
      </c>
      <c r="J4" s="154">
        <f>'MCH2'!J3</f>
        <v>3313</v>
      </c>
      <c r="K4" s="154">
        <f>'MCH2'!K3</f>
        <v>2654</v>
      </c>
      <c r="L4" s="154">
        <f>'MCH2'!L3</f>
        <v>12636</v>
      </c>
      <c r="M4" s="154">
        <f>'MCH2'!M3</f>
        <v>1360</v>
      </c>
      <c r="N4" s="154">
        <f>'MCH2'!N3</f>
        <v>112</v>
      </c>
      <c r="O4" s="154">
        <f>'MCH2'!O3</f>
        <v>7319</v>
      </c>
      <c r="P4" s="154">
        <f>'MCH2'!P3</f>
        <v>522</v>
      </c>
      <c r="Q4" s="154">
        <f>'MCH2'!Q3</f>
        <v>106</v>
      </c>
      <c r="R4" s="154">
        <f>'MCH2'!R3</f>
        <v>425</v>
      </c>
      <c r="S4" s="154">
        <f>'MCH2'!S3</f>
        <v>350</v>
      </c>
      <c r="T4" s="154">
        <f>'MCH2'!T3</f>
        <v>733</v>
      </c>
      <c r="U4" s="154">
        <f>'MCH2'!U3</f>
        <v>270</v>
      </c>
      <c r="V4" s="154">
        <f>'MCH2'!V3</f>
        <v>417</v>
      </c>
      <c r="W4" s="154">
        <f>'MCH2'!W3</f>
        <v>3285</v>
      </c>
      <c r="X4" s="154">
        <f>'MCH2'!X3</f>
        <v>308</v>
      </c>
      <c r="Y4" s="154">
        <f>'MCH2'!Y3</f>
        <v>1258</v>
      </c>
      <c r="Z4" s="154">
        <f>'MCH2'!Z3</f>
        <v>1524</v>
      </c>
      <c r="AA4" s="154">
        <f>'MCH2'!AA3</f>
        <v>87</v>
      </c>
      <c r="AB4" s="154">
        <f>'MCH2'!AB3</f>
        <v>156</v>
      </c>
      <c r="AC4" s="154">
        <f>'MCH2'!AC3</f>
        <v>510</v>
      </c>
      <c r="AD4" s="154">
        <f>'MCH2'!AD3</f>
        <v>705</v>
      </c>
      <c r="AE4" s="154">
        <f>'MCH2'!AE3</f>
        <v>551</v>
      </c>
      <c r="AF4" s="154">
        <f>'MCH2'!AF3</f>
        <v>511</v>
      </c>
      <c r="AG4" s="154">
        <f>'MCH2'!AG3</f>
        <v>1902</v>
      </c>
      <c r="AH4" s="154">
        <f>'MCH2'!AH3</f>
        <v>2575</v>
      </c>
      <c r="AI4" s="154">
        <f>'MCH2'!AI3</f>
        <v>228</v>
      </c>
      <c r="AJ4" s="154">
        <f>'MCH2'!AJ3</f>
        <v>118</v>
      </c>
      <c r="AK4" s="154">
        <f>'MCH2'!AK3</f>
        <v>1882</v>
      </c>
      <c r="AL4" s="154">
        <f>'MCH2'!AL3</f>
        <v>1114</v>
      </c>
      <c r="AM4" s="154">
        <f>'MCH2'!AM3</f>
        <v>1217</v>
      </c>
      <c r="AN4" s="154">
        <f>'MCH2'!AN3</f>
        <v>117</v>
      </c>
      <c r="AO4" s="154">
        <f>'MCH2'!AO3</f>
        <v>1205</v>
      </c>
      <c r="AP4" s="154">
        <f>'MCH2'!AP3</f>
        <v>625</v>
      </c>
      <c r="AQ4" s="154">
        <f>'MCH2'!AQ3</f>
        <v>631</v>
      </c>
      <c r="AR4" s="154">
        <f>'MCH2'!AR3</f>
        <v>1275</v>
      </c>
      <c r="AS4" s="154">
        <f>'MCH2'!AS3</f>
        <v>718</v>
      </c>
      <c r="AT4" s="154">
        <f>'MCH2'!AT3</f>
        <v>1018</v>
      </c>
      <c r="AU4" s="154">
        <f>'MCH2'!AU3</f>
        <v>293</v>
      </c>
      <c r="AV4" s="154">
        <f>'MCH2'!AV3</f>
        <v>2435</v>
      </c>
      <c r="AW4" s="154">
        <f>'MCH2'!AW3</f>
        <v>786</v>
      </c>
      <c r="AX4" s="154">
        <f>'MCH2'!AX3</f>
        <v>184</v>
      </c>
      <c r="AY4" s="154">
        <f>'MCH2'!AY3</f>
        <v>333</v>
      </c>
      <c r="AZ4" s="154">
        <f>'MCH2'!AZ3</f>
        <v>1674</v>
      </c>
      <c r="BA4" s="154">
        <f>'MCH2'!BA3</f>
        <v>391</v>
      </c>
      <c r="BB4" s="154">
        <f>'MCH2'!BB3</f>
        <v>1052</v>
      </c>
      <c r="BC4" s="154">
        <f>'MCH2'!BC3</f>
        <v>186</v>
      </c>
      <c r="BD4" s="154">
        <f>'MCH2'!BD3</f>
        <v>6441</v>
      </c>
      <c r="BE4" s="154">
        <f>'MCH2'!BE3</f>
        <v>546</v>
      </c>
      <c r="BF4" s="155">
        <f>'MCH2'!BG3</f>
        <v>39309</v>
      </c>
      <c r="BG4" s="155">
        <f>'MCH2'!BH3</f>
        <v>10433</v>
      </c>
      <c r="BH4" s="156">
        <f>'MCH2'!BI3</f>
        <v>24123</v>
      </c>
    </row>
    <row r="5" spans="1:60" x14ac:dyDescent="0.25">
      <c r="B5" s="139"/>
      <c r="E5" s="81" t="s">
        <v>56</v>
      </c>
      <c r="F5" s="81" t="s">
        <v>18</v>
      </c>
      <c r="G5" s="81" t="s">
        <v>57</v>
      </c>
      <c r="H5" s="81" t="s">
        <v>53</v>
      </c>
      <c r="I5" s="81" t="s">
        <v>33</v>
      </c>
      <c r="J5" s="81" t="s">
        <v>10</v>
      </c>
      <c r="K5" s="81" t="s">
        <v>15</v>
      </c>
      <c r="L5" s="81" t="s">
        <v>28</v>
      </c>
      <c r="M5" s="81" t="s">
        <v>42</v>
      </c>
      <c r="N5" s="81" t="s">
        <v>23</v>
      </c>
      <c r="O5" s="81" t="s">
        <v>22</v>
      </c>
      <c r="P5" s="81" t="s">
        <v>13</v>
      </c>
      <c r="Q5" s="81" t="s">
        <v>17</v>
      </c>
      <c r="R5" s="81" t="s">
        <v>43</v>
      </c>
      <c r="S5" s="81" t="s">
        <v>40</v>
      </c>
      <c r="T5" s="81" t="s">
        <v>31</v>
      </c>
      <c r="U5" s="81" t="s">
        <v>12</v>
      </c>
      <c r="V5" s="81" t="s">
        <v>59</v>
      </c>
      <c r="W5" s="81" t="s">
        <v>27</v>
      </c>
      <c r="X5" s="81" t="s">
        <v>30</v>
      </c>
      <c r="Y5" s="81" t="s">
        <v>20</v>
      </c>
      <c r="Z5" s="81" t="s">
        <v>45</v>
      </c>
      <c r="AA5" s="81" t="s">
        <v>71</v>
      </c>
      <c r="AB5" s="81" t="s">
        <v>39</v>
      </c>
      <c r="AC5" s="81" t="s">
        <v>19</v>
      </c>
      <c r="AD5" s="81" t="s">
        <v>41</v>
      </c>
      <c r="AE5" s="81" t="s">
        <v>36</v>
      </c>
      <c r="AF5" s="81" t="s">
        <v>7</v>
      </c>
      <c r="AG5" s="81" t="s">
        <v>55</v>
      </c>
      <c r="AH5" s="81" t="s">
        <v>21</v>
      </c>
      <c r="AI5" s="81" t="s">
        <v>6</v>
      </c>
      <c r="AJ5" s="81" t="s">
        <v>34</v>
      </c>
      <c r="AK5" s="81" t="s">
        <v>52</v>
      </c>
      <c r="AL5" s="81" t="s">
        <v>14</v>
      </c>
      <c r="AM5" s="81" t="s">
        <v>32</v>
      </c>
      <c r="AN5" s="81" t="s">
        <v>29</v>
      </c>
      <c r="AO5" s="81" t="s">
        <v>26</v>
      </c>
      <c r="AP5" s="81" t="s">
        <v>48</v>
      </c>
      <c r="AQ5" s="81" t="s">
        <v>44</v>
      </c>
      <c r="AR5" s="81" t="s">
        <v>37</v>
      </c>
      <c r="AS5" s="81" t="s">
        <v>51</v>
      </c>
      <c r="AT5" s="81" t="s">
        <v>8</v>
      </c>
      <c r="AU5" s="81" t="s">
        <v>24</v>
      </c>
      <c r="AV5" s="81" t="s">
        <v>9</v>
      </c>
      <c r="AW5" s="81" t="s">
        <v>62</v>
      </c>
      <c r="AX5" s="81" t="s">
        <v>46</v>
      </c>
      <c r="AY5" s="81" t="s">
        <v>35</v>
      </c>
      <c r="AZ5" s="81" t="s">
        <v>49</v>
      </c>
      <c r="BA5" s="81" t="s">
        <v>47</v>
      </c>
      <c r="BB5" s="81" t="s">
        <v>58</v>
      </c>
      <c r="BC5" s="81" t="s">
        <v>50</v>
      </c>
      <c r="BD5" s="81" t="s">
        <v>16</v>
      </c>
      <c r="BE5" s="81" t="s">
        <v>25</v>
      </c>
      <c r="BF5" s="81" t="s">
        <v>28</v>
      </c>
      <c r="BG5" s="81" t="s">
        <v>64</v>
      </c>
      <c r="BH5" s="81" t="s">
        <v>16</v>
      </c>
    </row>
    <row r="6" spans="1:60" x14ac:dyDescent="0.25">
      <c r="A6" s="140" t="s">
        <v>281</v>
      </c>
      <c r="B6" s="141" t="s">
        <v>224</v>
      </c>
      <c r="C6" s="140">
        <v>340</v>
      </c>
      <c r="D6" s="142">
        <f>'Base de données indicateurs1'!BF23</f>
        <v>6248537.4499999983</v>
      </c>
      <c r="E6" s="12">
        <f>'Base de données indicateurs1'!E23</f>
        <v>54405.36</v>
      </c>
      <c r="F6" s="12">
        <f>'Base de données indicateurs1'!F23</f>
        <v>28132.15</v>
      </c>
      <c r="G6" s="12">
        <f>'Base de données indicateurs1'!G23</f>
        <v>54021.440000000002</v>
      </c>
      <c r="H6" s="12">
        <f>'Base de données indicateurs1'!H23</f>
        <v>57098.85</v>
      </c>
      <c r="I6" s="12">
        <f>'Base de données indicateurs1'!I23</f>
        <v>374174</v>
      </c>
      <c r="J6" s="12">
        <f>'Base de données indicateurs1'!J23</f>
        <v>193845.61</v>
      </c>
      <c r="K6" s="12">
        <f>'Base de données indicateurs1'!K23</f>
        <v>143790.16</v>
      </c>
      <c r="L6" s="12">
        <f>'Base de données indicateurs1'!L23</f>
        <v>1809808.42</v>
      </c>
      <c r="M6" s="12">
        <f>'Base de données indicateurs1'!M23</f>
        <v>42381.919999999998</v>
      </c>
      <c r="N6" s="12">
        <f>'Base de données indicateurs1'!N23</f>
        <v>7268.05</v>
      </c>
      <c r="O6" s="12">
        <f>'Base de données indicateurs1'!O23</f>
        <v>295834.36</v>
      </c>
      <c r="P6" s="12">
        <f>'Base de données indicateurs1'!P23</f>
        <v>39196.449999999997</v>
      </c>
      <c r="Q6" s="12">
        <f>'Base de données indicateurs1'!Q23</f>
        <v>8151.88</v>
      </c>
      <c r="R6" s="12">
        <f>'Base de données indicateurs1'!R23</f>
        <v>38763.06</v>
      </c>
      <c r="S6" s="12">
        <f>'Base de données indicateurs1'!S23</f>
        <v>64754.02</v>
      </c>
      <c r="T6" s="12">
        <f>'Base de données indicateurs1'!T23</f>
        <v>45109.47</v>
      </c>
      <c r="U6" s="12">
        <f>'Base de données indicateurs1'!U23</f>
        <v>10053.27</v>
      </c>
      <c r="V6" s="12">
        <f>'Base de données indicateurs1'!V23</f>
        <v>35619.339999999997</v>
      </c>
      <c r="W6" s="12">
        <f>'Base de données indicateurs1'!W23</f>
        <v>166137.12</v>
      </c>
      <c r="X6" s="12">
        <f>'Base de données indicateurs1'!X23</f>
        <v>8239.19</v>
      </c>
      <c r="Y6" s="12">
        <f>'Base de données indicateurs1'!Y23</f>
        <v>128326.63</v>
      </c>
      <c r="Z6" s="12">
        <f>'Base de données indicateurs1'!Z23</f>
        <v>10311.48</v>
      </c>
      <c r="AA6" s="12">
        <f>'Base de données indicateurs1'!AA23</f>
        <v>4795.67</v>
      </c>
      <c r="AB6" s="12">
        <f>'Base de données indicateurs1'!AB23</f>
        <v>3587.37</v>
      </c>
      <c r="AC6" s="12">
        <f>'Base de données indicateurs1'!AC23</f>
        <v>62106.16</v>
      </c>
      <c r="AD6" s="12">
        <f>'Base de données indicateurs1'!AD23</f>
        <v>57177.8</v>
      </c>
      <c r="AE6" s="12">
        <f>'Base de données indicateurs1'!AE23</f>
        <v>35078.6</v>
      </c>
      <c r="AF6" s="12">
        <f>'Base de données indicateurs1'!AF23</f>
        <v>15061.15</v>
      </c>
      <c r="AG6" s="12">
        <f>'Base de données indicateurs1'!AG23</f>
        <v>46459.57</v>
      </c>
      <c r="AH6" s="12">
        <f>'Base de données indicateurs1'!AH23</f>
        <v>132611.03</v>
      </c>
      <c r="AI6" s="12">
        <f>'Base de données indicateurs1'!AI23</f>
        <v>0</v>
      </c>
      <c r="AJ6" s="12">
        <f>'Base de données indicateurs1'!AJ23</f>
        <v>4578.28</v>
      </c>
      <c r="AK6" s="12">
        <f>'Base de données indicateurs1'!AK23</f>
        <v>156374.1</v>
      </c>
      <c r="AL6" s="12">
        <f>'Base de données indicateurs1'!AL23</f>
        <v>119078</v>
      </c>
      <c r="AM6" s="12">
        <f>'Base de données indicateurs1'!AM23</f>
        <v>129201.11</v>
      </c>
      <c r="AN6" s="12">
        <f>'Base de données indicateurs1'!AN23</f>
        <v>19633.919999999998</v>
      </c>
      <c r="AO6" s="12">
        <f>'Base de données indicateurs1'!AO23</f>
        <v>60213.33</v>
      </c>
      <c r="AP6" s="12">
        <f>'Base de données indicateurs1'!AP23</f>
        <v>74155.97</v>
      </c>
      <c r="AQ6" s="12">
        <f>'Base de données indicateurs1'!AQ23</f>
        <v>60050</v>
      </c>
      <c r="AR6" s="12">
        <f>'Base de données indicateurs1'!AR23</f>
        <v>78368.460000000006</v>
      </c>
      <c r="AS6" s="12">
        <f>'Base de données indicateurs1'!AS23</f>
        <v>0</v>
      </c>
      <c r="AT6" s="12">
        <f>'Base de données indicateurs1'!AT23</f>
        <v>105867.22</v>
      </c>
      <c r="AU6" s="12">
        <f>'Base de données indicateurs1'!AU23</f>
        <v>22266.65</v>
      </c>
      <c r="AV6" s="12">
        <f>'Base de données indicateurs1'!AV23</f>
        <v>190311.65</v>
      </c>
      <c r="AW6" s="12">
        <f>'Base de données indicateurs1'!AW23</f>
        <v>60249.21</v>
      </c>
      <c r="AX6" s="12">
        <f>'Base de données indicateurs1'!AX23</f>
        <v>7077.6</v>
      </c>
      <c r="AY6" s="12">
        <f>'Base de données indicateurs1'!AY23</f>
        <v>14484.84</v>
      </c>
      <c r="AZ6" s="12">
        <f>'Base de données indicateurs1'!AZ23</f>
        <v>285893.94</v>
      </c>
      <c r="BA6" s="12">
        <f>'Base de données indicateurs1'!BA23</f>
        <v>18908.810000000001</v>
      </c>
      <c r="BB6" s="12">
        <f>'Base de données indicateurs1'!BB23</f>
        <v>77938</v>
      </c>
      <c r="BC6" s="12">
        <f>'Base de données indicateurs1'!BC23</f>
        <v>278.10000000000002</v>
      </c>
      <c r="BD6" s="12">
        <f>'Base de données indicateurs1'!BD23</f>
        <v>754417.41</v>
      </c>
      <c r="BE6" s="12">
        <f>'Base de données indicateurs1'!BE23</f>
        <v>36891.269999999997</v>
      </c>
      <c r="BF6" s="12">
        <f>SUM(E6:W6)</f>
        <v>3468544.93</v>
      </c>
      <c r="BG6" s="12">
        <f>SUM(X6:AJ6)</f>
        <v>508332.93000000005</v>
      </c>
      <c r="BH6" s="12">
        <f>SUM(AK6:BE6)</f>
        <v>2271659.5900000003</v>
      </c>
    </row>
    <row r="7" spans="1:60" x14ac:dyDescent="0.25">
      <c r="A7" s="143" t="s">
        <v>280</v>
      </c>
      <c r="B7" s="144" t="s">
        <v>225</v>
      </c>
      <c r="C7" s="143">
        <v>440</v>
      </c>
      <c r="D7" s="145">
        <f>'Base de données indicateurs1'!BF42</f>
        <v>2807980.9099999997</v>
      </c>
      <c r="E7" s="12">
        <f>'Base de données indicateurs1'!E42</f>
        <v>20774.759999999998</v>
      </c>
      <c r="F7" s="12">
        <f>'Base de données indicateurs1'!F42</f>
        <v>3458.6</v>
      </c>
      <c r="G7" s="12">
        <f>'Base de données indicateurs1'!G42</f>
        <v>8650.19</v>
      </c>
      <c r="H7" s="12">
        <f>'Base de données indicateurs1'!H42</f>
        <v>7673</v>
      </c>
      <c r="I7" s="12">
        <f>'Base de données indicateurs1'!I42</f>
        <v>92820</v>
      </c>
      <c r="J7" s="12">
        <f>'Base de données indicateurs1'!J42</f>
        <v>85392.02</v>
      </c>
      <c r="K7" s="12">
        <f>'Base de données indicateurs1'!K42</f>
        <v>50590.25</v>
      </c>
      <c r="L7" s="12">
        <f>'Base de données indicateurs1'!L42</f>
        <v>916525.13</v>
      </c>
      <c r="M7" s="12">
        <f>'Base de données indicateurs1'!M42</f>
        <v>34510.089999999997</v>
      </c>
      <c r="N7" s="12">
        <f>'Base de données indicateurs1'!N42</f>
        <v>2550.92</v>
      </c>
      <c r="O7" s="12">
        <f>'Base de données indicateurs1'!O42</f>
        <v>204486.74</v>
      </c>
      <c r="P7" s="12">
        <f>'Base de données indicateurs1'!P42</f>
        <v>13949.69</v>
      </c>
      <c r="Q7" s="12">
        <f>'Base de données indicateurs1'!Q42</f>
        <v>3126.21</v>
      </c>
      <c r="R7" s="12">
        <f>'Base de données indicateurs1'!R42</f>
        <v>5.5</v>
      </c>
      <c r="S7" s="12">
        <f>'Base de données indicateurs1'!S42</f>
        <v>0</v>
      </c>
      <c r="T7" s="12">
        <f>'Base de données indicateurs1'!T42</f>
        <v>20475.93</v>
      </c>
      <c r="U7" s="12">
        <f>'Base de données indicateurs1'!U42</f>
        <v>10249.469999999999</v>
      </c>
      <c r="V7" s="12">
        <f>'Base de données indicateurs1'!V42</f>
        <v>14363.15</v>
      </c>
      <c r="W7" s="12">
        <f>'Base de données indicateurs1'!W42</f>
        <v>96966.55</v>
      </c>
      <c r="X7" s="12">
        <f>'Base de données indicateurs1'!X42</f>
        <v>5057.2</v>
      </c>
      <c r="Y7" s="12">
        <f>'Base de données indicateurs1'!Y42</f>
        <v>42079.32</v>
      </c>
      <c r="Z7" s="12">
        <f>'Base de données indicateurs1'!Z42</f>
        <v>33323.19</v>
      </c>
      <c r="AA7" s="12">
        <f>'Base de données indicateurs1'!AA42</f>
        <v>2034.5</v>
      </c>
      <c r="AB7" s="12">
        <f>'Base de données indicateurs1'!AB42</f>
        <v>2689.22</v>
      </c>
      <c r="AC7" s="12">
        <f>'Base de données indicateurs1'!AC42</f>
        <v>5857.15</v>
      </c>
      <c r="AD7" s="12">
        <f>'Base de données indicateurs1'!AD42</f>
        <v>10282.23</v>
      </c>
      <c r="AE7" s="12">
        <f>'Base de données indicateurs1'!AE42</f>
        <v>14852.94</v>
      </c>
      <c r="AF7" s="12">
        <f>'Base de données indicateurs1'!AF42</f>
        <v>296.68</v>
      </c>
      <c r="AG7" s="12">
        <f>'Base de données indicateurs1'!AG42</f>
        <v>31517.47</v>
      </c>
      <c r="AH7" s="12">
        <f>'Base de données indicateurs1'!AH42</f>
        <v>51084.21</v>
      </c>
      <c r="AI7" s="12">
        <f>'Base de données indicateurs1'!AI42</f>
        <v>0</v>
      </c>
      <c r="AJ7" s="12">
        <f>'Base de données indicateurs1'!AJ42</f>
        <v>2287.2600000000002</v>
      </c>
      <c r="AK7" s="12">
        <f>'Base de données indicateurs1'!AK42</f>
        <v>51399.56</v>
      </c>
      <c r="AL7" s="12">
        <f>'Base de données indicateurs1'!AL42</f>
        <v>78509</v>
      </c>
      <c r="AM7" s="12">
        <f>'Base de données indicateurs1'!AM42</f>
        <v>43546.25</v>
      </c>
      <c r="AN7" s="12">
        <f>'Base de données indicateurs1'!AN42</f>
        <v>6846.77</v>
      </c>
      <c r="AO7" s="12">
        <f>'Base de données indicateurs1'!AO42</f>
        <v>21251.68</v>
      </c>
      <c r="AP7" s="12">
        <f>'Base de données indicateurs1'!AP42</f>
        <v>43429.84</v>
      </c>
      <c r="AQ7" s="12">
        <f>'Base de données indicateurs1'!AQ42</f>
        <v>20734</v>
      </c>
      <c r="AR7" s="12">
        <f>'Base de données indicateurs1'!AR42</f>
        <v>37646.339999999997</v>
      </c>
      <c r="AS7" s="12">
        <f>'Base de données indicateurs1'!AS42</f>
        <v>24618.9</v>
      </c>
      <c r="AT7" s="12">
        <f>'Base de données indicateurs1'!AT42</f>
        <v>34333.64</v>
      </c>
      <c r="AU7" s="12">
        <f>'Base de données indicateurs1'!AU42</f>
        <v>9603.7900000000009</v>
      </c>
      <c r="AV7" s="12">
        <f>'Base de données indicateurs1'!AV42</f>
        <v>75161.23</v>
      </c>
      <c r="AW7" s="12">
        <f>'Base de données indicateurs1'!AW42</f>
        <v>15309.24</v>
      </c>
      <c r="AX7" s="12">
        <f>'Base de données indicateurs1'!AX42</f>
        <v>3910.43</v>
      </c>
      <c r="AY7" s="12">
        <f>'Base de données indicateurs1'!AY42</f>
        <v>10077.92</v>
      </c>
      <c r="AZ7" s="12">
        <f>'Base de données indicateurs1'!AZ42</f>
        <v>67652.11</v>
      </c>
      <c r="BA7" s="12">
        <f>'Base de données indicateurs1'!BA42</f>
        <v>11732.29</v>
      </c>
      <c r="BB7" s="12">
        <f>'Base de données indicateurs1'!BB42</f>
        <v>53388</v>
      </c>
      <c r="BC7" s="12">
        <f>'Base de données indicateurs1'!BC42</f>
        <v>5670.83</v>
      </c>
      <c r="BD7" s="12">
        <f>'Base de données indicateurs1'!BD42</f>
        <v>356399.74</v>
      </c>
      <c r="BE7" s="12">
        <f>'Base de données indicateurs1'!BE42</f>
        <v>48829.78</v>
      </c>
      <c r="BF7" s="12">
        <f t="shared" ref="BF7:BF32" si="0">SUM(E7:W7)</f>
        <v>1586568.1999999997</v>
      </c>
      <c r="BG7" s="12">
        <f t="shared" ref="BG7:BG32" si="1">SUM(X7:AJ7)</f>
        <v>201361.36999999997</v>
      </c>
      <c r="BH7" s="12">
        <f t="shared" ref="BH7:BH32" si="2">SUM(AK7:BE7)</f>
        <v>1020051.34</v>
      </c>
    </row>
    <row r="8" spans="1:60" ht="14.4" thickBot="1" x14ac:dyDescent="0.3">
      <c r="B8" s="146"/>
      <c r="D8" s="12"/>
      <c r="BF8" s="12"/>
      <c r="BG8" s="12"/>
      <c r="BH8" s="12"/>
    </row>
    <row r="9" spans="1:60" ht="14.4" thickBot="1" x14ac:dyDescent="0.3">
      <c r="A9" s="6" t="s">
        <v>516</v>
      </c>
      <c r="B9" s="97"/>
      <c r="C9" s="6"/>
      <c r="D9" s="147">
        <f>D6-D7</f>
        <v>3440556.5399999986</v>
      </c>
      <c r="E9" s="12">
        <f>E6-E7</f>
        <v>33630.600000000006</v>
      </c>
      <c r="F9" s="12">
        <f t="shared" ref="F9:BE9" si="3">F6-F7</f>
        <v>24673.550000000003</v>
      </c>
      <c r="G9" s="12">
        <f t="shared" si="3"/>
        <v>45371.25</v>
      </c>
      <c r="H9" s="12">
        <f t="shared" si="3"/>
        <v>49425.85</v>
      </c>
      <c r="I9" s="12">
        <f t="shared" si="3"/>
        <v>281354</v>
      </c>
      <c r="J9" s="12">
        <f t="shared" si="3"/>
        <v>108453.58999999998</v>
      </c>
      <c r="K9" s="12">
        <f t="shared" si="3"/>
        <v>93199.91</v>
      </c>
      <c r="L9" s="12">
        <f t="shared" si="3"/>
        <v>893283.28999999992</v>
      </c>
      <c r="M9" s="12">
        <f t="shared" si="3"/>
        <v>7871.8300000000017</v>
      </c>
      <c r="N9" s="12">
        <f t="shared" si="3"/>
        <v>4717.13</v>
      </c>
      <c r="O9" s="12">
        <f t="shared" si="3"/>
        <v>91347.62</v>
      </c>
      <c r="P9" s="12">
        <f t="shared" si="3"/>
        <v>25246.759999999995</v>
      </c>
      <c r="Q9" s="12">
        <f t="shared" si="3"/>
        <v>5025.67</v>
      </c>
      <c r="R9" s="12">
        <f t="shared" si="3"/>
        <v>38757.56</v>
      </c>
      <c r="S9" s="12">
        <f t="shared" si="3"/>
        <v>64754.02</v>
      </c>
      <c r="T9" s="12">
        <f t="shared" si="3"/>
        <v>24633.54</v>
      </c>
      <c r="U9" s="12">
        <f t="shared" si="3"/>
        <v>-196.19999999999891</v>
      </c>
      <c r="V9" s="12">
        <f t="shared" si="3"/>
        <v>21256.189999999995</v>
      </c>
      <c r="W9" s="12">
        <f t="shared" si="3"/>
        <v>69170.569999999992</v>
      </c>
      <c r="X9" s="12">
        <f t="shared" si="3"/>
        <v>3181.9900000000007</v>
      </c>
      <c r="Y9" s="12">
        <f t="shared" si="3"/>
        <v>86247.31</v>
      </c>
      <c r="Z9" s="12">
        <f t="shared" si="3"/>
        <v>-23011.710000000003</v>
      </c>
      <c r="AA9" s="12">
        <f t="shared" si="3"/>
        <v>2761.17</v>
      </c>
      <c r="AB9" s="12">
        <f t="shared" si="3"/>
        <v>898.15000000000009</v>
      </c>
      <c r="AC9" s="12">
        <f t="shared" si="3"/>
        <v>56249.01</v>
      </c>
      <c r="AD9" s="12">
        <f t="shared" si="3"/>
        <v>46895.570000000007</v>
      </c>
      <c r="AE9" s="12">
        <f t="shared" si="3"/>
        <v>20225.659999999996</v>
      </c>
      <c r="AF9" s="12">
        <f t="shared" si="3"/>
        <v>14764.47</v>
      </c>
      <c r="AG9" s="12">
        <f t="shared" si="3"/>
        <v>14942.099999999999</v>
      </c>
      <c r="AH9" s="12">
        <f t="shared" si="3"/>
        <v>81526.820000000007</v>
      </c>
      <c r="AI9" s="12">
        <f t="shared" si="3"/>
        <v>0</v>
      </c>
      <c r="AJ9" s="12">
        <f t="shared" si="3"/>
        <v>2291.0199999999995</v>
      </c>
      <c r="AK9" s="12">
        <f t="shared" si="3"/>
        <v>104974.54000000001</v>
      </c>
      <c r="AL9" s="12">
        <f t="shared" si="3"/>
        <v>40569</v>
      </c>
      <c r="AM9" s="12">
        <f t="shared" si="3"/>
        <v>85654.86</v>
      </c>
      <c r="AN9" s="12">
        <f t="shared" si="3"/>
        <v>12787.149999999998</v>
      </c>
      <c r="AO9" s="12">
        <f t="shared" si="3"/>
        <v>38961.65</v>
      </c>
      <c r="AP9" s="12">
        <f t="shared" si="3"/>
        <v>30726.130000000005</v>
      </c>
      <c r="AQ9" s="12">
        <f t="shared" si="3"/>
        <v>39316</v>
      </c>
      <c r="AR9" s="12">
        <f t="shared" si="3"/>
        <v>40722.12000000001</v>
      </c>
      <c r="AS9" s="12">
        <f t="shared" si="3"/>
        <v>-24618.9</v>
      </c>
      <c r="AT9" s="12">
        <f t="shared" si="3"/>
        <v>71533.58</v>
      </c>
      <c r="AU9" s="12">
        <f t="shared" si="3"/>
        <v>12662.86</v>
      </c>
      <c r="AV9" s="12">
        <f t="shared" si="3"/>
        <v>115150.42</v>
      </c>
      <c r="AW9" s="12">
        <f t="shared" si="3"/>
        <v>44939.97</v>
      </c>
      <c r="AX9" s="12">
        <f t="shared" si="3"/>
        <v>3167.1700000000005</v>
      </c>
      <c r="AY9" s="12">
        <f t="shared" si="3"/>
        <v>4406.92</v>
      </c>
      <c r="AZ9" s="12">
        <f t="shared" si="3"/>
        <v>218241.83000000002</v>
      </c>
      <c r="BA9" s="12">
        <f t="shared" si="3"/>
        <v>7176.52</v>
      </c>
      <c r="BB9" s="12">
        <f t="shared" si="3"/>
        <v>24550</v>
      </c>
      <c r="BC9" s="12">
        <f t="shared" si="3"/>
        <v>-5392.73</v>
      </c>
      <c r="BD9" s="12">
        <f t="shared" si="3"/>
        <v>398017.67000000004</v>
      </c>
      <c r="BE9" s="12">
        <f t="shared" si="3"/>
        <v>-11938.510000000002</v>
      </c>
      <c r="BF9" s="12">
        <f t="shared" si="0"/>
        <v>1881976.7300000002</v>
      </c>
      <c r="BG9" s="12">
        <f t="shared" si="1"/>
        <v>306971.56000000006</v>
      </c>
      <c r="BH9" s="12">
        <f t="shared" si="2"/>
        <v>1251608.2500000002</v>
      </c>
    </row>
    <row r="10" spans="1:60" x14ac:dyDescent="0.25">
      <c r="B10" s="146"/>
      <c r="D10" s="12"/>
      <c r="BF10" s="12"/>
      <c r="BG10" s="12"/>
      <c r="BH10" s="12"/>
    </row>
    <row r="11" spans="1:60" x14ac:dyDescent="0.25">
      <c r="A11" s="140" t="s">
        <v>136</v>
      </c>
      <c r="B11" s="141" t="s">
        <v>224</v>
      </c>
      <c r="C11" s="140">
        <v>4</v>
      </c>
      <c r="D11" s="142">
        <f>'Base de données indicateurs1'!BF38</f>
        <v>390997195.89000016</v>
      </c>
      <c r="E11" s="12">
        <f>'Base de données indicateurs1'!E38</f>
        <v>2612688.9700000002</v>
      </c>
      <c r="F11" s="12">
        <f>'Base de données indicateurs1'!F38</f>
        <v>1053880.1000000001</v>
      </c>
      <c r="G11" s="12">
        <f>'Base de données indicateurs1'!G38</f>
        <v>1889903.77</v>
      </c>
      <c r="H11" s="12">
        <f>'Base de données indicateurs1'!H38</f>
        <v>1924661.97</v>
      </c>
      <c r="I11" s="12">
        <f>'Base de données indicateurs1'!I38</f>
        <v>16678003</v>
      </c>
      <c r="J11" s="12">
        <f>'Base de données indicateurs1'!J38</f>
        <v>14443183.439999999</v>
      </c>
      <c r="K11" s="12">
        <f>'Base de données indicateurs1'!K38</f>
        <v>11992734.960000001</v>
      </c>
      <c r="L11" s="12">
        <f>'Base de données indicateurs1'!L38</f>
        <v>107873400.13</v>
      </c>
      <c r="M11" s="12">
        <f>'Base de données indicateurs1'!M38</f>
        <v>7906926.8700000001</v>
      </c>
      <c r="N11" s="12">
        <f>'Base de données indicateurs1'!N38</f>
        <v>466521.59999999998</v>
      </c>
      <c r="O11" s="12">
        <f>'Base de données indicateurs1'!O38</f>
        <v>28823854.039999999</v>
      </c>
      <c r="P11" s="12">
        <f>'Base de données indicateurs1'!P38</f>
        <v>1222236.96</v>
      </c>
      <c r="Q11" s="12">
        <f>'Base de données indicateurs1'!Q38</f>
        <v>426723.56</v>
      </c>
      <c r="R11" s="12">
        <f>'Base de données indicateurs1'!R38</f>
        <v>1121422.1000000001</v>
      </c>
      <c r="S11" s="12">
        <f>'Base de données indicateurs1'!S38</f>
        <v>1669195.78</v>
      </c>
      <c r="T11" s="12">
        <f>'Base de données indicateurs1'!T38</f>
        <v>3424657.75</v>
      </c>
      <c r="U11" s="12">
        <f>'Base de données indicateurs1'!U38</f>
        <v>967753.02</v>
      </c>
      <c r="V11" s="12">
        <f>'Base de données indicateurs1'!V38</f>
        <v>2308640.56</v>
      </c>
      <c r="W11" s="12">
        <f>'Base de données indicateurs1'!W38</f>
        <v>12830390.1</v>
      </c>
      <c r="X11" s="12">
        <f>'Base de données indicateurs1'!X38</f>
        <v>1940302.3</v>
      </c>
      <c r="Y11" s="12">
        <f>'Base de données indicateurs1'!Y38</f>
        <v>4846822.5999999996</v>
      </c>
      <c r="Z11" s="12">
        <f>'Base de données indicateurs1'!Z38</f>
        <v>10408715.17</v>
      </c>
      <c r="AA11" s="12">
        <f>'Base de données indicateurs1'!AA38</f>
        <v>232528.25</v>
      </c>
      <c r="AB11" s="12">
        <f>'Base de données indicateurs1'!AB38</f>
        <v>1124629.0900000001</v>
      </c>
      <c r="AC11" s="12">
        <f>'Base de données indicateurs1'!AC38</f>
        <v>2781468.3</v>
      </c>
      <c r="AD11" s="12">
        <f>'Base de données indicateurs1'!AD38</f>
        <v>1886970.12</v>
      </c>
      <c r="AE11" s="12">
        <f>'Base de données indicateurs1'!AE38</f>
        <v>2861906.21</v>
      </c>
      <c r="AF11" s="12">
        <f>'Base de données indicateurs1'!AF38</f>
        <v>3532943.77</v>
      </c>
      <c r="AG11" s="12">
        <f>'Base de données indicateurs1'!AG38</f>
        <v>10362713.060000001</v>
      </c>
      <c r="AH11" s="12">
        <f>'Base de données indicateurs1'!AH38</f>
        <v>12459995.75</v>
      </c>
      <c r="AI11" s="12">
        <f>'Base de données indicateurs1'!AI38</f>
        <v>812277</v>
      </c>
      <c r="AJ11" s="12">
        <f>'Base de données indicateurs1'!AJ38</f>
        <v>1009396.35</v>
      </c>
      <c r="AK11" s="12">
        <f>'Base de données indicateurs1'!AK38</f>
        <v>8724919.5899999999</v>
      </c>
      <c r="AL11" s="12">
        <f>'Base de données indicateurs1'!AL38</f>
        <v>5640011</v>
      </c>
      <c r="AM11" s="12">
        <f>'Base de données indicateurs1'!AM38</f>
        <v>5172015.04</v>
      </c>
      <c r="AN11" s="12">
        <f>'Base de données indicateurs1'!AN38</f>
        <v>603829.87</v>
      </c>
      <c r="AO11" s="12">
        <f>'Base de données indicateurs1'!AO38</f>
        <v>10175273.029999999</v>
      </c>
      <c r="AP11" s="12">
        <f>'Base de données indicateurs1'!AP38</f>
        <v>3693506.1</v>
      </c>
      <c r="AQ11" s="12">
        <f>'Base de données indicateurs1'!AQ38</f>
        <v>2426914</v>
      </c>
      <c r="AR11" s="12">
        <f>'Base de données indicateurs1'!AR38</f>
        <v>3068900.23</v>
      </c>
      <c r="AS11" s="12">
        <f>'Base de données indicateurs1'!AS38</f>
        <v>3260984.5</v>
      </c>
      <c r="AT11" s="12">
        <f>'Base de données indicateurs1'!AT38</f>
        <v>2541861.7200000002</v>
      </c>
      <c r="AU11" s="12">
        <f>'Base de données indicateurs1'!AU38</f>
        <v>1544975.21</v>
      </c>
      <c r="AV11" s="12">
        <f>'Base de données indicateurs1'!AV38</f>
        <v>6808270.2599999998</v>
      </c>
      <c r="AW11" s="12">
        <f>'Base de données indicateurs1'!AW38</f>
        <v>3293941.63</v>
      </c>
      <c r="AX11" s="12">
        <f>'Base de données indicateurs1'!AX38</f>
        <v>769190.35</v>
      </c>
      <c r="AY11" s="12">
        <f>'Base de données indicateurs1'!AY38</f>
        <v>1311205.6100000001</v>
      </c>
      <c r="AZ11" s="12">
        <f>'Base de données indicateurs1'!AZ38</f>
        <v>4826681.75</v>
      </c>
      <c r="BA11" s="12">
        <f>'Base de données indicateurs1'!BA38</f>
        <v>1615808.17</v>
      </c>
      <c r="BB11" s="12">
        <f>'Base de données indicateurs1'!BB38</f>
        <v>5996865</v>
      </c>
      <c r="BC11" s="12">
        <f>'Base de données indicateurs1'!BC38</f>
        <v>384685</v>
      </c>
      <c r="BD11" s="12">
        <f>'Base de données indicateurs1'!BD38</f>
        <v>42638657.090000004</v>
      </c>
      <c r="BE11" s="12">
        <f>'Base de données indicateurs1'!BE38</f>
        <v>2601254.09</v>
      </c>
      <c r="BF11" s="12">
        <f t="shared" si="0"/>
        <v>219636778.68000001</v>
      </c>
      <c r="BG11" s="12">
        <f t="shared" si="1"/>
        <v>54260667.970000006</v>
      </c>
      <c r="BH11" s="12">
        <f t="shared" si="2"/>
        <v>117099749.24000001</v>
      </c>
    </row>
    <row r="12" spans="1:60" x14ac:dyDescent="0.25">
      <c r="A12" s="143" t="s">
        <v>118</v>
      </c>
      <c r="B12" s="144" t="s">
        <v>225</v>
      </c>
      <c r="C12" s="143">
        <v>47</v>
      </c>
      <c r="D12" s="145">
        <f>'Base de données indicateurs1'!BF51</f>
        <v>2342383.85</v>
      </c>
      <c r="E12" s="12">
        <f>'Base de données indicateurs1'!E51</f>
        <v>0</v>
      </c>
      <c r="F12" s="12">
        <f>'Base de données indicateurs1'!F51</f>
        <v>0</v>
      </c>
      <c r="G12" s="12">
        <f>'Base de données indicateurs1'!G51</f>
        <v>0</v>
      </c>
      <c r="H12" s="12">
        <f>'Base de données indicateurs1'!H51</f>
        <v>0</v>
      </c>
      <c r="I12" s="12">
        <f>'Base de données indicateurs1'!I51</f>
        <v>0</v>
      </c>
      <c r="J12" s="12">
        <f>'Base de données indicateurs1'!J51</f>
        <v>0</v>
      </c>
      <c r="K12" s="12">
        <f>'Base de données indicateurs1'!K51</f>
        <v>0</v>
      </c>
      <c r="L12" s="12">
        <f>'Base de données indicateurs1'!L51</f>
        <v>0</v>
      </c>
      <c r="M12" s="12">
        <f>'Base de données indicateurs1'!M51</f>
        <v>0</v>
      </c>
      <c r="N12" s="12">
        <f>'Base de données indicateurs1'!N51</f>
        <v>0</v>
      </c>
      <c r="O12" s="12">
        <f>'Base de données indicateurs1'!O51</f>
        <v>0</v>
      </c>
      <c r="P12" s="12">
        <f>'Base de données indicateurs1'!P51</f>
        <v>0</v>
      </c>
      <c r="Q12" s="12">
        <f>'Base de données indicateurs1'!Q51</f>
        <v>0</v>
      </c>
      <c r="R12" s="12">
        <f>'Base de données indicateurs1'!R51</f>
        <v>0</v>
      </c>
      <c r="S12" s="12">
        <f>'Base de données indicateurs1'!S51</f>
        <v>0</v>
      </c>
      <c r="T12" s="12">
        <f>'Base de données indicateurs1'!T51</f>
        <v>0</v>
      </c>
      <c r="U12" s="12">
        <f>'Base de données indicateurs1'!U51</f>
        <v>0</v>
      </c>
      <c r="V12" s="12">
        <f>'Base de données indicateurs1'!V51</f>
        <v>0</v>
      </c>
      <c r="W12" s="12">
        <f>'Base de données indicateurs1'!W51</f>
        <v>0</v>
      </c>
      <c r="X12" s="12">
        <f>'Base de données indicateurs1'!X51</f>
        <v>0</v>
      </c>
      <c r="Y12" s="12">
        <f>'Base de données indicateurs1'!Y51</f>
        <v>0</v>
      </c>
      <c r="Z12" s="12">
        <f>'Base de données indicateurs1'!Z51</f>
        <v>428988.05</v>
      </c>
      <c r="AA12" s="12">
        <f>'Base de données indicateurs1'!AA51</f>
        <v>159801.5</v>
      </c>
      <c r="AB12" s="12">
        <f>'Base de données indicateurs1'!AB51</f>
        <v>202119.25</v>
      </c>
      <c r="AC12" s="12">
        <f>'Base de données indicateurs1'!AC51</f>
        <v>157194.6</v>
      </c>
      <c r="AD12" s="12">
        <f>'Base de données indicateurs1'!AD51</f>
        <v>0</v>
      </c>
      <c r="AE12" s="12">
        <f>'Base de données indicateurs1'!AE51</f>
        <v>239155.5</v>
      </c>
      <c r="AF12" s="12">
        <f>'Base de données indicateurs1'!AF51</f>
        <v>593825.5</v>
      </c>
      <c r="AG12" s="12">
        <f>'Base de données indicateurs1'!AG51</f>
        <v>420715.45</v>
      </c>
      <c r="AH12" s="12">
        <f>'Base de données indicateurs1'!AH51</f>
        <v>0</v>
      </c>
      <c r="AI12" s="12">
        <f>'Base de données indicateurs1'!AI51</f>
        <v>4182</v>
      </c>
      <c r="AJ12" s="12">
        <f>'Base de données indicateurs1'!AJ51</f>
        <v>0</v>
      </c>
      <c r="AK12" s="12">
        <f>'Base de données indicateurs1'!AK51</f>
        <v>0</v>
      </c>
      <c r="AL12" s="12">
        <f>'Base de données indicateurs1'!AL51</f>
        <v>0</v>
      </c>
      <c r="AM12" s="12">
        <f>'Base de données indicateurs1'!AM51</f>
        <v>0</v>
      </c>
      <c r="AN12" s="12">
        <f>'Base de données indicateurs1'!AN51</f>
        <v>0</v>
      </c>
      <c r="AO12" s="12">
        <f>'Base de données indicateurs1'!AO51</f>
        <v>0</v>
      </c>
      <c r="AP12" s="12">
        <f>'Base de données indicateurs1'!AP51</f>
        <v>0</v>
      </c>
      <c r="AQ12" s="12">
        <f>'Base de données indicateurs1'!AQ51</f>
        <v>0</v>
      </c>
      <c r="AR12" s="12">
        <f>'Base de données indicateurs1'!AR51</f>
        <v>56609.599999999999</v>
      </c>
      <c r="AS12" s="12">
        <f>'Base de données indicateurs1'!AS51</f>
        <v>0</v>
      </c>
      <c r="AT12" s="12">
        <f>'Base de données indicateurs1'!AT51</f>
        <v>0</v>
      </c>
      <c r="AU12" s="12">
        <f>'Base de données indicateurs1'!AU51</f>
        <v>0</v>
      </c>
      <c r="AV12" s="12">
        <f>'Base de données indicateurs1'!AV51</f>
        <v>79792.399999999994</v>
      </c>
      <c r="AW12" s="12">
        <f>'Base de données indicateurs1'!AW51</f>
        <v>0</v>
      </c>
      <c r="AX12" s="12">
        <f>'Base de données indicateurs1'!AX51</f>
        <v>0</v>
      </c>
      <c r="AY12" s="12">
        <f>'Base de données indicateurs1'!AY51</f>
        <v>0</v>
      </c>
      <c r="AZ12" s="12">
        <f>'Base de données indicateurs1'!AZ51</f>
        <v>0</v>
      </c>
      <c r="BA12" s="12">
        <f>'Base de données indicateurs1'!BA51</f>
        <v>0</v>
      </c>
      <c r="BB12" s="12">
        <f>'Base de données indicateurs1'!BB51</f>
        <v>0</v>
      </c>
      <c r="BC12" s="12">
        <f>'Base de données indicateurs1'!BC51</f>
        <v>0</v>
      </c>
      <c r="BD12" s="12">
        <f>'Base de données indicateurs1'!BD51</f>
        <v>0</v>
      </c>
      <c r="BE12" s="12">
        <f>'Base de données indicateurs1'!BE51</f>
        <v>0</v>
      </c>
      <c r="BF12" s="12">
        <f t="shared" si="0"/>
        <v>0</v>
      </c>
      <c r="BG12" s="12">
        <f t="shared" si="1"/>
        <v>2205981.85</v>
      </c>
      <c r="BH12" s="12">
        <f t="shared" si="2"/>
        <v>136402</v>
      </c>
    </row>
    <row r="13" spans="1:60" x14ac:dyDescent="0.25">
      <c r="A13" s="143" t="s">
        <v>127</v>
      </c>
      <c r="B13" s="144" t="s">
        <v>225</v>
      </c>
      <c r="C13" s="143">
        <v>49</v>
      </c>
      <c r="D13" s="145">
        <f>'Base de données indicateurs1'!BF54</f>
        <v>6557385.0099999998</v>
      </c>
      <c r="E13" s="12">
        <f>'Base de données indicateurs1'!E54</f>
        <v>0</v>
      </c>
      <c r="F13" s="12">
        <f>'Base de données indicateurs1'!F54</f>
        <v>23995.279999999999</v>
      </c>
      <c r="G13" s="12">
        <f>'Base de données indicateurs1'!G54</f>
        <v>10960.2</v>
      </c>
      <c r="H13" s="12">
        <f>'Base de données indicateurs1'!H54</f>
        <v>40456</v>
      </c>
      <c r="I13" s="12">
        <f>'Base de données indicateurs1'!I54</f>
        <v>311300</v>
      </c>
      <c r="J13" s="12">
        <f>'Base de données indicateurs1'!J54</f>
        <v>65470</v>
      </c>
      <c r="K13" s="12">
        <f>'Base de données indicateurs1'!K54</f>
        <v>185959.25</v>
      </c>
      <c r="L13" s="12">
        <f>'Base de données indicateurs1'!L54</f>
        <v>4472239.75</v>
      </c>
      <c r="M13" s="12">
        <f>'Base de données indicateurs1'!M54</f>
        <v>88638.64</v>
      </c>
      <c r="N13" s="12">
        <f>'Base de données indicateurs1'!N54</f>
        <v>9074.49</v>
      </c>
      <c r="O13" s="12">
        <f>'Base de données indicateurs1'!O54</f>
        <v>186891</v>
      </c>
      <c r="P13" s="12">
        <f>'Base de données indicateurs1'!P54</f>
        <v>29305.55</v>
      </c>
      <c r="Q13" s="12">
        <f>'Base de données indicateurs1'!Q54</f>
        <v>500</v>
      </c>
      <c r="R13" s="12">
        <f>'Base de données indicateurs1'!R54</f>
        <v>57467.6</v>
      </c>
      <c r="S13" s="12">
        <f>'Base de données indicateurs1'!S54</f>
        <v>0</v>
      </c>
      <c r="T13" s="12">
        <f>'Base de données indicateurs1'!T54</f>
        <v>0</v>
      </c>
      <c r="U13" s="12">
        <f>'Base de données indicateurs1'!U54</f>
        <v>0</v>
      </c>
      <c r="V13" s="12">
        <f>'Base de données indicateurs1'!V54</f>
        <v>59200</v>
      </c>
      <c r="W13" s="12">
        <f>'Base de données indicateurs1'!W54</f>
        <v>111300</v>
      </c>
      <c r="X13" s="12">
        <f>'Base de données indicateurs1'!X54</f>
        <v>0</v>
      </c>
      <c r="Y13" s="12">
        <f>'Base de données indicateurs1'!Y54</f>
        <v>0</v>
      </c>
      <c r="Z13" s="12">
        <f>'Base de données indicateurs1'!Z54</f>
        <v>84000</v>
      </c>
      <c r="AA13" s="12">
        <f>'Base de données indicateurs1'!AA54</f>
        <v>15194</v>
      </c>
      <c r="AB13" s="12">
        <f>'Base de données indicateurs1'!AB54</f>
        <v>0</v>
      </c>
      <c r="AC13" s="12">
        <f>'Base de données indicateurs1'!AC54</f>
        <v>0</v>
      </c>
      <c r="AD13" s="12">
        <f>'Base de données indicateurs1'!AD54</f>
        <v>0</v>
      </c>
      <c r="AE13" s="12">
        <f>'Base de données indicateurs1'!AE54</f>
        <v>42750</v>
      </c>
      <c r="AF13" s="12">
        <f>'Base de données indicateurs1'!AF54</f>
        <v>109873.3</v>
      </c>
      <c r="AG13" s="12">
        <f>'Base de données indicateurs1'!AG54</f>
        <v>7274.65</v>
      </c>
      <c r="AH13" s="12">
        <f>'Base de données indicateurs1'!AH54</f>
        <v>30500</v>
      </c>
      <c r="AI13" s="12">
        <f>'Base de données indicateurs1'!AI54</f>
        <v>0</v>
      </c>
      <c r="AJ13" s="12">
        <f>'Base de données indicateurs1'!AJ54</f>
        <v>0</v>
      </c>
      <c r="AK13" s="12">
        <f>'Base de données indicateurs1'!AK54</f>
        <v>93000</v>
      </c>
      <c r="AL13" s="12">
        <f>'Base de données indicateurs1'!AL54</f>
        <v>60365</v>
      </c>
      <c r="AM13" s="12">
        <f>'Base de données indicateurs1'!AM54</f>
        <v>3520</v>
      </c>
      <c r="AN13" s="12">
        <f>'Base de données indicateurs1'!AN54</f>
        <v>240</v>
      </c>
      <c r="AO13" s="12">
        <f>'Base de données indicateurs1'!AO54</f>
        <v>68595.55</v>
      </c>
      <c r="AP13" s="12">
        <f>'Base de données indicateurs1'!AP54</f>
        <v>101766.8</v>
      </c>
      <c r="AQ13" s="12">
        <f>'Base de données indicateurs1'!AQ54</f>
        <v>0</v>
      </c>
      <c r="AR13" s="12">
        <f>'Base de données indicateurs1'!AR54</f>
        <v>0</v>
      </c>
      <c r="AS13" s="12">
        <f>'Base de données indicateurs1'!AS54</f>
        <v>121643.75</v>
      </c>
      <c r="AT13" s="12">
        <f>'Base de données indicateurs1'!AT54</f>
        <v>39687.449999999997</v>
      </c>
      <c r="AU13" s="12">
        <f>'Base de données indicateurs1'!AU54</f>
        <v>200</v>
      </c>
      <c r="AV13" s="12">
        <f>'Base de données indicateurs1'!AV54</f>
        <v>57192.25</v>
      </c>
      <c r="AW13" s="12">
        <f>'Base de données indicateurs1'!AW54</f>
        <v>0</v>
      </c>
      <c r="AX13" s="12">
        <f>'Base de données indicateurs1'!AX54</f>
        <v>7038.5</v>
      </c>
      <c r="AY13" s="12">
        <f>'Base de données indicateurs1'!AY54</f>
        <v>0</v>
      </c>
      <c r="AZ13" s="12">
        <f>'Base de données indicateurs1'!AZ54</f>
        <v>0</v>
      </c>
      <c r="BA13" s="12">
        <f>'Base de données indicateurs1'!BA54</f>
        <v>0</v>
      </c>
      <c r="BB13" s="12">
        <f>'Base de données indicateurs1'!BB54</f>
        <v>46286</v>
      </c>
      <c r="BC13" s="12">
        <f>'Base de données indicateurs1'!BC54</f>
        <v>0</v>
      </c>
      <c r="BD13" s="12">
        <f>'Base de données indicateurs1'!BD54</f>
        <v>0</v>
      </c>
      <c r="BE13" s="12">
        <f>'Base de données indicateurs1'!BE54</f>
        <v>15500</v>
      </c>
      <c r="BF13" s="12">
        <f t="shared" si="0"/>
        <v>5652757.7599999998</v>
      </c>
      <c r="BG13" s="12">
        <f t="shared" si="1"/>
        <v>289591.94999999995</v>
      </c>
      <c r="BH13" s="12">
        <f t="shared" si="2"/>
        <v>615035.30000000005</v>
      </c>
    </row>
    <row r="14" spans="1:60" x14ac:dyDescent="0.25">
      <c r="A14" s="143" t="s">
        <v>232</v>
      </c>
      <c r="B14" s="144" t="s">
        <v>225</v>
      </c>
      <c r="C14" s="148">
        <v>489</v>
      </c>
      <c r="D14" s="145">
        <f>'Base de données indicateurs1'!BF52</f>
        <v>4143888.6699999995</v>
      </c>
      <c r="E14" s="12">
        <f>'Base de données indicateurs1'!E52</f>
        <v>7472.67</v>
      </c>
      <c r="F14" s="12">
        <f>'Base de données indicateurs1'!F52</f>
        <v>0</v>
      </c>
      <c r="G14" s="12">
        <f>'Base de données indicateurs1'!G52</f>
        <v>0</v>
      </c>
      <c r="H14" s="12">
        <f>'Base de données indicateurs1'!H52</f>
        <v>0</v>
      </c>
      <c r="I14" s="12">
        <f>'Base de données indicateurs1'!I52</f>
        <v>0</v>
      </c>
      <c r="J14" s="12">
        <f>'Base de données indicateurs1'!J52</f>
        <v>190359.86</v>
      </c>
      <c r="K14" s="12">
        <f>'Base de données indicateurs1'!K52</f>
        <v>0</v>
      </c>
      <c r="L14" s="12">
        <f>'Base de données indicateurs1'!L52</f>
        <v>2500000</v>
      </c>
      <c r="M14" s="12">
        <f>'Base de données indicateurs1'!M52</f>
        <v>10700</v>
      </c>
      <c r="N14" s="12">
        <f>'Base de données indicateurs1'!N52</f>
        <v>0</v>
      </c>
      <c r="O14" s="12">
        <f>'Base de données indicateurs1'!O52</f>
        <v>60684.04</v>
      </c>
      <c r="P14" s="12">
        <f>'Base de données indicateurs1'!P52</f>
        <v>29578.3</v>
      </c>
      <c r="Q14" s="12">
        <f>'Base de données indicateurs1'!Q52</f>
        <v>0</v>
      </c>
      <c r="R14" s="12">
        <f>'Base de données indicateurs1'!R52</f>
        <v>0</v>
      </c>
      <c r="S14" s="12">
        <f>'Base de données indicateurs1'!S52</f>
        <v>240001.25</v>
      </c>
      <c r="T14" s="12">
        <f>'Base de données indicateurs1'!T52</f>
        <v>26100</v>
      </c>
      <c r="U14" s="12">
        <f>'Base de données indicateurs1'!U52</f>
        <v>40667.550000000003</v>
      </c>
      <c r="V14" s="12">
        <f>'Base de données indicateurs1'!V52</f>
        <v>0</v>
      </c>
      <c r="W14" s="12">
        <f>'Base de données indicateurs1'!W52</f>
        <v>133028</v>
      </c>
      <c r="X14" s="12">
        <f>'Base de données indicateurs1'!X52</f>
        <v>0</v>
      </c>
      <c r="Y14" s="12">
        <f>'Base de données indicateurs1'!Y52</f>
        <v>0</v>
      </c>
      <c r="Z14" s="12">
        <f>'Base de données indicateurs1'!Z52</f>
        <v>0</v>
      </c>
      <c r="AA14" s="12">
        <f>'Base de données indicateurs1'!AA52</f>
        <v>0</v>
      </c>
      <c r="AB14" s="12">
        <f>'Base de données indicateurs1'!AB52</f>
        <v>0</v>
      </c>
      <c r="AC14" s="12">
        <f>'Base de données indicateurs1'!AC52</f>
        <v>0</v>
      </c>
      <c r="AD14" s="12">
        <f>'Base de données indicateurs1'!AD52</f>
        <v>0</v>
      </c>
      <c r="AE14" s="12">
        <f>'Base de données indicateurs1'!AE52</f>
        <v>96</v>
      </c>
      <c r="AF14" s="12">
        <f>'Base de données indicateurs1'!AF52</f>
        <v>0</v>
      </c>
      <c r="AG14" s="12">
        <f>'Base de données indicateurs1'!AG52</f>
        <v>0</v>
      </c>
      <c r="AH14" s="12">
        <f>'Base de données indicateurs1'!AH52</f>
        <v>0</v>
      </c>
      <c r="AI14" s="12">
        <f>'Base de données indicateurs1'!AI52</f>
        <v>0</v>
      </c>
      <c r="AJ14" s="12">
        <f>'Base de données indicateurs1'!AJ52</f>
        <v>0</v>
      </c>
      <c r="AK14" s="12">
        <f>'Base de données indicateurs1'!AK52</f>
        <v>0</v>
      </c>
      <c r="AL14" s="12">
        <f>'Base de données indicateurs1'!AL52</f>
        <v>40000</v>
      </c>
      <c r="AM14" s="12">
        <f>'Base de données indicateurs1'!AM52</f>
        <v>0</v>
      </c>
      <c r="AN14" s="12">
        <f>'Base de données indicateurs1'!AN52</f>
        <v>4800</v>
      </c>
      <c r="AO14" s="12">
        <f>'Base de données indicateurs1'!AO52</f>
        <v>0</v>
      </c>
      <c r="AP14" s="12">
        <f>'Base de données indicateurs1'!AP52</f>
        <v>0</v>
      </c>
      <c r="AQ14" s="12">
        <f>'Base de données indicateurs1'!AQ52</f>
        <v>130567</v>
      </c>
      <c r="AR14" s="12">
        <f>'Base de données indicateurs1'!AR52</f>
        <v>0</v>
      </c>
      <c r="AS14" s="12">
        <f>'Base de données indicateurs1'!AS52</f>
        <v>422</v>
      </c>
      <c r="AT14" s="12">
        <f>'Base de données indicateurs1'!AT52</f>
        <v>20000</v>
      </c>
      <c r="AU14" s="12">
        <f>'Base de données indicateurs1'!AU52</f>
        <v>50338</v>
      </c>
      <c r="AV14" s="12">
        <f>'Base de données indicateurs1'!AV52</f>
        <v>0</v>
      </c>
      <c r="AW14" s="12">
        <f>'Base de données indicateurs1'!AW52</f>
        <v>633</v>
      </c>
      <c r="AX14" s="12">
        <f>'Base de données indicateurs1'!AX52</f>
        <v>5207</v>
      </c>
      <c r="AY14" s="12">
        <f>'Base de données indicateurs1'!AY52</f>
        <v>0</v>
      </c>
      <c r="AZ14" s="12">
        <f>'Base de données indicateurs1'!AZ52</f>
        <v>151597</v>
      </c>
      <c r="BA14" s="12">
        <f>'Base de données indicateurs1'!BA52</f>
        <v>319</v>
      </c>
      <c r="BB14" s="12">
        <f>'Base de données indicateurs1'!BB52</f>
        <v>1083</v>
      </c>
      <c r="BC14" s="12">
        <f>'Base de données indicateurs1'!BC52</f>
        <v>235</v>
      </c>
      <c r="BD14" s="12">
        <f>'Base de données indicateurs1'!BD52</f>
        <v>500000</v>
      </c>
      <c r="BE14" s="12">
        <f>'Base de données indicateurs1'!BE52</f>
        <v>0</v>
      </c>
      <c r="BF14" s="12">
        <f t="shared" si="0"/>
        <v>3238591.6699999995</v>
      </c>
      <c r="BG14" s="12">
        <f t="shared" si="1"/>
        <v>96</v>
      </c>
      <c r="BH14" s="12">
        <f t="shared" si="2"/>
        <v>905201</v>
      </c>
    </row>
    <row r="15" spans="1:60" x14ac:dyDescent="0.25">
      <c r="A15" s="143" t="s">
        <v>517</v>
      </c>
      <c r="B15" s="144" t="s">
        <v>224</v>
      </c>
      <c r="C15" s="143">
        <v>4896</v>
      </c>
      <c r="D15" s="145">
        <f>'Base de données indicateurs1'!BF53</f>
        <v>0</v>
      </c>
      <c r="E15" s="12">
        <f>'Base de données indicateurs1'!E53</f>
        <v>0</v>
      </c>
      <c r="F15" s="12">
        <f>'Base de données indicateurs1'!F53</f>
        <v>0</v>
      </c>
      <c r="G15" s="12">
        <f>'Base de données indicateurs1'!G53</f>
        <v>0</v>
      </c>
      <c r="H15" s="12">
        <f>'Base de données indicateurs1'!H53</f>
        <v>0</v>
      </c>
      <c r="I15" s="12">
        <f>'Base de données indicateurs1'!I53</f>
        <v>0</v>
      </c>
      <c r="J15" s="12">
        <f>'Base de données indicateurs1'!J53</f>
        <v>0</v>
      </c>
      <c r="K15" s="12">
        <f>'Base de données indicateurs1'!K53</f>
        <v>0</v>
      </c>
      <c r="L15" s="12">
        <f>'Base de données indicateurs1'!L53</f>
        <v>0</v>
      </c>
      <c r="M15" s="12">
        <f>'Base de données indicateurs1'!M53</f>
        <v>0</v>
      </c>
      <c r="N15" s="12">
        <f>'Base de données indicateurs1'!N53</f>
        <v>0</v>
      </c>
      <c r="O15" s="12">
        <f>'Base de données indicateurs1'!O53</f>
        <v>0</v>
      </c>
      <c r="P15" s="12">
        <f>'Base de données indicateurs1'!P53</f>
        <v>0</v>
      </c>
      <c r="Q15" s="12">
        <f>'Base de données indicateurs1'!Q53</f>
        <v>0</v>
      </c>
      <c r="R15" s="12">
        <f>'Base de données indicateurs1'!R53</f>
        <v>0</v>
      </c>
      <c r="S15" s="12">
        <f>'Base de données indicateurs1'!S53</f>
        <v>0</v>
      </c>
      <c r="T15" s="12">
        <f>'Base de données indicateurs1'!T53</f>
        <v>0</v>
      </c>
      <c r="U15" s="12">
        <f>'Base de données indicateurs1'!U53</f>
        <v>0</v>
      </c>
      <c r="V15" s="12">
        <f>'Base de données indicateurs1'!V53</f>
        <v>0</v>
      </c>
      <c r="W15" s="12">
        <f>'Base de données indicateurs1'!W53</f>
        <v>0</v>
      </c>
      <c r="X15" s="12">
        <f>'Base de données indicateurs1'!X53</f>
        <v>0</v>
      </c>
      <c r="Y15" s="12">
        <f>'Base de données indicateurs1'!Y53</f>
        <v>0</v>
      </c>
      <c r="Z15" s="12">
        <f>'Base de données indicateurs1'!Z53</f>
        <v>0</v>
      </c>
      <c r="AA15" s="12">
        <f>'Base de données indicateurs1'!AA53</f>
        <v>0</v>
      </c>
      <c r="AB15" s="12">
        <f>'Base de données indicateurs1'!AB53</f>
        <v>0</v>
      </c>
      <c r="AC15" s="12">
        <f>'Base de données indicateurs1'!AC53</f>
        <v>0</v>
      </c>
      <c r="AD15" s="12">
        <f>'Base de données indicateurs1'!AD53</f>
        <v>0</v>
      </c>
      <c r="AE15" s="12">
        <f>'Base de données indicateurs1'!AE53</f>
        <v>0</v>
      </c>
      <c r="AF15" s="12">
        <f>'Base de données indicateurs1'!AF53</f>
        <v>0</v>
      </c>
      <c r="AG15" s="12">
        <f>'Base de données indicateurs1'!AG53</f>
        <v>0</v>
      </c>
      <c r="AH15" s="12">
        <f>'Base de données indicateurs1'!AH53</f>
        <v>0</v>
      </c>
      <c r="AI15" s="12">
        <f>'Base de données indicateurs1'!AI53</f>
        <v>0</v>
      </c>
      <c r="AJ15" s="12">
        <f>'Base de données indicateurs1'!AJ53</f>
        <v>0</v>
      </c>
      <c r="AK15" s="12">
        <f>'Base de données indicateurs1'!AK53</f>
        <v>0</v>
      </c>
      <c r="AL15" s="12">
        <f>'Base de données indicateurs1'!AL53</f>
        <v>0</v>
      </c>
      <c r="AM15" s="12">
        <f>'Base de données indicateurs1'!AM53</f>
        <v>0</v>
      </c>
      <c r="AN15" s="12">
        <f>'Base de données indicateurs1'!AN53</f>
        <v>0</v>
      </c>
      <c r="AO15" s="12">
        <f>'Base de données indicateurs1'!AO53</f>
        <v>0</v>
      </c>
      <c r="AP15" s="12">
        <f>'Base de données indicateurs1'!AP53</f>
        <v>0</v>
      </c>
      <c r="AQ15" s="12">
        <f>'Base de données indicateurs1'!AQ53</f>
        <v>0</v>
      </c>
      <c r="AR15" s="12">
        <f>'Base de données indicateurs1'!AR53</f>
        <v>0</v>
      </c>
      <c r="AS15" s="12">
        <f>'Base de données indicateurs1'!AS53</f>
        <v>0</v>
      </c>
      <c r="AT15" s="12">
        <f>'Base de données indicateurs1'!AT53</f>
        <v>0</v>
      </c>
      <c r="AU15" s="12">
        <f>'Base de données indicateurs1'!AU53</f>
        <v>0</v>
      </c>
      <c r="AV15" s="12">
        <f>'Base de données indicateurs1'!AV53</f>
        <v>0</v>
      </c>
      <c r="AW15" s="12">
        <f>'Base de données indicateurs1'!AW53</f>
        <v>0</v>
      </c>
      <c r="AX15" s="12">
        <f>'Base de données indicateurs1'!AX53</f>
        <v>0</v>
      </c>
      <c r="AY15" s="12">
        <f>'Base de données indicateurs1'!AY53</f>
        <v>0</v>
      </c>
      <c r="AZ15" s="12">
        <f>'Base de données indicateurs1'!AZ53</f>
        <v>0</v>
      </c>
      <c r="BA15" s="12">
        <f>'Base de données indicateurs1'!BA53</f>
        <v>0</v>
      </c>
      <c r="BB15" s="12">
        <f>'Base de données indicateurs1'!BB53</f>
        <v>0</v>
      </c>
      <c r="BC15" s="12">
        <f>'Base de données indicateurs1'!BC53</f>
        <v>0</v>
      </c>
      <c r="BD15" s="12">
        <f>'Base de données indicateurs1'!BD53</f>
        <v>0</v>
      </c>
      <c r="BE15" s="12">
        <f>'Base de données indicateurs1'!BE53</f>
        <v>0</v>
      </c>
      <c r="BF15" s="12">
        <f t="shared" si="0"/>
        <v>0</v>
      </c>
      <c r="BG15" s="12">
        <f t="shared" si="1"/>
        <v>0</v>
      </c>
      <c r="BH15" s="12">
        <f t="shared" si="2"/>
        <v>0</v>
      </c>
    </row>
    <row r="16" spans="1:60" ht="14.4" thickBot="1" x14ac:dyDescent="0.3">
      <c r="B16" s="146"/>
      <c r="D16" s="12"/>
      <c r="BF16" s="12"/>
      <c r="BG16" s="12"/>
      <c r="BH16" s="12"/>
    </row>
    <row r="17" spans="1:60" ht="14.4" thickBot="1" x14ac:dyDescent="0.3">
      <c r="A17" s="6" t="s">
        <v>518</v>
      </c>
      <c r="B17" s="97"/>
      <c r="C17" s="6"/>
      <c r="D17" s="147">
        <f>SUM(D11,D15)-SUM(D12:D14)</f>
        <v>377953538.36000019</v>
      </c>
      <c r="E17" s="152">
        <f>SUM(E11,E15)-SUM(E12:E14)</f>
        <v>2605216.3000000003</v>
      </c>
      <c r="F17" s="12">
        <f t="shared" ref="F17:BE17" si="4">SUM(F11,F15)-SUM(F12:F14)</f>
        <v>1029884.8200000001</v>
      </c>
      <c r="G17" s="12">
        <f t="shared" si="4"/>
        <v>1878943.57</v>
      </c>
      <c r="H17" s="12">
        <f t="shared" si="4"/>
        <v>1884205.97</v>
      </c>
      <c r="I17" s="12">
        <f t="shared" si="4"/>
        <v>16366703</v>
      </c>
      <c r="J17" s="12">
        <f t="shared" si="4"/>
        <v>14187353.58</v>
      </c>
      <c r="K17" s="12">
        <f t="shared" si="4"/>
        <v>11806775.710000001</v>
      </c>
      <c r="L17" s="12">
        <f t="shared" si="4"/>
        <v>100901160.38</v>
      </c>
      <c r="M17" s="12">
        <f t="shared" si="4"/>
        <v>7807588.2300000004</v>
      </c>
      <c r="N17" s="12">
        <f t="shared" si="4"/>
        <v>457447.11</v>
      </c>
      <c r="O17" s="12">
        <f t="shared" si="4"/>
        <v>28576279</v>
      </c>
      <c r="P17" s="12">
        <f t="shared" si="4"/>
        <v>1163353.1099999999</v>
      </c>
      <c r="Q17" s="12">
        <f t="shared" si="4"/>
        <v>426223.56</v>
      </c>
      <c r="R17" s="12">
        <f t="shared" si="4"/>
        <v>1063954.5</v>
      </c>
      <c r="S17" s="12">
        <f t="shared" si="4"/>
        <v>1429194.53</v>
      </c>
      <c r="T17" s="12">
        <f t="shared" si="4"/>
        <v>3398557.75</v>
      </c>
      <c r="U17" s="12">
        <f t="shared" si="4"/>
        <v>927085.47</v>
      </c>
      <c r="V17" s="12">
        <f t="shared" si="4"/>
        <v>2249440.56</v>
      </c>
      <c r="W17" s="12">
        <f t="shared" si="4"/>
        <v>12586062.1</v>
      </c>
      <c r="X17" s="12">
        <f t="shared" si="4"/>
        <v>1940302.3</v>
      </c>
      <c r="Y17" s="12">
        <f t="shared" si="4"/>
        <v>4846822.5999999996</v>
      </c>
      <c r="Z17" s="12">
        <f t="shared" si="4"/>
        <v>9895727.1199999992</v>
      </c>
      <c r="AA17" s="12">
        <f t="shared" si="4"/>
        <v>57532.75</v>
      </c>
      <c r="AB17" s="12">
        <f t="shared" si="4"/>
        <v>922509.84000000008</v>
      </c>
      <c r="AC17" s="12">
        <f t="shared" si="4"/>
        <v>2624273.6999999997</v>
      </c>
      <c r="AD17" s="12">
        <f t="shared" si="4"/>
        <v>1886970.12</v>
      </c>
      <c r="AE17" s="12">
        <f t="shared" si="4"/>
        <v>2579904.71</v>
      </c>
      <c r="AF17" s="12">
        <f t="shared" si="4"/>
        <v>2829244.9699999997</v>
      </c>
      <c r="AG17" s="12">
        <f t="shared" si="4"/>
        <v>9934722.9600000009</v>
      </c>
      <c r="AH17" s="12">
        <f t="shared" si="4"/>
        <v>12429495.75</v>
      </c>
      <c r="AI17" s="12">
        <f t="shared" si="4"/>
        <v>808095</v>
      </c>
      <c r="AJ17" s="12">
        <f t="shared" si="4"/>
        <v>1009396.35</v>
      </c>
      <c r="AK17" s="12">
        <f t="shared" si="4"/>
        <v>8631919.5899999999</v>
      </c>
      <c r="AL17" s="12">
        <f t="shared" si="4"/>
        <v>5539646</v>
      </c>
      <c r="AM17" s="12">
        <f t="shared" si="4"/>
        <v>5168495.04</v>
      </c>
      <c r="AN17" s="12">
        <f t="shared" si="4"/>
        <v>598789.87</v>
      </c>
      <c r="AO17" s="12">
        <f t="shared" si="4"/>
        <v>10106677.479999999</v>
      </c>
      <c r="AP17" s="12">
        <f t="shared" si="4"/>
        <v>3591739.3000000003</v>
      </c>
      <c r="AQ17" s="12">
        <f t="shared" si="4"/>
        <v>2296347</v>
      </c>
      <c r="AR17" s="12">
        <f t="shared" si="4"/>
        <v>3012290.63</v>
      </c>
      <c r="AS17" s="12">
        <f t="shared" si="4"/>
        <v>3138918.75</v>
      </c>
      <c r="AT17" s="12">
        <f t="shared" si="4"/>
        <v>2482174.27</v>
      </c>
      <c r="AU17" s="12">
        <f t="shared" si="4"/>
        <v>1494437.21</v>
      </c>
      <c r="AV17" s="12">
        <f t="shared" si="4"/>
        <v>6671285.6099999994</v>
      </c>
      <c r="AW17" s="12">
        <f t="shared" si="4"/>
        <v>3293308.63</v>
      </c>
      <c r="AX17" s="12">
        <f t="shared" si="4"/>
        <v>756944.85</v>
      </c>
      <c r="AY17" s="12">
        <f t="shared" si="4"/>
        <v>1311205.6100000001</v>
      </c>
      <c r="AZ17" s="12">
        <f t="shared" si="4"/>
        <v>4675084.75</v>
      </c>
      <c r="BA17" s="12">
        <f t="shared" si="4"/>
        <v>1615489.17</v>
      </c>
      <c r="BB17" s="12">
        <f t="shared" si="4"/>
        <v>5949496</v>
      </c>
      <c r="BC17" s="12">
        <f t="shared" si="4"/>
        <v>384450</v>
      </c>
      <c r="BD17" s="12">
        <f t="shared" si="4"/>
        <v>42138657.090000004</v>
      </c>
      <c r="BE17" s="12">
        <f t="shared" si="4"/>
        <v>2585754.09</v>
      </c>
      <c r="BF17" s="12">
        <f t="shared" si="0"/>
        <v>210745429.25</v>
      </c>
      <c r="BG17" s="12">
        <f t="shared" si="1"/>
        <v>51764998.170000002</v>
      </c>
      <c r="BH17" s="12">
        <f t="shared" si="2"/>
        <v>115443110.94000001</v>
      </c>
    </row>
    <row r="18" spans="1:60" ht="14.4" thickBot="1" x14ac:dyDescent="0.3">
      <c r="B18" s="146"/>
      <c r="D18" s="12"/>
      <c r="BF18" s="12"/>
      <c r="BG18" s="12"/>
      <c r="BH18" s="12"/>
    </row>
    <row r="19" spans="1:60" ht="14.4" thickBot="1" x14ac:dyDescent="0.3">
      <c r="A19" s="6" t="s">
        <v>519</v>
      </c>
      <c r="B19" s="146"/>
      <c r="D19" s="147">
        <f>IF(D17&lt;&gt;0,D9/D17,"")*100</f>
        <v>0.91031203330682231</v>
      </c>
      <c r="E19" s="152">
        <f>IF(E17&lt;&gt;0,E9/E17,"")*100</f>
        <v>1.2908947330016323</v>
      </c>
      <c r="F19" s="12">
        <f t="shared" ref="F19:BH19" si="5">IF(F17&lt;&gt;0,F9/F17,"")*100</f>
        <v>2.3957581975040663</v>
      </c>
      <c r="G19" s="12">
        <f t="shared" si="5"/>
        <v>2.4147212680793815</v>
      </c>
      <c r="H19" s="12">
        <f t="shared" si="5"/>
        <v>2.6231659800971761</v>
      </c>
      <c r="I19" s="12">
        <f t="shared" si="5"/>
        <v>1.7190633935252566</v>
      </c>
      <c r="J19" s="12">
        <f t="shared" si="5"/>
        <v>0.76443847958288491</v>
      </c>
      <c r="K19" s="12">
        <f t="shared" si="5"/>
        <v>0.7893764757558861</v>
      </c>
      <c r="L19" s="12">
        <f t="shared" si="5"/>
        <v>0.88530526966770251</v>
      </c>
      <c r="M19" s="12">
        <f t="shared" si="5"/>
        <v>0.10082281196327897</v>
      </c>
      <c r="N19" s="12">
        <f t="shared" si="5"/>
        <v>1.0311858785160979</v>
      </c>
      <c r="O19" s="12">
        <f t="shared" si="5"/>
        <v>0.31966240251223749</v>
      </c>
      <c r="P19" s="12">
        <f t="shared" si="5"/>
        <v>2.170171703069586</v>
      </c>
      <c r="Q19" s="12">
        <f t="shared" si="5"/>
        <v>1.1791159550166586</v>
      </c>
      <c r="R19" s="12">
        <f t="shared" si="5"/>
        <v>3.6427835964789845</v>
      </c>
      <c r="S19" s="12">
        <f t="shared" si="5"/>
        <v>4.5308051941676544</v>
      </c>
      <c r="T19" s="12">
        <f t="shared" si="5"/>
        <v>0.7248233460208231</v>
      </c>
      <c r="U19" s="12">
        <f t="shared" si="5"/>
        <v>-2.1163097292421044E-2</v>
      </c>
      <c r="V19" s="12">
        <f t="shared" si="5"/>
        <v>0.94495450904468414</v>
      </c>
      <c r="W19" s="12">
        <f t="shared" si="5"/>
        <v>0.54958071436815803</v>
      </c>
      <c r="X19" s="12">
        <f t="shared" si="5"/>
        <v>0.16399454868450139</v>
      </c>
      <c r="Y19" s="12">
        <f t="shared" si="5"/>
        <v>1.7794608368789897</v>
      </c>
      <c r="Z19" s="12">
        <f t="shared" si="5"/>
        <v>-0.23254188116699001</v>
      </c>
      <c r="AA19" s="12">
        <f t="shared" si="5"/>
        <v>4.7993012675389242</v>
      </c>
      <c r="AB19" s="12">
        <f t="shared" si="5"/>
        <v>9.7359395104121602E-2</v>
      </c>
      <c r="AC19" s="12">
        <f t="shared" si="5"/>
        <v>2.1434124801845176</v>
      </c>
      <c r="AD19" s="12">
        <f t="shared" si="5"/>
        <v>2.485231191684159</v>
      </c>
      <c r="AE19" s="12">
        <f t="shared" si="5"/>
        <v>0.78396926528344524</v>
      </c>
      <c r="AF19" s="12">
        <f t="shared" si="5"/>
        <v>0.5218519483662809</v>
      </c>
      <c r="AG19" s="12">
        <f t="shared" si="5"/>
        <v>0.15040278486034397</v>
      </c>
      <c r="AH19" s="12">
        <f t="shared" si="5"/>
        <v>0.65591413875337634</v>
      </c>
      <c r="AI19" s="12">
        <f t="shared" si="5"/>
        <v>0</v>
      </c>
      <c r="AJ19" s="12">
        <f t="shared" si="5"/>
        <v>0.22696931685952693</v>
      </c>
      <c r="AK19" s="12">
        <f t="shared" si="5"/>
        <v>1.2161204573964297</v>
      </c>
      <c r="AL19" s="12">
        <f t="shared" si="5"/>
        <v>0.73233921445521977</v>
      </c>
      <c r="AM19" s="12">
        <f t="shared" si="5"/>
        <v>1.6572495346730565</v>
      </c>
      <c r="AN19" s="12">
        <f t="shared" si="5"/>
        <v>2.135498718440243</v>
      </c>
      <c r="AO19" s="12">
        <f t="shared" si="5"/>
        <v>0.38550404004778838</v>
      </c>
      <c r="AP19" s="12">
        <f t="shared" si="5"/>
        <v>0.85546659803510794</v>
      </c>
      <c r="AQ19" s="12">
        <f t="shared" si="5"/>
        <v>1.712110582590523</v>
      </c>
      <c r="AR19" s="12">
        <f t="shared" si="5"/>
        <v>1.3518655734755585</v>
      </c>
      <c r="AS19" s="12">
        <f t="shared" si="5"/>
        <v>-0.78431147668285472</v>
      </c>
      <c r="AT19" s="12">
        <f t="shared" si="5"/>
        <v>2.8818919309803337</v>
      </c>
      <c r="AU19" s="12">
        <f t="shared" si="5"/>
        <v>0.84733302378090547</v>
      </c>
      <c r="AV19" s="12">
        <f t="shared" si="5"/>
        <v>1.726060413713872</v>
      </c>
      <c r="AW19" s="12">
        <f t="shared" si="5"/>
        <v>1.3645842236170864</v>
      </c>
      <c r="AX19" s="12">
        <f t="shared" si="5"/>
        <v>0.41841489508779939</v>
      </c>
      <c r="AY19" s="12">
        <f t="shared" si="5"/>
        <v>0.33609679263040981</v>
      </c>
      <c r="AZ19" s="12">
        <f t="shared" si="5"/>
        <v>4.6681898119600937</v>
      </c>
      <c r="BA19" s="12">
        <f t="shared" si="5"/>
        <v>0.44423200930526824</v>
      </c>
      <c r="BB19" s="12">
        <f t="shared" si="5"/>
        <v>0.41263999505168164</v>
      </c>
      <c r="BC19" s="12">
        <f t="shared" si="5"/>
        <v>-1.4027129665756275</v>
      </c>
      <c r="BD19" s="12">
        <f t="shared" si="5"/>
        <v>0.94454284375961817</v>
      </c>
      <c r="BE19" s="12">
        <f t="shared" si="5"/>
        <v>-0.46170322406799336</v>
      </c>
      <c r="BF19" s="12">
        <f t="shared" si="5"/>
        <v>0.89300951232848635</v>
      </c>
      <c r="BG19" s="12">
        <f t="shared" si="5"/>
        <v>0.5930098924989492</v>
      </c>
      <c r="BH19" s="12">
        <f t="shared" si="5"/>
        <v>1.0841775137630401</v>
      </c>
    </row>
    <row r="20" spans="1:60" x14ac:dyDescent="0.25">
      <c r="A20" s="150" t="s">
        <v>520</v>
      </c>
      <c r="B20" s="146"/>
      <c r="D20" s="12"/>
      <c r="BF20" s="12"/>
      <c r="BG20" s="12"/>
      <c r="BH20" s="12"/>
    </row>
    <row r="21" spans="1:60" x14ac:dyDescent="0.25">
      <c r="A21" s="150"/>
      <c r="B21" s="146"/>
      <c r="D21" s="12"/>
      <c r="BF21" s="12"/>
      <c r="BG21" s="12"/>
      <c r="BH21" s="12"/>
    </row>
    <row r="22" spans="1:60" x14ac:dyDescent="0.25">
      <c r="B22" s="146"/>
      <c r="D22" s="12"/>
      <c r="BF22" s="12"/>
      <c r="BG22" s="12"/>
      <c r="BH22" s="12"/>
    </row>
    <row r="23" spans="1:60" x14ac:dyDescent="0.25">
      <c r="A23" s="6" t="s">
        <v>521</v>
      </c>
      <c r="B23" s="146"/>
      <c r="D23" s="12"/>
      <c r="BF23" s="12"/>
      <c r="BG23" s="12"/>
      <c r="BH23" s="12"/>
    </row>
    <row r="24" spans="1:60" x14ac:dyDescent="0.25">
      <c r="B24" s="146"/>
      <c r="D24" s="12"/>
      <c r="BF24" s="12"/>
      <c r="BG24" s="12"/>
      <c r="BH24" s="12"/>
    </row>
    <row r="25" spans="1:60" x14ac:dyDescent="0.25">
      <c r="A25" s="140" t="s">
        <v>252</v>
      </c>
      <c r="B25" s="141" t="s">
        <v>224</v>
      </c>
      <c r="C25" s="151">
        <v>200</v>
      </c>
      <c r="D25" s="142">
        <f>'Base de données indicateurs1'!BF10</f>
        <v>39606493.800000004</v>
      </c>
      <c r="E25" s="12">
        <f>'Base de données indicateurs1'!E10</f>
        <v>87051.65</v>
      </c>
      <c r="F25" s="12">
        <f>'Base de données indicateurs1'!F10</f>
        <v>127449.95</v>
      </c>
      <c r="G25" s="12">
        <f>'Base de données indicateurs1'!G10</f>
        <v>35980.85</v>
      </c>
      <c r="H25" s="12">
        <f>'Base de données indicateurs1'!H10</f>
        <v>303392.63</v>
      </c>
      <c r="I25" s="12">
        <f>'Base de données indicateurs1'!I10</f>
        <v>1690155</v>
      </c>
      <c r="J25" s="12">
        <f>'Base de données indicateurs1'!J10</f>
        <v>1780885.62</v>
      </c>
      <c r="K25" s="12">
        <f>'Base de données indicateurs1'!K10</f>
        <v>289947.59000000003</v>
      </c>
      <c r="L25" s="12">
        <f>'Base de données indicateurs1'!L10</f>
        <v>10184153.890000001</v>
      </c>
      <c r="M25" s="12">
        <f>'Base de données indicateurs1'!M10</f>
        <v>582457.34</v>
      </c>
      <c r="N25" s="12">
        <f>'Base de données indicateurs1'!N10</f>
        <v>210167.43</v>
      </c>
      <c r="O25" s="12">
        <f>'Base de données indicateurs1'!O10</f>
        <v>2440635.39</v>
      </c>
      <c r="P25" s="12">
        <f>'Base de données indicateurs1'!P10</f>
        <v>123486.63</v>
      </c>
      <c r="Q25" s="12">
        <f>'Base de données indicateurs1'!Q10</f>
        <v>9398.2999999999993</v>
      </c>
      <c r="R25" s="12">
        <f>'Base de données indicateurs1'!R10</f>
        <v>297493.89</v>
      </c>
      <c r="S25" s="12">
        <f>'Base de données indicateurs1'!S10</f>
        <v>104966.15</v>
      </c>
      <c r="T25" s="12">
        <f>'Base de données indicateurs1'!T10</f>
        <v>509439.42</v>
      </c>
      <c r="U25" s="12">
        <f>'Base de données indicateurs1'!U10</f>
        <v>294338.49</v>
      </c>
      <c r="V25" s="12">
        <f>'Base de données indicateurs1'!V10</f>
        <v>136932.75</v>
      </c>
      <c r="W25" s="12">
        <f>'Base de données indicateurs1'!W10</f>
        <v>1599706.82</v>
      </c>
      <c r="X25" s="12">
        <f>'Base de données indicateurs1'!X10</f>
        <v>0</v>
      </c>
      <c r="Y25" s="12">
        <f>'Base de données indicateurs1'!Y10</f>
        <v>348103.17</v>
      </c>
      <c r="Z25" s="12">
        <f>'Base de données indicateurs1'!Z10</f>
        <v>4277683.17</v>
      </c>
      <c r="AA25" s="12">
        <f>'Base de données indicateurs1'!AA10</f>
        <v>200525.4</v>
      </c>
      <c r="AB25" s="12">
        <f>'Base de données indicateurs1'!AB10</f>
        <v>129927.81</v>
      </c>
      <c r="AC25" s="12">
        <f>'Base de données indicateurs1'!AC10</f>
        <v>347859.56</v>
      </c>
      <c r="AD25" s="12">
        <f>'Base de données indicateurs1'!AD10</f>
        <v>511995.85</v>
      </c>
      <c r="AE25" s="12">
        <f>'Base de données indicateurs1'!AE10</f>
        <v>197555.05</v>
      </c>
      <c r="AF25" s="12">
        <f>'Base de données indicateurs1'!AF10</f>
        <v>129222.32</v>
      </c>
      <c r="AG25" s="12">
        <f>'Base de données indicateurs1'!AG10</f>
        <v>1155037.94</v>
      </c>
      <c r="AH25" s="12">
        <f>'Base de données indicateurs1'!AH10</f>
        <v>555580.65</v>
      </c>
      <c r="AI25" s="12">
        <f>'Base de données indicateurs1'!AI10</f>
        <v>616046</v>
      </c>
      <c r="AJ25" s="12">
        <f>'Base de données indicateurs1'!AJ10</f>
        <v>39753.160000000003</v>
      </c>
      <c r="AK25" s="12">
        <f>'Base de données indicateurs1'!AK10</f>
        <v>553527.1</v>
      </c>
      <c r="AL25" s="12">
        <f>'Base de données indicateurs1'!AL10</f>
        <v>130197.35</v>
      </c>
      <c r="AM25" s="12">
        <f>'Base de données indicateurs1'!AM10</f>
        <v>463530.21</v>
      </c>
      <c r="AN25" s="12">
        <f>'Base de données indicateurs1'!AN10</f>
        <v>30031.52</v>
      </c>
      <c r="AO25" s="12">
        <f>'Base de données indicateurs1'!AO10</f>
        <v>905669.76</v>
      </c>
      <c r="AP25" s="12">
        <f>'Base de données indicateurs1'!AP10</f>
        <v>504602.57</v>
      </c>
      <c r="AQ25" s="12">
        <f>'Base de données indicateurs1'!AQ10</f>
        <v>178669</v>
      </c>
      <c r="AR25" s="12">
        <f>'Base de données indicateurs1'!AR10</f>
        <v>472209.85</v>
      </c>
      <c r="AS25" s="12">
        <f>'Base de données indicateurs1'!AS10</f>
        <v>578207.18000000005</v>
      </c>
      <c r="AT25" s="12">
        <f>'Base de données indicateurs1'!AT10</f>
        <v>218104.89</v>
      </c>
      <c r="AU25" s="12">
        <f>'Base de données indicateurs1'!AU10</f>
        <v>85812.35</v>
      </c>
      <c r="AV25" s="12">
        <f>'Base de données indicateurs1'!AV10</f>
        <v>337466.31</v>
      </c>
      <c r="AW25" s="12">
        <f>'Base de données indicateurs1'!AW10</f>
        <v>226976.44</v>
      </c>
      <c r="AX25" s="12">
        <f>'Base de données indicateurs1'!AX10</f>
        <v>50732</v>
      </c>
      <c r="AY25" s="12">
        <f>'Base de données indicateurs1'!AY10</f>
        <v>189382.59</v>
      </c>
      <c r="AZ25" s="12">
        <f>'Base de données indicateurs1'!AZ10</f>
        <v>1145974.3</v>
      </c>
      <c r="BA25" s="12">
        <f>'Base de données indicateurs1'!BA10</f>
        <v>87775.61</v>
      </c>
      <c r="BB25" s="12">
        <f>'Base de données indicateurs1'!BB10</f>
        <v>423583</v>
      </c>
      <c r="BC25" s="12">
        <f>'Base de données indicateurs1'!BC10</f>
        <v>27000</v>
      </c>
      <c r="BD25" s="12">
        <f>'Base de données indicateurs1'!BD10</f>
        <v>3439064.83</v>
      </c>
      <c r="BE25" s="12">
        <f>'Base de données indicateurs1'!BE10</f>
        <v>240647.07</v>
      </c>
      <c r="BF25" s="12">
        <f t="shared" si="0"/>
        <v>20808039.789999999</v>
      </c>
      <c r="BG25" s="12">
        <f t="shared" si="1"/>
        <v>8509290.0800000001</v>
      </c>
      <c r="BH25" s="12">
        <f t="shared" si="2"/>
        <v>10289163.93</v>
      </c>
    </row>
    <row r="26" spans="1:60" x14ac:dyDescent="0.25">
      <c r="A26" s="143" t="s">
        <v>253</v>
      </c>
      <c r="B26" s="144" t="s">
        <v>224</v>
      </c>
      <c r="C26" s="143">
        <v>201</v>
      </c>
      <c r="D26" s="145">
        <f>'Base de données indicateurs1'!BF11</f>
        <v>102331901.60000002</v>
      </c>
      <c r="E26" s="12">
        <f>'Base de données indicateurs1'!E11</f>
        <v>6600941.8499999996</v>
      </c>
      <c r="F26" s="12">
        <f>'Base de données indicateurs1'!F11</f>
        <v>308700</v>
      </c>
      <c r="G26" s="12">
        <f>'Base de données indicateurs1'!G11</f>
        <v>128800</v>
      </c>
      <c r="H26" s="12">
        <f>'Base de données indicateurs1'!H11</f>
        <v>240557.09</v>
      </c>
      <c r="I26" s="12">
        <f>'Base de données indicateurs1'!I11</f>
        <v>6371926</v>
      </c>
      <c r="J26" s="12">
        <f>'Base de données indicateurs1'!J11</f>
        <v>9141550</v>
      </c>
      <c r="K26" s="12">
        <f>'Base de données indicateurs1'!K11</f>
        <v>987000</v>
      </c>
      <c r="L26" s="12">
        <f>'Base de données indicateurs1'!L11</f>
        <v>27070490</v>
      </c>
      <c r="M26" s="12">
        <f>'Base de données indicateurs1'!M11</f>
        <v>2959119.9</v>
      </c>
      <c r="N26" s="12">
        <f>'Base de données indicateurs1'!N11</f>
        <v>0</v>
      </c>
      <c r="O26" s="12">
        <f>'Base de données indicateurs1'!O11</f>
        <v>9445973.3000000007</v>
      </c>
      <c r="P26" s="12">
        <f>'Base de données indicateurs1'!P11</f>
        <v>536952.03</v>
      </c>
      <c r="Q26" s="12">
        <f>'Base de données indicateurs1'!Q11</f>
        <v>109200.66</v>
      </c>
      <c r="R26" s="12">
        <f>'Base de données indicateurs1'!R11</f>
        <v>0</v>
      </c>
      <c r="S26" s="12">
        <f>'Base de données indicateurs1'!S11</f>
        <v>3044807.75</v>
      </c>
      <c r="T26" s="12">
        <f>'Base de données indicateurs1'!T11</f>
        <v>211600</v>
      </c>
      <c r="U26" s="12">
        <f>'Base de données indicateurs1'!U11</f>
        <v>311481.01</v>
      </c>
      <c r="V26" s="12">
        <f>'Base de données indicateurs1'!V11</f>
        <v>235996.36</v>
      </c>
      <c r="W26" s="12">
        <f>'Base de données indicateurs1'!W11</f>
        <v>2120542.9300000002</v>
      </c>
      <c r="X26" s="12">
        <f>'Base de données indicateurs1'!X11</f>
        <v>140459</v>
      </c>
      <c r="Y26" s="12">
        <f>'Base de données indicateurs1'!Y11</f>
        <v>826856.21</v>
      </c>
      <c r="Z26" s="12">
        <f>'Base de données indicateurs1'!Z11</f>
        <v>0</v>
      </c>
      <c r="AA26" s="12">
        <f>'Base de données indicateurs1'!AA11</f>
        <v>0</v>
      </c>
      <c r="AB26" s="12">
        <f>'Base de données indicateurs1'!AB11</f>
        <v>412500</v>
      </c>
      <c r="AC26" s="12">
        <f>'Base de données indicateurs1'!AC11</f>
        <v>719898.79</v>
      </c>
      <c r="AD26" s="12">
        <f>'Base de données indicateurs1'!AD11</f>
        <v>0</v>
      </c>
      <c r="AE26" s="12">
        <f>'Base de données indicateurs1'!AE11</f>
        <v>0</v>
      </c>
      <c r="AF26" s="12">
        <f>'Base de données indicateurs1'!AF11</f>
        <v>600522.35</v>
      </c>
      <c r="AG26" s="12">
        <f>'Base de données indicateurs1'!AG11</f>
        <v>396943.43</v>
      </c>
      <c r="AH26" s="12">
        <f>'Base de données indicateurs1'!AH11</f>
        <v>3410820</v>
      </c>
      <c r="AI26" s="12">
        <f>'Base de données indicateurs1'!AI11</f>
        <v>488902</v>
      </c>
      <c r="AJ26" s="12">
        <f>'Base de données indicateurs1'!AJ11</f>
        <v>148300</v>
      </c>
      <c r="AK26" s="12">
        <f>'Base de données indicateurs1'!AK11</f>
        <v>514000</v>
      </c>
      <c r="AL26" s="12">
        <f>'Base de données indicateurs1'!AL11</f>
        <v>515065.2</v>
      </c>
      <c r="AM26" s="12">
        <f>'Base de données indicateurs1'!AM11</f>
        <v>562615.99</v>
      </c>
      <c r="AN26" s="12">
        <f>'Base de données indicateurs1'!AN11</f>
        <v>0</v>
      </c>
      <c r="AO26" s="12">
        <f>'Base de données indicateurs1'!AO11</f>
        <v>0</v>
      </c>
      <c r="AP26" s="12">
        <f>'Base de données indicateurs1'!AP11</f>
        <v>103650</v>
      </c>
      <c r="AQ26" s="12">
        <f>'Base de données indicateurs1'!AQ11</f>
        <v>3015857</v>
      </c>
      <c r="AR26" s="12">
        <f>'Base de données indicateurs1'!AR11</f>
        <v>1827000</v>
      </c>
      <c r="AS26" s="12">
        <f>'Base de données indicateurs1'!AS11</f>
        <v>249777.17</v>
      </c>
      <c r="AT26" s="12">
        <f>'Base de données indicateurs1'!AT11</f>
        <v>273245</v>
      </c>
      <c r="AU26" s="12">
        <f>'Base de données indicateurs1'!AU11</f>
        <v>509300</v>
      </c>
      <c r="AV26" s="12">
        <f>'Base de données indicateurs1'!AV11</f>
        <v>660202.06000000006</v>
      </c>
      <c r="AW26" s="12">
        <f>'Base de données indicateurs1'!AW11</f>
        <v>233507.56</v>
      </c>
      <c r="AX26" s="12">
        <f>'Base de données indicateurs1'!AX11</f>
        <v>42021</v>
      </c>
      <c r="AY26" s="12">
        <f>'Base de données indicateurs1'!AY11</f>
        <v>0</v>
      </c>
      <c r="AZ26" s="12">
        <f>'Base de données indicateurs1'!AZ11</f>
        <v>1338920.1100000001</v>
      </c>
      <c r="BA26" s="12">
        <f>'Base de données indicateurs1'!BA11</f>
        <v>1121545.45</v>
      </c>
      <c r="BB26" s="12">
        <f>'Base de données indicateurs1'!BB11</f>
        <v>5673273</v>
      </c>
      <c r="BC26" s="12">
        <f>'Base de données indicateurs1'!BC11</f>
        <v>0</v>
      </c>
      <c r="BD26" s="12">
        <f>'Base de données indicateurs1'!BD11</f>
        <v>8400961.4499999993</v>
      </c>
      <c r="BE26" s="12">
        <f>'Base de données indicateurs1'!BE11</f>
        <v>320119.95</v>
      </c>
      <c r="BF26" s="12">
        <f t="shared" si="0"/>
        <v>69825638.88000001</v>
      </c>
      <c r="BG26" s="12">
        <f t="shared" si="1"/>
        <v>7145201.7800000003</v>
      </c>
      <c r="BH26" s="12">
        <f t="shared" si="2"/>
        <v>25361060.939999998</v>
      </c>
    </row>
    <row r="27" spans="1:60" x14ac:dyDescent="0.25">
      <c r="A27" s="143" t="s">
        <v>268</v>
      </c>
      <c r="B27" s="144" t="s">
        <v>225</v>
      </c>
      <c r="C27" s="143">
        <v>2016</v>
      </c>
      <c r="D27" s="145">
        <f>'Base de données indicateurs1'!BF12</f>
        <v>0</v>
      </c>
      <c r="E27" s="12">
        <f>'Base de données indicateurs1'!E12</f>
        <v>0</v>
      </c>
      <c r="F27" s="12">
        <f>'Base de données indicateurs1'!F12</f>
        <v>0</v>
      </c>
      <c r="G27" s="12">
        <f>'Base de données indicateurs1'!G12</f>
        <v>0</v>
      </c>
      <c r="H27" s="12">
        <f>'Base de données indicateurs1'!H12</f>
        <v>0</v>
      </c>
      <c r="I27" s="12">
        <f>'Base de données indicateurs1'!I12</f>
        <v>0</v>
      </c>
      <c r="J27" s="12">
        <f>'Base de données indicateurs1'!J12</f>
        <v>0</v>
      </c>
      <c r="K27" s="12">
        <f>'Base de données indicateurs1'!K12</f>
        <v>0</v>
      </c>
      <c r="L27" s="12">
        <f>'Base de données indicateurs1'!L12</f>
        <v>0</v>
      </c>
      <c r="M27" s="12">
        <f>'Base de données indicateurs1'!M12</f>
        <v>0</v>
      </c>
      <c r="N27" s="12">
        <f>'Base de données indicateurs1'!N12</f>
        <v>0</v>
      </c>
      <c r="O27" s="12">
        <f>'Base de données indicateurs1'!O12</f>
        <v>0</v>
      </c>
      <c r="P27" s="12">
        <f>'Base de données indicateurs1'!P12</f>
        <v>0</v>
      </c>
      <c r="Q27" s="12">
        <f>'Base de données indicateurs1'!Q12</f>
        <v>0</v>
      </c>
      <c r="R27" s="12">
        <f>'Base de données indicateurs1'!R12</f>
        <v>0</v>
      </c>
      <c r="S27" s="12">
        <f>'Base de données indicateurs1'!S12</f>
        <v>0</v>
      </c>
      <c r="T27" s="12">
        <f>'Base de données indicateurs1'!T12</f>
        <v>0</v>
      </c>
      <c r="U27" s="12">
        <f>'Base de données indicateurs1'!U12</f>
        <v>0</v>
      </c>
      <c r="V27" s="12">
        <f>'Base de données indicateurs1'!V12</f>
        <v>0</v>
      </c>
      <c r="W27" s="12">
        <f>'Base de données indicateurs1'!W12</f>
        <v>0</v>
      </c>
      <c r="X27" s="12">
        <f>'Base de données indicateurs1'!X12</f>
        <v>0</v>
      </c>
      <c r="Y27" s="12">
        <f>'Base de données indicateurs1'!Y12</f>
        <v>0</v>
      </c>
      <c r="Z27" s="12">
        <f>'Base de données indicateurs1'!Z12</f>
        <v>0</v>
      </c>
      <c r="AA27" s="12">
        <f>'Base de données indicateurs1'!AA12</f>
        <v>0</v>
      </c>
      <c r="AB27" s="12">
        <f>'Base de données indicateurs1'!AB12</f>
        <v>0</v>
      </c>
      <c r="AC27" s="12">
        <f>'Base de données indicateurs1'!AC12</f>
        <v>0</v>
      </c>
      <c r="AD27" s="12">
        <f>'Base de données indicateurs1'!AD12</f>
        <v>0</v>
      </c>
      <c r="AE27" s="12">
        <f>'Base de données indicateurs1'!AE12</f>
        <v>0</v>
      </c>
      <c r="AF27" s="12">
        <f>'Base de données indicateurs1'!AF12</f>
        <v>0</v>
      </c>
      <c r="AG27" s="12">
        <f>'Base de données indicateurs1'!AG12</f>
        <v>0</v>
      </c>
      <c r="AH27" s="12">
        <f>'Base de données indicateurs1'!AH12</f>
        <v>0</v>
      </c>
      <c r="AI27" s="12">
        <f>'Base de données indicateurs1'!AI12</f>
        <v>0</v>
      </c>
      <c r="AJ27" s="12">
        <f>'Base de données indicateurs1'!AJ12</f>
        <v>0</v>
      </c>
      <c r="AK27" s="12">
        <f>'Base de données indicateurs1'!AK12</f>
        <v>0</v>
      </c>
      <c r="AL27" s="12">
        <f>'Base de données indicateurs1'!AL12</f>
        <v>0</v>
      </c>
      <c r="AM27" s="12">
        <f>'Base de données indicateurs1'!AM12</f>
        <v>0</v>
      </c>
      <c r="AN27" s="12">
        <f>'Base de données indicateurs1'!AN12</f>
        <v>0</v>
      </c>
      <c r="AO27" s="12">
        <f>'Base de données indicateurs1'!AO12</f>
        <v>0</v>
      </c>
      <c r="AP27" s="12">
        <f>'Base de données indicateurs1'!AP12</f>
        <v>0</v>
      </c>
      <c r="AQ27" s="12">
        <f>'Base de données indicateurs1'!AQ12</f>
        <v>0</v>
      </c>
      <c r="AR27" s="12">
        <f>'Base de données indicateurs1'!AR12</f>
        <v>0</v>
      </c>
      <c r="AS27" s="12">
        <f>'Base de données indicateurs1'!AS12</f>
        <v>0</v>
      </c>
      <c r="AT27" s="12">
        <f>'Base de données indicateurs1'!AT12</f>
        <v>0</v>
      </c>
      <c r="AU27" s="12">
        <f>'Base de données indicateurs1'!AU12</f>
        <v>0</v>
      </c>
      <c r="AV27" s="12">
        <f>'Base de données indicateurs1'!AV12</f>
        <v>0</v>
      </c>
      <c r="AW27" s="12">
        <f>'Base de données indicateurs1'!AW12</f>
        <v>0</v>
      </c>
      <c r="AX27" s="12">
        <f>'Base de données indicateurs1'!AX12</f>
        <v>0</v>
      </c>
      <c r="AY27" s="12">
        <f>'Base de données indicateurs1'!AY12</f>
        <v>0</v>
      </c>
      <c r="AZ27" s="12">
        <f>'Base de données indicateurs1'!AZ12</f>
        <v>0</v>
      </c>
      <c r="BA27" s="12">
        <f>'Base de données indicateurs1'!BA12</f>
        <v>0</v>
      </c>
      <c r="BB27" s="12">
        <f>'Base de données indicateurs1'!BB12</f>
        <v>0</v>
      </c>
      <c r="BC27" s="12">
        <f>'Base de données indicateurs1'!BC12</f>
        <v>0</v>
      </c>
      <c r="BD27" s="12">
        <f>'Base de données indicateurs1'!BD12</f>
        <v>0</v>
      </c>
      <c r="BE27" s="12">
        <f>'Base de données indicateurs1'!BE12</f>
        <v>0</v>
      </c>
      <c r="BF27" s="12">
        <f t="shared" si="0"/>
        <v>0</v>
      </c>
      <c r="BG27" s="12">
        <f t="shared" si="1"/>
        <v>0</v>
      </c>
      <c r="BH27" s="12">
        <f t="shared" si="2"/>
        <v>0</v>
      </c>
    </row>
    <row r="28" spans="1:60" x14ac:dyDescent="0.25">
      <c r="A28" s="143" t="s">
        <v>256</v>
      </c>
      <c r="B28" s="144" t="s">
        <v>224</v>
      </c>
      <c r="C28" s="143">
        <v>206</v>
      </c>
      <c r="D28" s="145">
        <f>'Base de données indicateurs1'!BF13</f>
        <v>471291696.03999996</v>
      </c>
      <c r="E28" s="12">
        <f>'Base de données indicateurs1'!E13</f>
        <v>3543700</v>
      </c>
      <c r="F28" s="12">
        <f>'Base de données indicateurs1'!F13</f>
        <v>1960499.6</v>
      </c>
      <c r="G28" s="12">
        <f>'Base de données indicateurs1'!G13</f>
        <v>5049000</v>
      </c>
      <c r="H28" s="12">
        <f>'Base de données indicateurs1'!H13</f>
        <v>3627996.85</v>
      </c>
      <c r="I28" s="12">
        <f>'Base de données indicateurs1'!I13</f>
        <v>17964793</v>
      </c>
      <c r="J28" s="12">
        <f>'Base de données indicateurs1'!J13</f>
        <v>12267000</v>
      </c>
      <c r="K28" s="12">
        <f>'Base de données indicateurs1'!K13</f>
        <v>9063964.5999999996</v>
      </c>
      <c r="L28" s="12">
        <f>'Base de données indicateurs1'!L13</f>
        <v>129202493.75</v>
      </c>
      <c r="M28" s="12">
        <f>'Base de données indicateurs1'!M13</f>
        <v>4142829.75</v>
      </c>
      <c r="N28" s="12">
        <f>'Base de données indicateurs1'!N13</f>
        <v>752392.9</v>
      </c>
      <c r="O28" s="12">
        <f>'Base de données indicateurs1'!O13</f>
        <v>33729190</v>
      </c>
      <c r="P28" s="12">
        <f>'Base de données indicateurs1'!P13</f>
        <v>2150910.35</v>
      </c>
      <c r="Q28" s="12">
        <f>'Base de données indicateurs1'!Q13</f>
        <v>354400</v>
      </c>
      <c r="R28" s="12">
        <f>'Base de données indicateurs1'!R13</f>
        <v>2880449.41</v>
      </c>
      <c r="S28" s="12">
        <f>'Base de données indicateurs1'!S13</f>
        <v>993311</v>
      </c>
      <c r="T28" s="12">
        <f>'Base de données indicateurs1'!T13</f>
        <v>4442600</v>
      </c>
      <c r="U28" s="12">
        <f>'Base de données indicateurs1'!U13</f>
        <v>632750</v>
      </c>
      <c r="V28" s="12">
        <f>'Base de données indicateurs1'!V13</f>
        <v>3131903.56</v>
      </c>
      <c r="W28" s="12">
        <f>'Base de données indicateurs1'!W13</f>
        <v>12080140</v>
      </c>
      <c r="X28" s="12">
        <f>'Base de données indicateurs1'!X13</f>
        <v>343587.2</v>
      </c>
      <c r="Y28" s="12">
        <f>'Base de données indicateurs1'!Y13</f>
        <v>8417000</v>
      </c>
      <c r="Z28" s="12">
        <f>'Base de données indicateurs1'!Z13</f>
        <v>633000</v>
      </c>
      <c r="AA28" s="12">
        <f>'Base de données indicateurs1'!AA13</f>
        <v>934047.05</v>
      </c>
      <c r="AB28" s="12">
        <f>'Base de données indicateurs1'!AB13</f>
        <v>762500</v>
      </c>
      <c r="AC28" s="12">
        <f>'Base de données indicateurs1'!AC13</f>
        <v>3541055</v>
      </c>
      <c r="AD28" s="12">
        <f>'Base de données indicateurs1'!AD13</f>
        <v>7098275</v>
      </c>
      <c r="AE28" s="12">
        <f>'Base de données indicateurs1'!AE13</f>
        <v>3495450</v>
      </c>
      <c r="AF28" s="12">
        <f>'Base de données indicateurs1'!AF13</f>
        <v>242334</v>
      </c>
      <c r="AG28" s="12">
        <f>'Base de données indicateurs1'!AG13</f>
        <v>3901400</v>
      </c>
      <c r="AH28" s="12">
        <f>'Base de données indicateurs1'!AH13</f>
        <v>12188315.15</v>
      </c>
      <c r="AI28" s="12">
        <f>'Base de données indicateurs1'!AI13</f>
        <v>504698</v>
      </c>
      <c r="AJ28" s="12">
        <f>'Base de données indicateurs1'!AJ13</f>
        <v>675310</v>
      </c>
      <c r="AK28" s="12">
        <f>'Base de données indicateurs1'!AK13</f>
        <v>16542160</v>
      </c>
      <c r="AL28" s="12">
        <f>'Base de données indicateurs1'!AL13</f>
        <v>9082156.0500000007</v>
      </c>
      <c r="AM28" s="12">
        <f>'Base de données indicateurs1'!AM13</f>
        <v>10561347.300000001</v>
      </c>
      <c r="AN28" s="12">
        <f>'Base de données indicateurs1'!AN13</f>
        <v>1373420</v>
      </c>
      <c r="AO28" s="12">
        <f>'Base de données indicateurs1'!AO13</f>
        <v>8088800</v>
      </c>
      <c r="AP28" s="12">
        <f>'Base de données indicateurs1'!AP13</f>
        <v>4674100</v>
      </c>
      <c r="AQ28" s="12">
        <f>'Base de données indicateurs1'!AQ13</f>
        <v>1519715</v>
      </c>
      <c r="AR28" s="12">
        <f>'Base de données indicateurs1'!AR13</f>
        <v>8129313.7599999998</v>
      </c>
      <c r="AS28" s="12">
        <f>'Base de données indicateurs1'!AS13</f>
        <v>4848271.1100000003</v>
      </c>
      <c r="AT28" s="12">
        <f>'Base de données indicateurs1'!AT13</f>
        <v>9079072.5</v>
      </c>
      <c r="AU28" s="12">
        <f>'Base de données indicateurs1'!AU13</f>
        <v>1297365</v>
      </c>
      <c r="AV28" s="12">
        <f>'Base de données indicateurs1'!AV13</f>
        <v>12474300</v>
      </c>
      <c r="AW28" s="12">
        <f>'Base de données indicateurs1'!AW13</f>
        <v>5566242</v>
      </c>
      <c r="AX28" s="12">
        <f>'Base de données indicateurs1'!AX13</f>
        <v>599060</v>
      </c>
      <c r="AY28" s="12">
        <f>'Base de données indicateurs1'!AY13</f>
        <v>1811940</v>
      </c>
      <c r="AZ28" s="12">
        <f>'Base de données indicateurs1'!AZ13</f>
        <v>17035687</v>
      </c>
      <c r="BA28" s="12">
        <f>'Base de données indicateurs1'!BA13</f>
        <v>1814150</v>
      </c>
      <c r="BB28" s="12">
        <f>'Base de données indicateurs1'!BB13</f>
        <v>4838210</v>
      </c>
      <c r="BC28" s="12">
        <f>'Base de données indicateurs1'!BC13</f>
        <v>115500</v>
      </c>
      <c r="BD28" s="12">
        <f>'Base de données indicateurs1'!BD13</f>
        <v>57706532</v>
      </c>
      <c r="BE28" s="12">
        <f>'Base de données indicateurs1'!BE13</f>
        <v>3427058.15</v>
      </c>
      <c r="BF28" s="12">
        <f t="shared" si="0"/>
        <v>247970324.77000001</v>
      </c>
      <c r="BG28" s="12">
        <f t="shared" si="1"/>
        <v>42736971.399999999</v>
      </c>
      <c r="BH28" s="12">
        <f t="shared" si="2"/>
        <v>180584399.87</v>
      </c>
    </row>
    <row r="29" spans="1:60" ht="14.4" thickBot="1" x14ac:dyDescent="0.3">
      <c r="B29" s="146"/>
      <c r="D29" s="12"/>
      <c r="BF29" s="12"/>
      <c r="BG29" s="12"/>
      <c r="BH29" s="12"/>
    </row>
    <row r="30" spans="1:60" ht="14.4" thickBot="1" x14ac:dyDescent="0.3">
      <c r="A30" s="6" t="s">
        <v>522</v>
      </c>
      <c r="B30" s="97"/>
      <c r="C30" s="6"/>
      <c r="D30" s="147">
        <f>SUM(D25:D26,D28)-D27</f>
        <v>613230091.44000006</v>
      </c>
      <c r="E30" s="152">
        <f>SUM(E25:E26,E28)-E27</f>
        <v>10231693.5</v>
      </c>
      <c r="F30" s="12">
        <f t="shared" ref="F30:BE30" si="6">SUM(F25:F26,F28)-F27</f>
        <v>2396649.5500000003</v>
      </c>
      <c r="G30" s="12">
        <f t="shared" si="6"/>
        <v>5213780.8499999996</v>
      </c>
      <c r="H30" s="12">
        <f t="shared" si="6"/>
        <v>4171946.5700000003</v>
      </c>
      <c r="I30" s="12">
        <f t="shared" si="6"/>
        <v>26026874</v>
      </c>
      <c r="J30" s="12">
        <f t="shared" si="6"/>
        <v>23189435.620000001</v>
      </c>
      <c r="K30" s="12">
        <f t="shared" si="6"/>
        <v>10340912.189999999</v>
      </c>
      <c r="L30" s="12">
        <f t="shared" si="6"/>
        <v>166457137.63999999</v>
      </c>
      <c r="M30" s="12">
        <f t="shared" si="6"/>
        <v>7684406.9900000002</v>
      </c>
      <c r="N30" s="12">
        <f t="shared" si="6"/>
        <v>962560.33000000007</v>
      </c>
      <c r="O30" s="12">
        <f t="shared" si="6"/>
        <v>45615798.689999998</v>
      </c>
      <c r="P30" s="12">
        <f t="shared" si="6"/>
        <v>2811349.0100000002</v>
      </c>
      <c r="Q30" s="12">
        <f t="shared" si="6"/>
        <v>472998.96</v>
      </c>
      <c r="R30" s="12">
        <f t="shared" si="6"/>
        <v>3177943.3000000003</v>
      </c>
      <c r="S30" s="12">
        <f t="shared" si="6"/>
        <v>4143084.9</v>
      </c>
      <c r="T30" s="12">
        <f t="shared" si="6"/>
        <v>5163639.42</v>
      </c>
      <c r="U30" s="12">
        <f t="shared" si="6"/>
        <v>1238569.5</v>
      </c>
      <c r="V30" s="12">
        <f t="shared" si="6"/>
        <v>3504832.67</v>
      </c>
      <c r="W30" s="12">
        <f t="shared" si="6"/>
        <v>15800389.75</v>
      </c>
      <c r="X30" s="12">
        <f t="shared" si="6"/>
        <v>484046.2</v>
      </c>
      <c r="Y30" s="12">
        <f t="shared" si="6"/>
        <v>9591959.379999999</v>
      </c>
      <c r="Z30" s="12">
        <f t="shared" si="6"/>
        <v>4910683.17</v>
      </c>
      <c r="AA30" s="12">
        <f t="shared" si="6"/>
        <v>1134572.45</v>
      </c>
      <c r="AB30" s="12">
        <f t="shared" si="6"/>
        <v>1304927.81</v>
      </c>
      <c r="AC30" s="12">
        <f t="shared" si="6"/>
        <v>4608813.3499999996</v>
      </c>
      <c r="AD30" s="12">
        <f t="shared" si="6"/>
        <v>7610270.8499999996</v>
      </c>
      <c r="AE30" s="12">
        <f t="shared" si="6"/>
        <v>3693005.05</v>
      </c>
      <c r="AF30" s="12">
        <f t="shared" si="6"/>
        <v>972078.66999999993</v>
      </c>
      <c r="AG30" s="12">
        <f t="shared" si="6"/>
        <v>5453381.3700000001</v>
      </c>
      <c r="AH30" s="12">
        <f t="shared" si="6"/>
        <v>16154715.800000001</v>
      </c>
      <c r="AI30" s="12">
        <f t="shared" si="6"/>
        <v>1609646</v>
      </c>
      <c r="AJ30" s="12">
        <f t="shared" si="6"/>
        <v>863363.16</v>
      </c>
      <c r="AK30" s="12">
        <f t="shared" si="6"/>
        <v>17609687.100000001</v>
      </c>
      <c r="AL30" s="12">
        <f t="shared" si="6"/>
        <v>9727418.6000000015</v>
      </c>
      <c r="AM30" s="12">
        <f t="shared" si="6"/>
        <v>11587493.5</v>
      </c>
      <c r="AN30" s="12">
        <f t="shared" si="6"/>
        <v>1403451.52</v>
      </c>
      <c r="AO30" s="12">
        <f t="shared" si="6"/>
        <v>8994469.7599999998</v>
      </c>
      <c r="AP30" s="12">
        <f t="shared" si="6"/>
        <v>5282352.57</v>
      </c>
      <c r="AQ30" s="12">
        <f t="shared" si="6"/>
        <v>4714241</v>
      </c>
      <c r="AR30" s="12">
        <f t="shared" si="6"/>
        <v>10428523.609999999</v>
      </c>
      <c r="AS30" s="12">
        <f t="shared" si="6"/>
        <v>5676255.4600000009</v>
      </c>
      <c r="AT30" s="12">
        <f t="shared" si="6"/>
        <v>9570422.3900000006</v>
      </c>
      <c r="AU30" s="12">
        <f t="shared" si="6"/>
        <v>1892477.35</v>
      </c>
      <c r="AV30" s="12">
        <f t="shared" si="6"/>
        <v>13471968.370000001</v>
      </c>
      <c r="AW30" s="12">
        <f t="shared" si="6"/>
        <v>6026726</v>
      </c>
      <c r="AX30" s="12">
        <f t="shared" si="6"/>
        <v>691813</v>
      </c>
      <c r="AY30" s="12">
        <f t="shared" si="6"/>
        <v>2001322.59</v>
      </c>
      <c r="AZ30" s="12">
        <f t="shared" si="6"/>
        <v>19520581.41</v>
      </c>
      <c r="BA30" s="12">
        <f t="shared" si="6"/>
        <v>3023471.06</v>
      </c>
      <c r="BB30" s="12">
        <f t="shared" si="6"/>
        <v>10935066</v>
      </c>
      <c r="BC30" s="12">
        <f t="shared" si="6"/>
        <v>142500</v>
      </c>
      <c r="BD30" s="12">
        <f t="shared" si="6"/>
        <v>69546558.280000001</v>
      </c>
      <c r="BE30" s="12">
        <f t="shared" si="6"/>
        <v>3987825.17</v>
      </c>
      <c r="BF30" s="12">
        <f t="shared" si="0"/>
        <v>338604003.44</v>
      </c>
      <c r="BG30" s="12">
        <f t="shared" si="1"/>
        <v>58391463.25999999</v>
      </c>
      <c r="BH30" s="12">
        <f t="shared" si="2"/>
        <v>216234624.74000001</v>
      </c>
    </row>
    <row r="31" spans="1:60" ht="14.4" thickBot="1" x14ac:dyDescent="0.3">
      <c r="B31" s="139"/>
      <c r="D31" s="12"/>
      <c r="BF31" s="12"/>
      <c r="BG31" s="12"/>
      <c r="BH31" s="12"/>
    </row>
    <row r="32" spans="1:60" ht="14.4" thickBot="1" x14ac:dyDescent="0.3">
      <c r="A32" s="6" t="s">
        <v>518</v>
      </c>
      <c r="B32" s="153"/>
      <c r="C32" s="6"/>
      <c r="D32" s="147">
        <f>D17</f>
        <v>377953538.36000019</v>
      </c>
      <c r="E32" s="152">
        <f>E17</f>
        <v>2605216.3000000003</v>
      </c>
      <c r="F32" s="12">
        <f t="shared" ref="F32:BE32" si="7">F17</f>
        <v>1029884.8200000001</v>
      </c>
      <c r="G32" s="12">
        <f t="shared" si="7"/>
        <v>1878943.57</v>
      </c>
      <c r="H32" s="12">
        <f t="shared" si="7"/>
        <v>1884205.97</v>
      </c>
      <c r="I32" s="12">
        <f t="shared" si="7"/>
        <v>16366703</v>
      </c>
      <c r="J32" s="12">
        <f t="shared" si="7"/>
        <v>14187353.58</v>
      </c>
      <c r="K32" s="12">
        <f t="shared" si="7"/>
        <v>11806775.710000001</v>
      </c>
      <c r="L32" s="12">
        <f t="shared" si="7"/>
        <v>100901160.38</v>
      </c>
      <c r="M32" s="12">
        <f t="shared" si="7"/>
        <v>7807588.2300000004</v>
      </c>
      <c r="N32" s="12">
        <f t="shared" si="7"/>
        <v>457447.11</v>
      </c>
      <c r="O32" s="12">
        <f t="shared" si="7"/>
        <v>28576279</v>
      </c>
      <c r="P32" s="12">
        <f t="shared" si="7"/>
        <v>1163353.1099999999</v>
      </c>
      <c r="Q32" s="12">
        <f t="shared" si="7"/>
        <v>426223.56</v>
      </c>
      <c r="R32" s="12">
        <f t="shared" si="7"/>
        <v>1063954.5</v>
      </c>
      <c r="S32" s="12">
        <f t="shared" si="7"/>
        <v>1429194.53</v>
      </c>
      <c r="T32" s="12">
        <f t="shared" si="7"/>
        <v>3398557.75</v>
      </c>
      <c r="U32" s="12">
        <f t="shared" si="7"/>
        <v>927085.47</v>
      </c>
      <c r="V32" s="12">
        <f t="shared" si="7"/>
        <v>2249440.56</v>
      </c>
      <c r="W32" s="12">
        <f t="shared" si="7"/>
        <v>12586062.1</v>
      </c>
      <c r="X32" s="12">
        <f t="shared" si="7"/>
        <v>1940302.3</v>
      </c>
      <c r="Y32" s="12">
        <f t="shared" si="7"/>
        <v>4846822.5999999996</v>
      </c>
      <c r="Z32" s="12">
        <f t="shared" si="7"/>
        <v>9895727.1199999992</v>
      </c>
      <c r="AA32" s="12">
        <f t="shared" si="7"/>
        <v>57532.75</v>
      </c>
      <c r="AB32" s="12">
        <f t="shared" si="7"/>
        <v>922509.84000000008</v>
      </c>
      <c r="AC32" s="12">
        <f t="shared" si="7"/>
        <v>2624273.6999999997</v>
      </c>
      <c r="AD32" s="12">
        <f t="shared" si="7"/>
        <v>1886970.12</v>
      </c>
      <c r="AE32" s="12">
        <f t="shared" si="7"/>
        <v>2579904.71</v>
      </c>
      <c r="AF32" s="12">
        <f t="shared" si="7"/>
        <v>2829244.9699999997</v>
      </c>
      <c r="AG32" s="12">
        <f t="shared" si="7"/>
        <v>9934722.9600000009</v>
      </c>
      <c r="AH32" s="12">
        <f t="shared" si="7"/>
        <v>12429495.75</v>
      </c>
      <c r="AI32" s="12">
        <f t="shared" si="7"/>
        <v>808095</v>
      </c>
      <c r="AJ32" s="12">
        <f t="shared" si="7"/>
        <v>1009396.35</v>
      </c>
      <c r="AK32" s="12">
        <f t="shared" si="7"/>
        <v>8631919.5899999999</v>
      </c>
      <c r="AL32" s="12">
        <f t="shared" si="7"/>
        <v>5539646</v>
      </c>
      <c r="AM32" s="12">
        <f t="shared" si="7"/>
        <v>5168495.04</v>
      </c>
      <c r="AN32" s="12">
        <f t="shared" si="7"/>
        <v>598789.87</v>
      </c>
      <c r="AO32" s="12">
        <f t="shared" si="7"/>
        <v>10106677.479999999</v>
      </c>
      <c r="AP32" s="12">
        <f t="shared" si="7"/>
        <v>3591739.3000000003</v>
      </c>
      <c r="AQ32" s="12">
        <f t="shared" si="7"/>
        <v>2296347</v>
      </c>
      <c r="AR32" s="12">
        <f t="shared" si="7"/>
        <v>3012290.63</v>
      </c>
      <c r="AS32" s="12">
        <f t="shared" si="7"/>
        <v>3138918.75</v>
      </c>
      <c r="AT32" s="12">
        <f t="shared" si="7"/>
        <v>2482174.27</v>
      </c>
      <c r="AU32" s="12">
        <f t="shared" si="7"/>
        <v>1494437.21</v>
      </c>
      <c r="AV32" s="12">
        <f t="shared" si="7"/>
        <v>6671285.6099999994</v>
      </c>
      <c r="AW32" s="12">
        <f t="shared" si="7"/>
        <v>3293308.63</v>
      </c>
      <c r="AX32" s="12">
        <f t="shared" si="7"/>
        <v>756944.85</v>
      </c>
      <c r="AY32" s="12">
        <f t="shared" si="7"/>
        <v>1311205.6100000001</v>
      </c>
      <c r="AZ32" s="12">
        <f t="shared" si="7"/>
        <v>4675084.75</v>
      </c>
      <c r="BA32" s="12">
        <f t="shared" si="7"/>
        <v>1615489.17</v>
      </c>
      <c r="BB32" s="12">
        <f t="shared" si="7"/>
        <v>5949496</v>
      </c>
      <c r="BC32" s="12">
        <f t="shared" si="7"/>
        <v>384450</v>
      </c>
      <c r="BD32" s="12">
        <f t="shared" si="7"/>
        <v>42138657.090000004</v>
      </c>
      <c r="BE32" s="12">
        <f t="shared" si="7"/>
        <v>2585754.09</v>
      </c>
      <c r="BF32" s="12">
        <f t="shared" si="0"/>
        <v>210745429.25</v>
      </c>
      <c r="BG32" s="12">
        <f t="shared" si="1"/>
        <v>51764998.170000002</v>
      </c>
      <c r="BH32" s="12">
        <f t="shared" si="2"/>
        <v>115443110.94000001</v>
      </c>
    </row>
    <row r="33" spans="1:60" ht="14.4" thickBot="1" x14ac:dyDescent="0.3">
      <c r="B33" s="139"/>
      <c r="D33" s="12"/>
      <c r="BF33" s="12"/>
      <c r="BG33" s="12"/>
      <c r="BH33" s="12"/>
    </row>
    <row r="34" spans="1:60" ht="14.4" thickBot="1" x14ac:dyDescent="0.3">
      <c r="A34" s="6" t="s">
        <v>523</v>
      </c>
      <c r="B34" s="153"/>
      <c r="C34" s="6"/>
      <c r="D34" s="147">
        <f>IF(D32&lt;&gt;0,D30/D32,"")*100</f>
        <v>162.25012579612346</v>
      </c>
      <c r="E34" s="152">
        <f>IF(E32&lt;&gt;0,E30/E32,"")*100</f>
        <v>392.7387334402905</v>
      </c>
      <c r="F34" s="12">
        <f t="shared" ref="F34:BH34" si="8">IF(F32&lt;&gt;0,F30/F32,"")*100</f>
        <v>232.7104452321183</v>
      </c>
      <c r="G34" s="12">
        <f t="shared" si="8"/>
        <v>277.48469582830523</v>
      </c>
      <c r="H34" s="12">
        <f t="shared" si="8"/>
        <v>221.4166941632183</v>
      </c>
      <c r="I34" s="12">
        <f t="shared" si="8"/>
        <v>159.02331703581351</v>
      </c>
      <c r="J34" s="12">
        <f t="shared" si="8"/>
        <v>163.45145336118424</v>
      </c>
      <c r="K34" s="12">
        <f t="shared" si="8"/>
        <v>87.584556901860537</v>
      </c>
      <c r="L34" s="12">
        <f t="shared" si="8"/>
        <v>164.97048895484664</v>
      </c>
      <c r="M34" s="12">
        <f t="shared" si="8"/>
        <v>98.422288210247984</v>
      </c>
      <c r="N34" s="12">
        <f t="shared" si="8"/>
        <v>210.42002648131279</v>
      </c>
      <c r="O34" s="12">
        <f t="shared" si="8"/>
        <v>159.62819613428326</v>
      </c>
      <c r="P34" s="12">
        <f t="shared" si="8"/>
        <v>241.65913047673038</v>
      </c>
      <c r="Q34" s="12">
        <f t="shared" si="8"/>
        <v>110.97438161325479</v>
      </c>
      <c r="R34" s="12">
        <f t="shared" si="8"/>
        <v>298.69165457733391</v>
      </c>
      <c r="S34" s="12">
        <f t="shared" si="8"/>
        <v>289.88950160619493</v>
      </c>
      <c r="T34" s="12">
        <f t="shared" si="8"/>
        <v>151.93619764148482</v>
      </c>
      <c r="U34" s="12">
        <f t="shared" si="8"/>
        <v>133.59819995884524</v>
      </c>
      <c r="V34" s="12">
        <f t="shared" si="8"/>
        <v>155.8090812588531</v>
      </c>
      <c r="W34" s="12">
        <f t="shared" si="8"/>
        <v>125.53878746554095</v>
      </c>
      <c r="X34" s="12">
        <f t="shared" si="8"/>
        <v>24.946947699850689</v>
      </c>
      <c r="Y34" s="12">
        <f t="shared" si="8"/>
        <v>197.90201069046759</v>
      </c>
      <c r="Z34" s="12">
        <f t="shared" si="8"/>
        <v>49.624278342064876</v>
      </c>
      <c r="AA34" s="12">
        <f t="shared" si="8"/>
        <v>1972.0462692987905</v>
      </c>
      <c r="AB34" s="12">
        <f t="shared" si="8"/>
        <v>141.45408031636822</v>
      </c>
      <c r="AC34" s="12">
        <f t="shared" si="8"/>
        <v>175.62243412339194</v>
      </c>
      <c r="AD34" s="12">
        <f t="shared" si="8"/>
        <v>403.30637826951914</v>
      </c>
      <c r="AE34" s="12">
        <f t="shared" si="8"/>
        <v>143.14501755376847</v>
      </c>
      <c r="AF34" s="12">
        <f t="shared" si="8"/>
        <v>34.35823621876051</v>
      </c>
      <c r="AG34" s="12">
        <f t="shared" si="8"/>
        <v>54.892133298098521</v>
      </c>
      <c r="AH34" s="12">
        <f t="shared" si="8"/>
        <v>129.97080593555052</v>
      </c>
      <c r="AI34" s="12">
        <f t="shared" si="8"/>
        <v>199.19019422221399</v>
      </c>
      <c r="AJ34" s="12">
        <f t="shared" si="8"/>
        <v>85.532621551484709</v>
      </c>
      <c r="AK34" s="12">
        <f t="shared" si="8"/>
        <v>204.00661656302569</v>
      </c>
      <c r="AL34" s="12">
        <f t="shared" si="8"/>
        <v>175.59639370457973</v>
      </c>
      <c r="AM34" s="12">
        <f t="shared" si="8"/>
        <v>224.19473000016654</v>
      </c>
      <c r="AN34" s="12">
        <f t="shared" si="8"/>
        <v>234.38130641722447</v>
      </c>
      <c r="AO34" s="12">
        <f t="shared" si="8"/>
        <v>88.995317974666392</v>
      </c>
      <c r="AP34" s="12">
        <f t="shared" si="8"/>
        <v>147.06948719802685</v>
      </c>
      <c r="AQ34" s="12">
        <f t="shared" si="8"/>
        <v>205.29305893229554</v>
      </c>
      <c r="AR34" s="12">
        <f t="shared" si="8"/>
        <v>346.19911857575312</v>
      </c>
      <c r="AS34" s="12">
        <f t="shared" si="8"/>
        <v>180.83473680228266</v>
      </c>
      <c r="AT34" s="12">
        <f t="shared" si="8"/>
        <v>385.56609443864716</v>
      </c>
      <c r="AU34" s="12">
        <f t="shared" si="8"/>
        <v>126.63478514430193</v>
      </c>
      <c r="AV34" s="12">
        <f t="shared" si="8"/>
        <v>201.93961340533889</v>
      </c>
      <c r="AW34" s="12">
        <f t="shared" si="8"/>
        <v>182.99912571510191</v>
      </c>
      <c r="AX34" s="12">
        <f t="shared" si="8"/>
        <v>91.39542993125589</v>
      </c>
      <c r="AY34" s="12">
        <f t="shared" si="8"/>
        <v>152.63224735592763</v>
      </c>
      <c r="AZ34" s="12">
        <f t="shared" si="8"/>
        <v>417.54497413121766</v>
      </c>
      <c r="BA34" s="12">
        <f t="shared" si="8"/>
        <v>187.15514261231476</v>
      </c>
      <c r="BB34" s="12">
        <f t="shared" si="8"/>
        <v>183.79819063665224</v>
      </c>
      <c r="BC34" s="12">
        <f t="shared" si="8"/>
        <v>37.065938353492001</v>
      </c>
      <c r="BD34" s="12">
        <f t="shared" si="8"/>
        <v>165.04217999036379</v>
      </c>
      <c r="BE34" s="12">
        <f t="shared" si="8"/>
        <v>154.22290872215154</v>
      </c>
      <c r="BF34" s="12">
        <f t="shared" si="8"/>
        <v>160.66967841011905</v>
      </c>
      <c r="BG34" s="12">
        <f t="shared" si="8"/>
        <v>112.80105346133347</v>
      </c>
      <c r="BH34" s="12">
        <f t="shared" si="8"/>
        <v>187.30838330611604</v>
      </c>
    </row>
    <row r="35" spans="1:60" x14ac:dyDescent="0.25">
      <c r="A35" s="150" t="s">
        <v>524</v>
      </c>
      <c r="B35" s="139"/>
      <c r="D35" s="12"/>
    </row>
    <row r="36" spans="1:60" x14ac:dyDescent="0.25">
      <c r="B36" s="139"/>
      <c r="D36" s="12"/>
    </row>
    <row r="37" spans="1:60" x14ac:dyDescent="0.25">
      <c r="D37" s="12"/>
    </row>
  </sheetData>
  <pageMargins left="0.25" right="0.25"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5" tint="0.59999389629810485"/>
  </sheetPr>
  <dimension ref="A2:BH40"/>
  <sheetViews>
    <sheetView workbookViewId="0">
      <pane xSplit="4" ySplit="5" topLeftCell="E6" activePane="bottomRight" state="frozen"/>
      <selection pane="topRight" activeCell="E1" sqref="E1"/>
      <selection pane="bottomLeft" activeCell="A12" sqref="A12"/>
      <selection pane="bottomRight" activeCell="E6" sqref="E6"/>
    </sheetView>
  </sheetViews>
  <sheetFormatPr baseColWidth="10" defaultColWidth="11.44140625" defaultRowHeight="13.8" x14ac:dyDescent="0.25"/>
  <cols>
    <col min="1" max="1" width="51.88671875" style="7" customWidth="1"/>
    <col min="2" max="2" width="7.44140625" style="7" customWidth="1"/>
    <col min="3" max="3" width="11.44140625" style="7"/>
    <col min="4" max="4" width="22.88671875" style="7" customWidth="1"/>
    <col min="5" max="60" width="15.6640625" style="7" customWidth="1"/>
    <col min="61" max="16384" width="11.44140625" style="7"/>
  </cols>
  <sheetData>
    <row r="2" spans="1:60" ht="17.399999999999999" x14ac:dyDescent="0.3">
      <c r="A2" s="190" t="s">
        <v>491</v>
      </c>
      <c r="B2" s="190"/>
      <c r="C2" s="190"/>
      <c r="D2" s="190"/>
    </row>
    <row r="4" spans="1:60" x14ac:dyDescent="0.25">
      <c r="A4" s="6" t="s">
        <v>525</v>
      </c>
      <c r="B4" s="139"/>
      <c r="C4" s="29" t="s">
        <v>493</v>
      </c>
      <c r="D4" s="29" t="s">
        <v>494</v>
      </c>
      <c r="E4" s="157">
        <f>'MCH2'!E3</f>
        <v>951</v>
      </c>
      <c r="F4" s="157">
        <f>'MCH2'!F3</f>
        <v>258</v>
      </c>
      <c r="G4" s="157">
        <f>'MCH2'!G3</f>
        <v>471</v>
      </c>
      <c r="H4" s="157">
        <f>'MCH2'!H3</f>
        <v>441</v>
      </c>
      <c r="I4" s="157">
        <f>'MCH2'!I3</f>
        <v>3686</v>
      </c>
      <c r="J4" s="157">
        <f>'MCH2'!J3</f>
        <v>3313</v>
      </c>
      <c r="K4" s="157">
        <f>'MCH2'!K3</f>
        <v>2654</v>
      </c>
      <c r="L4" s="157">
        <f>'MCH2'!L3</f>
        <v>12636</v>
      </c>
      <c r="M4" s="157">
        <f>'MCH2'!M3</f>
        <v>1360</v>
      </c>
      <c r="N4" s="157">
        <f>'MCH2'!N3</f>
        <v>112</v>
      </c>
      <c r="O4" s="157">
        <f>'MCH2'!O3</f>
        <v>7319</v>
      </c>
      <c r="P4" s="157">
        <f>'MCH2'!P3</f>
        <v>522</v>
      </c>
      <c r="Q4" s="157">
        <f>'MCH2'!Q3</f>
        <v>106</v>
      </c>
      <c r="R4" s="157">
        <f>'MCH2'!R3</f>
        <v>425</v>
      </c>
      <c r="S4" s="157">
        <f>'MCH2'!S3</f>
        <v>350</v>
      </c>
      <c r="T4" s="157">
        <f>'MCH2'!T3</f>
        <v>733</v>
      </c>
      <c r="U4" s="157">
        <f>'MCH2'!U3</f>
        <v>270</v>
      </c>
      <c r="V4" s="157">
        <f>'MCH2'!V3</f>
        <v>417</v>
      </c>
      <c r="W4" s="157">
        <f>'MCH2'!W3</f>
        <v>3285</v>
      </c>
      <c r="X4" s="157">
        <f>'MCH2'!X3</f>
        <v>308</v>
      </c>
      <c r="Y4" s="157">
        <f>'MCH2'!Y3</f>
        <v>1258</v>
      </c>
      <c r="Z4" s="157">
        <f>'MCH2'!Z3</f>
        <v>1524</v>
      </c>
      <c r="AA4" s="157">
        <f>'MCH2'!AA3</f>
        <v>87</v>
      </c>
      <c r="AB4" s="157">
        <f>'MCH2'!AB3</f>
        <v>156</v>
      </c>
      <c r="AC4" s="157">
        <f>'MCH2'!AC3</f>
        <v>510</v>
      </c>
      <c r="AD4" s="157">
        <f>'MCH2'!AD3</f>
        <v>705</v>
      </c>
      <c r="AE4" s="157">
        <f>'MCH2'!AE3</f>
        <v>551</v>
      </c>
      <c r="AF4" s="157">
        <f>'MCH2'!AF3</f>
        <v>511</v>
      </c>
      <c r="AG4" s="157">
        <f>'MCH2'!AG3</f>
        <v>1902</v>
      </c>
      <c r="AH4" s="157">
        <f>'MCH2'!AH3</f>
        <v>2575</v>
      </c>
      <c r="AI4" s="157">
        <f>'MCH2'!AI3</f>
        <v>228</v>
      </c>
      <c r="AJ4" s="157">
        <f>'MCH2'!AJ3</f>
        <v>118</v>
      </c>
      <c r="AK4" s="157">
        <f>'MCH2'!AK3</f>
        <v>1882</v>
      </c>
      <c r="AL4" s="157">
        <f>'MCH2'!AL3</f>
        <v>1114</v>
      </c>
      <c r="AM4" s="157">
        <f>'MCH2'!AM3</f>
        <v>1217</v>
      </c>
      <c r="AN4" s="157">
        <f>'MCH2'!AN3</f>
        <v>117</v>
      </c>
      <c r="AO4" s="157">
        <f>'MCH2'!AO3</f>
        <v>1205</v>
      </c>
      <c r="AP4" s="157">
        <f>'MCH2'!AP3</f>
        <v>625</v>
      </c>
      <c r="AQ4" s="157">
        <f>'MCH2'!AQ3</f>
        <v>631</v>
      </c>
      <c r="AR4" s="157">
        <f>'MCH2'!AR3</f>
        <v>1275</v>
      </c>
      <c r="AS4" s="157">
        <f>'MCH2'!AS3</f>
        <v>718</v>
      </c>
      <c r="AT4" s="157">
        <f>'MCH2'!AT3</f>
        <v>1018</v>
      </c>
      <c r="AU4" s="157">
        <f>'MCH2'!AU3</f>
        <v>293</v>
      </c>
      <c r="AV4" s="157">
        <f>'MCH2'!AV3</f>
        <v>2435</v>
      </c>
      <c r="AW4" s="157">
        <f>'MCH2'!AW3</f>
        <v>786</v>
      </c>
      <c r="AX4" s="157">
        <f>'MCH2'!AX3</f>
        <v>184</v>
      </c>
      <c r="AY4" s="157">
        <f>'MCH2'!AY3</f>
        <v>333</v>
      </c>
      <c r="AZ4" s="157">
        <f>'MCH2'!AZ3</f>
        <v>1674</v>
      </c>
      <c r="BA4" s="157">
        <f>'MCH2'!BA3</f>
        <v>391</v>
      </c>
      <c r="BB4" s="157">
        <f>'MCH2'!BB3</f>
        <v>1052</v>
      </c>
      <c r="BC4" s="157">
        <f>'MCH2'!BC3</f>
        <v>186</v>
      </c>
      <c r="BD4" s="157">
        <f>'MCH2'!BD3</f>
        <v>6441</v>
      </c>
      <c r="BE4" s="157">
        <f>'MCH2'!BE3</f>
        <v>546</v>
      </c>
      <c r="BF4" s="156">
        <f>'MCH2'!BG3</f>
        <v>39309</v>
      </c>
      <c r="BG4" s="156">
        <f>'MCH2'!BH3</f>
        <v>10433</v>
      </c>
      <c r="BH4" s="156">
        <f>'MCH2'!BI3</f>
        <v>24123</v>
      </c>
    </row>
    <row r="5" spans="1:60" x14ac:dyDescent="0.25">
      <c r="B5" s="139"/>
      <c r="E5" s="81" t="s">
        <v>56</v>
      </c>
      <c r="F5" s="81" t="s">
        <v>18</v>
      </c>
      <c r="G5" s="81" t="s">
        <v>57</v>
      </c>
      <c r="H5" s="81" t="s">
        <v>53</v>
      </c>
      <c r="I5" s="81" t="s">
        <v>33</v>
      </c>
      <c r="J5" s="81" t="s">
        <v>10</v>
      </c>
      <c r="K5" s="81" t="s">
        <v>15</v>
      </c>
      <c r="L5" s="81" t="s">
        <v>28</v>
      </c>
      <c r="M5" s="81" t="s">
        <v>42</v>
      </c>
      <c r="N5" s="81" t="s">
        <v>23</v>
      </c>
      <c r="O5" s="81" t="s">
        <v>22</v>
      </c>
      <c r="P5" s="81" t="s">
        <v>13</v>
      </c>
      <c r="Q5" s="81" t="s">
        <v>17</v>
      </c>
      <c r="R5" s="81" t="s">
        <v>43</v>
      </c>
      <c r="S5" s="81" t="s">
        <v>40</v>
      </c>
      <c r="T5" s="81" t="s">
        <v>31</v>
      </c>
      <c r="U5" s="81" t="s">
        <v>12</v>
      </c>
      <c r="V5" s="81" t="s">
        <v>59</v>
      </c>
      <c r="W5" s="81" t="s">
        <v>27</v>
      </c>
      <c r="X5" s="81" t="s">
        <v>30</v>
      </c>
      <c r="Y5" s="81" t="s">
        <v>20</v>
      </c>
      <c r="Z5" s="81" t="s">
        <v>45</v>
      </c>
      <c r="AA5" s="81" t="s">
        <v>71</v>
      </c>
      <c r="AB5" s="81" t="s">
        <v>39</v>
      </c>
      <c r="AC5" s="81" t="s">
        <v>19</v>
      </c>
      <c r="AD5" s="81" t="s">
        <v>41</v>
      </c>
      <c r="AE5" s="81" t="s">
        <v>36</v>
      </c>
      <c r="AF5" s="81" t="s">
        <v>7</v>
      </c>
      <c r="AG5" s="81" t="s">
        <v>55</v>
      </c>
      <c r="AH5" s="81" t="s">
        <v>21</v>
      </c>
      <c r="AI5" s="81" t="s">
        <v>6</v>
      </c>
      <c r="AJ5" s="81" t="s">
        <v>34</v>
      </c>
      <c r="AK5" s="81" t="s">
        <v>52</v>
      </c>
      <c r="AL5" s="81" t="s">
        <v>14</v>
      </c>
      <c r="AM5" s="81" t="s">
        <v>32</v>
      </c>
      <c r="AN5" s="81" t="s">
        <v>29</v>
      </c>
      <c r="AO5" s="81" t="s">
        <v>26</v>
      </c>
      <c r="AP5" s="81" t="s">
        <v>48</v>
      </c>
      <c r="AQ5" s="81" t="s">
        <v>44</v>
      </c>
      <c r="AR5" s="81" t="s">
        <v>37</v>
      </c>
      <c r="AS5" s="81" t="s">
        <v>51</v>
      </c>
      <c r="AT5" s="81" t="s">
        <v>8</v>
      </c>
      <c r="AU5" s="81" t="s">
        <v>24</v>
      </c>
      <c r="AV5" s="81" t="s">
        <v>9</v>
      </c>
      <c r="AW5" s="81" t="s">
        <v>62</v>
      </c>
      <c r="AX5" s="81" t="s">
        <v>46</v>
      </c>
      <c r="AY5" s="81" t="s">
        <v>35</v>
      </c>
      <c r="AZ5" s="81" t="s">
        <v>49</v>
      </c>
      <c r="BA5" s="81" t="s">
        <v>47</v>
      </c>
      <c r="BB5" s="81" t="s">
        <v>58</v>
      </c>
      <c r="BC5" s="81" t="s">
        <v>50</v>
      </c>
      <c r="BD5" s="81" t="s">
        <v>16</v>
      </c>
      <c r="BE5" s="81" t="s">
        <v>25</v>
      </c>
      <c r="BF5" s="81" t="s">
        <v>28</v>
      </c>
      <c r="BG5" s="81" t="s">
        <v>64</v>
      </c>
      <c r="BH5" s="81" t="s">
        <v>16</v>
      </c>
    </row>
    <row r="6" spans="1:60" x14ac:dyDescent="0.25">
      <c r="A6" s="6" t="s">
        <v>849</v>
      </c>
      <c r="B6" s="97"/>
      <c r="C6" s="7">
        <v>690</v>
      </c>
      <c r="D6" s="75">
        <f>'Base de données indicateurs1'!BF59</f>
        <v>58141471.820000008</v>
      </c>
      <c r="E6" s="12">
        <f>'Base de données indicateurs1'!E59</f>
        <v>371702.39</v>
      </c>
      <c r="F6" s="12">
        <f>'Base de données indicateurs1'!F59</f>
        <v>28081.5</v>
      </c>
      <c r="G6" s="12">
        <f>'Base de données indicateurs1'!G59</f>
        <v>242182.39999999999</v>
      </c>
      <c r="H6" s="12">
        <f>'Base de données indicateurs1'!H59</f>
        <v>62259.15</v>
      </c>
      <c r="I6" s="12">
        <f>'Base de données indicateurs1'!I59</f>
        <v>2378465.62</v>
      </c>
      <c r="J6" s="12">
        <f>'Base de données indicateurs1'!J59</f>
        <v>2202642.27</v>
      </c>
      <c r="K6" s="12">
        <f>'Base de données indicateurs1'!K59</f>
        <v>979069.46</v>
      </c>
      <c r="L6" s="12">
        <f>'Base de données indicateurs1'!L59</f>
        <v>12017308.6</v>
      </c>
      <c r="M6" s="12">
        <f>'Base de données indicateurs1'!M59</f>
        <v>1910906.37</v>
      </c>
      <c r="N6" s="12">
        <f>'Base de données indicateurs1'!N59</f>
        <v>41267.75</v>
      </c>
      <c r="O6" s="12">
        <f>'Base de données indicateurs1'!O59</f>
        <v>5431484.6500000004</v>
      </c>
      <c r="P6" s="12">
        <f>'Base de données indicateurs1'!P59</f>
        <v>50979.71</v>
      </c>
      <c r="Q6" s="12">
        <f>'Base de données indicateurs1'!Q59</f>
        <v>2188.15</v>
      </c>
      <c r="R6" s="12">
        <f>'Base de données indicateurs1'!R59</f>
        <v>43432.21</v>
      </c>
      <c r="S6" s="12">
        <f>'Base de données indicateurs1'!S59</f>
        <v>209.25</v>
      </c>
      <c r="T6" s="12">
        <f>'Base de données indicateurs1'!T59</f>
        <v>198621.2</v>
      </c>
      <c r="U6" s="12">
        <f>'Base de données indicateurs1'!U59</f>
        <v>112192.75</v>
      </c>
      <c r="V6" s="12">
        <f>'Base de données indicateurs1'!V59</f>
        <v>65376</v>
      </c>
      <c r="W6" s="12">
        <f>'Base de données indicateurs1'!W59</f>
        <v>4915498.45</v>
      </c>
      <c r="X6" s="12">
        <f>'Base de données indicateurs1'!X59</f>
        <v>331568.45</v>
      </c>
      <c r="Y6" s="12">
        <f>'Base de données indicateurs1'!Y59</f>
        <v>568913.5</v>
      </c>
      <c r="Z6" s="12">
        <f>'Base de données indicateurs1'!Z59</f>
        <v>356335.8</v>
      </c>
      <c r="AA6" s="12">
        <f>'Base de données indicateurs1'!AA59</f>
        <v>339692.7</v>
      </c>
      <c r="AB6" s="12">
        <f>'Base de données indicateurs1'!AB59</f>
        <v>178259.75</v>
      </c>
      <c r="AC6" s="12">
        <f>'Base de données indicateurs1'!AC59</f>
        <v>373782</v>
      </c>
      <c r="AD6" s="12">
        <f>'Base de données indicateurs1'!AD59</f>
        <v>1534075.49</v>
      </c>
      <c r="AE6" s="12">
        <f>'Base de données indicateurs1'!AE59</f>
        <v>482944.8</v>
      </c>
      <c r="AF6" s="12">
        <f>'Base de données indicateurs1'!AF59</f>
        <v>606075.91</v>
      </c>
      <c r="AG6" s="12">
        <f>'Base de données indicateurs1'!AG59</f>
        <v>830847.02</v>
      </c>
      <c r="AH6" s="12">
        <f>'Base de données indicateurs1'!AH59</f>
        <v>1171479.83</v>
      </c>
      <c r="AI6" s="12">
        <f>'Base de données indicateurs1'!AI59</f>
        <v>25468.85</v>
      </c>
      <c r="AJ6" s="12">
        <f>'Base de données indicateurs1'!AJ59</f>
        <v>66722.850000000006</v>
      </c>
      <c r="AK6" s="12">
        <f>'Base de données indicateurs1'!AK59</f>
        <v>723238.84</v>
      </c>
      <c r="AL6" s="12">
        <f>'Base de données indicateurs1'!AL59</f>
        <v>248880.85</v>
      </c>
      <c r="AM6" s="12">
        <f>'Base de données indicateurs1'!AM59</f>
        <v>463854.36</v>
      </c>
      <c r="AN6" s="12">
        <f>'Base de données indicateurs1'!AN59</f>
        <v>19656.5</v>
      </c>
      <c r="AO6" s="12">
        <f>'Base de données indicateurs1'!AO59</f>
        <v>1528389.06</v>
      </c>
      <c r="AP6" s="12">
        <f>'Base de données indicateurs1'!AP59</f>
        <v>334781.95</v>
      </c>
      <c r="AQ6" s="12">
        <f>'Base de données indicateurs1'!AQ59</f>
        <v>1123724.8</v>
      </c>
      <c r="AR6" s="12">
        <f>'Base de données indicateurs1'!AR59</f>
        <v>1965475.15</v>
      </c>
      <c r="AS6" s="12">
        <f>'Base de données indicateurs1'!AS59</f>
        <v>152819.9</v>
      </c>
      <c r="AT6" s="12">
        <f>'Base de données indicateurs1'!AT59</f>
        <v>1040598.75</v>
      </c>
      <c r="AU6" s="12">
        <f>'Base de données indicateurs1'!AU59</f>
        <v>177717.8</v>
      </c>
      <c r="AV6" s="12">
        <f>'Base de données indicateurs1'!AV59</f>
        <v>2134973.85</v>
      </c>
      <c r="AW6" s="12">
        <f>'Base de données indicateurs1'!AW59</f>
        <v>344279.7</v>
      </c>
      <c r="AX6" s="12">
        <f>'Base de données indicateurs1'!AX59</f>
        <v>0</v>
      </c>
      <c r="AY6" s="12">
        <f>'Base de données indicateurs1'!AY59</f>
        <v>84585.35</v>
      </c>
      <c r="AZ6" s="12">
        <f>'Base de données indicateurs1'!AZ59</f>
        <v>264388.7</v>
      </c>
      <c r="BA6" s="12">
        <f>'Base de données indicateurs1'!BA59</f>
        <v>1181638.93</v>
      </c>
      <c r="BB6" s="12">
        <f>'Base de données indicateurs1'!BB59</f>
        <v>944192.91</v>
      </c>
      <c r="BC6" s="12">
        <f>'Base de données indicateurs1'!BC59</f>
        <v>469551.45</v>
      </c>
      <c r="BD6" s="12">
        <f>'Base de données indicateurs1'!BD59</f>
        <v>6984682.2400000002</v>
      </c>
      <c r="BE6" s="12">
        <f>'Base de données indicateurs1'!BE59</f>
        <v>34005.9</v>
      </c>
      <c r="BF6" s="12">
        <f>SUM(E6:W6)</f>
        <v>31053867.880000003</v>
      </c>
      <c r="BG6" s="12">
        <f>SUM(X6:AJ6)</f>
        <v>6866166.9499999993</v>
      </c>
      <c r="BH6" s="12">
        <f>SUM(AK6:BE6)</f>
        <v>20221436.989999995</v>
      </c>
    </row>
    <row r="7" spans="1:60" x14ac:dyDescent="0.25">
      <c r="B7" s="146"/>
      <c r="D7" s="12"/>
      <c r="BF7" s="12"/>
      <c r="BG7" s="12"/>
      <c r="BH7" s="12"/>
    </row>
    <row r="8" spans="1:60" x14ac:dyDescent="0.25">
      <c r="A8" s="140" t="s">
        <v>275</v>
      </c>
      <c r="B8" s="141" t="s">
        <v>224</v>
      </c>
      <c r="C8" s="140">
        <v>30</v>
      </c>
      <c r="D8" s="142">
        <f>'Base de données indicateurs1'!BF18</f>
        <v>72750464.63000001</v>
      </c>
      <c r="E8" s="12">
        <f>'Base de données indicateurs1'!E18</f>
        <v>474056.55</v>
      </c>
      <c r="F8" s="12">
        <f>'Base de données indicateurs1'!F18</f>
        <v>55628.95</v>
      </c>
      <c r="G8" s="12">
        <f>'Base de données indicateurs1'!G18</f>
        <v>130298.9</v>
      </c>
      <c r="H8" s="12">
        <f>'Base de données indicateurs1'!H18</f>
        <v>307735.59999999998</v>
      </c>
      <c r="I8" s="12">
        <f>'Base de données indicateurs1'!I18</f>
        <v>2761930</v>
      </c>
      <c r="J8" s="12">
        <f>'Base de données indicateurs1'!J18</f>
        <v>3005501.54</v>
      </c>
      <c r="K8" s="12">
        <f>'Base de données indicateurs1'!K18</f>
        <v>1153633.3</v>
      </c>
      <c r="L8" s="12">
        <f>'Base de données indicateurs1'!L18</f>
        <v>24870275.210000001</v>
      </c>
      <c r="M8" s="12">
        <f>'Base de données indicateurs1'!M18</f>
        <v>1252476.42</v>
      </c>
      <c r="N8" s="12">
        <f>'Base de données indicateurs1'!N18</f>
        <v>61533.25</v>
      </c>
      <c r="O8" s="12">
        <f>'Base de données indicateurs1'!O18</f>
        <v>3779159.4</v>
      </c>
      <c r="P8" s="12">
        <f>'Base de données indicateurs1'!P18</f>
        <v>191539.65</v>
      </c>
      <c r="Q8" s="12">
        <f>'Base de données indicateurs1'!Q18</f>
        <v>78863.78</v>
      </c>
      <c r="R8" s="12">
        <f>'Base de données indicateurs1'!R18</f>
        <v>242074.45</v>
      </c>
      <c r="S8" s="12">
        <f>'Base de données indicateurs1'!S18</f>
        <v>176816.75</v>
      </c>
      <c r="T8" s="12">
        <f>'Base de données indicateurs1'!T18</f>
        <v>293823.65000000002</v>
      </c>
      <c r="U8" s="12">
        <f>'Base de données indicateurs1'!U18</f>
        <v>115826.05</v>
      </c>
      <c r="V8" s="12">
        <f>'Base de données indicateurs1'!V18</f>
        <v>323054.7</v>
      </c>
      <c r="W8" s="12">
        <f>'Base de données indicateurs1'!W18</f>
        <v>2360794.85</v>
      </c>
      <c r="X8" s="12">
        <f>'Base de données indicateurs1'!X18</f>
        <v>124965.4</v>
      </c>
      <c r="Y8" s="12">
        <f>'Base de données indicateurs1'!Y18</f>
        <v>1549985.3</v>
      </c>
      <c r="Z8" s="12">
        <f>'Base de données indicateurs1'!Z18</f>
        <v>1861815.14</v>
      </c>
      <c r="AA8" s="12">
        <f>'Base de données indicateurs1'!AA18</f>
        <v>83270.2</v>
      </c>
      <c r="AB8" s="12">
        <f>'Base de données indicateurs1'!AB18</f>
        <v>69118.75</v>
      </c>
      <c r="AC8" s="12">
        <f>'Base de données indicateurs1'!AC18</f>
        <v>397982.8</v>
      </c>
      <c r="AD8" s="12">
        <f>'Base de données indicateurs1'!AD18</f>
        <v>544459.31999999995</v>
      </c>
      <c r="AE8" s="12">
        <f>'Base de données indicateurs1'!AE18</f>
        <v>467033.55</v>
      </c>
      <c r="AF8" s="12">
        <f>'Base de données indicateurs1'!AF18</f>
        <v>393652.95</v>
      </c>
      <c r="AG8" s="12">
        <f>'Base de données indicateurs1'!AG18</f>
        <v>1109297.95</v>
      </c>
      <c r="AH8" s="12">
        <f>'Base de données indicateurs1'!AH18</f>
        <v>1867747.2</v>
      </c>
      <c r="AI8" s="12">
        <f>'Base de données indicateurs1'!AI18</f>
        <v>109215</v>
      </c>
      <c r="AJ8" s="12">
        <f>'Base de données indicateurs1'!AJ18</f>
        <v>64369.8</v>
      </c>
      <c r="AK8" s="12">
        <f>'Base de données indicateurs1'!AK18</f>
        <v>768568.5</v>
      </c>
      <c r="AL8" s="12">
        <f>'Base de données indicateurs1'!AL18</f>
        <v>666116.69999999995</v>
      </c>
      <c r="AM8" s="12">
        <f>'Base de données indicateurs1'!AM18</f>
        <v>498553.9</v>
      </c>
      <c r="AN8" s="12">
        <f>'Base de données indicateurs1'!AN18</f>
        <v>72884.070000000007</v>
      </c>
      <c r="AO8" s="12">
        <f>'Base de données indicateurs1'!AO18</f>
        <v>1428655.11</v>
      </c>
      <c r="AP8" s="12">
        <f>'Base de données indicateurs1'!AP18</f>
        <v>852696.75</v>
      </c>
      <c r="AQ8" s="12">
        <f>'Base de données indicateurs1'!AQ18</f>
        <v>233339</v>
      </c>
      <c r="AR8" s="12">
        <f>'Base de données indicateurs1'!AR18</f>
        <v>1252086.5900000001</v>
      </c>
      <c r="AS8" s="12">
        <f>'Base de données indicateurs1'!AS18</f>
        <v>424569.59999999998</v>
      </c>
      <c r="AT8" s="12">
        <f>'Base de données indicateurs1'!AT18</f>
        <v>522131.95</v>
      </c>
      <c r="AU8" s="12">
        <f>'Base de données indicateurs1'!AU18</f>
        <v>114398.2</v>
      </c>
      <c r="AV8" s="12">
        <f>'Base de données indicateurs1'!AV18</f>
        <v>995464.18</v>
      </c>
      <c r="AW8" s="12">
        <f>'Base de données indicateurs1'!AW18</f>
        <v>479998.18</v>
      </c>
      <c r="AX8" s="12">
        <f>'Base de données indicateurs1'!AX18</f>
        <v>78025.460000000006</v>
      </c>
      <c r="AY8" s="12">
        <f>'Base de données indicateurs1'!AY18</f>
        <v>153869.65</v>
      </c>
      <c r="AZ8" s="12">
        <f>'Base de données indicateurs1'!AZ18</f>
        <v>864110.75</v>
      </c>
      <c r="BA8" s="12">
        <f>'Base de données indicateurs1'!BA18</f>
        <v>138835.81</v>
      </c>
      <c r="BB8" s="12">
        <f>'Base de données indicateurs1'!BB18</f>
        <v>1314191</v>
      </c>
      <c r="BC8" s="12">
        <f>'Base de données indicateurs1'!BC18</f>
        <v>79962.64</v>
      </c>
      <c r="BD8" s="12">
        <f>'Base de données indicateurs1'!BD18</f>
        <v>11212954.529999999</v>
      </c>
      <c r="BE8" s="12">
        <f>'Base de données indicateurs1'!BE18</f>
        <v>321115.7</v>
      </c>
      <c r="BF8" s="12">
        <f t="shared" ref="BF8:BF35" si="0">SUM(E8:W8)</f>
        <v>41635023</v>
      </c>
      <c r="BG8" s="12">
        <f t="shared" ref="BG8:BG35" si="1">SUM(X8:AJ8)</f>
        <v>8642913.3600000013</v>
      </c>
      <c r="BH8" s="12">
        <f t="shared" ref="BH8:BH35" si="2">SUM(AK8:BE8)</f>
        <v>22472528.27</v>
      </c>
    </row>
    <row r="9" spans="1:60" x14ac:dyDescent="0.25">
      <c r="A9" s="143" t="s">
        <v>526</v>
      </c>
      <c r="B9" s="144" t="s">
        <v>224</v>
      </c>
      <c r="C9" s="143">
        <v>31</v>
      </c>
      <c r="D9" s="145">
        <f>'Base de données indicateurs1'!BF19</f>
        <v>86998082.780000001</v>
      </c>
      <c r="E9" s="12">
        <f>'Base de données indicateurs1'!E19</f>
        <v>583887.39</v>
      </c>
      <c r="F9" s="12">
        <f>'Base de données indicateurs1'!F19</f>
        <v>229366.63</v>
      </c>
      <c r="G9" s="12">
        <f>'Base de données indicateurs1'!G19</f>
        <v>283655.17</v>
      </c>
      <c r="H9" s="12">
        <f>'Base de données indicateurs1'!H19</f>
        <v>418572.44</v>
      </c>
      <c r="I9" s="12">
        <f>'Base de données indicateurs1'!I19</f>
        <v>3969854</v>
      </c>
      <c r="J9" s="12">
        <f>'Base de données indicateurs1'!J19</f>
        <v>3095150.99</v>
      </c>
      <c r="K9" s="12">
        <f>'Base de données indicateurs1'!K19</f>
        <v>1907924.19</v>
      </c>
      <c r="L9" s="12">
        <f>'Base de données indicateurs1'!L19</f>
        <v>28949575.649999999</v>
      </c>
      <c r="M9" s="12">
        <f>'Base de données indicateurs1'!M19</f>
        <v>2221486.86</v>
      </c>
      <c r="N9" s="12">
        <f>'Base de données indicateurs1'!N19</f>
        <v>96509.63</v>
      </c>
      <c r="O9" s="12">
        <f>'Base de données indicateurs1'!O19</f>
        <v>4114124.04</v>
      </c>
      <c r="P9" s="12">
        <f>'Base de données indicateurs1'!P19</f>
        <v>449768.12</v>
      </c>
      <c r="Q9" s="12">
        <f>'Base de données indicateurs1'!Q19</f>
        <v>57746.6</v>
      </c>
      <c r="R9" s="12">
        <f>'Base de données indicateurs1'!R19</f>
        <v>283596.81</v>
      </c>
      <c r="S9" s="12">
        <f>'Base de données indicateurs1'!S19</f>
        <v>386778.97</v>
      </c>
      <c r="T9" s="12">
        <f>'Base de données indicateurs1'!T19</f>
        <v>738373.73</v>
      </c>
      <c r="U9" s="12">
        <f>'Base de données indicateurs1'!U19</f>
        <v>226651.27</v>
      </c>
      <c r="V9" s="12">
        <f>'Base de données indicateurs1'!V19</f>
        <v>549811.06999999995</v>
      </c>
      <c r="W9" s="12">
        <f>'Base de données indicateurs1'!W19</f>
        <v>1780577.45</v>
      </c>
      <c r="X9" s="12">
        <f>'Base de données indicateurs1'!X19</f>
        <v>530833.68999999994</v>
      </c>
      <c r="Y9" s="12">
        <f>'Base de données indicateurs1'!Y19</f>
        <v>1253524.82</v>
      </c>
      <c r="Z9" s="12">
        <f>'Base de données indicateurs1'!Z19</f>
        <v>2645426.5699999998</v>
      </c>
      <c r="AA9" s="12">
        <f>'Base de données indicateurs1'!AA19</f>
        <v>123871.39</v>
      </c>
      <c r="AB9" s="12">
        <f>'Base de données indicateurs1'!AB19</f>
        <v>253073.87</v>
      </c>
      <c r="AC9" s="12">
        <f>'Base de données indicateurs1'!AC19</f>
        <v>726889.3</v>
      </c>
      <c r="AD9" s="12">
        <f>'Base de données indicateurs1'!AD19</f>
        <v>844612.26</v>
      </c>
      <c r="AE9" s="12">
        <f>'Base de données indicateurs1'!AE19</f>
        <v>961393.15</v>
      </c>
      <c r="AF9" s="12">
        <f>'Base de données indicateurs1'!AF19</f>
        <v>1008013.94</v>
      </c>
      <c r="AG9" s="12">
        <f>'Base de données indicateurs1'!AG19</f>
        <v>1924341.44</v>
      </c>
      <c r="AH9" s="12">
        <f>'Base de données indicateurs1'!AH19</f>
        <v>2789559.55</v>
      </c>
      <c r="AI9" s="12">
        <f>'Base de données indicateurs1'!AI19</f>
        <v>318646</v>
      </c>
      <c r="AJ9" s="12">
        <f>'Base de données indicateurs1'!AJ19</f>
        <v>190080.83</v>
      </c>
      <c r="AK9" s="12">
        <f>'Base de données indicateurs1'!AK19</f>
        <v>1257492.74</v>
      </c>
      <c r="AL9" s="12">
        <f>'Base de données indicateurs1'!AL19</f>
        <v>1302141</v>
      </c>
      <c r="AM9" s="12">
        <f>'Base de données indicateurs1'!AM19</f>
        <v>1198158.21</v>
      </c>
      <c r="AN9" s="12">
        <f>'Base de données indicateurs1'!AN19</f>
        <v>199874.65</v>
      </c>
      <c r="AO9" s="12">
        <f>'Base de données indicateurs1'!AO19</f>
        <v>1922502.94</v>
      </c>
      <c r="AP9" s="12">
        <f>'Base de données indicateurs1'!AP19</f>
        <v>638195.15</v>
      </c>
      <c r="AQ9" s="12">
        <f>'Base de données indicateurs1'!AQ19</f>
        <v>480073</v>
      </c>
      <c r="AR9" s="12">
        <f>'Base de données indicateurs1'!AR19</f>
        <v>1502327.81</v>
      </c>
      <c r="AS9" s="12">
        <f>'Base de données indicateurs1'!AS19</f>
        <v>582798.81000000006</v>
      </c>
      <c r="AT9" s="12">
        <f>'Base de données indicateurs1'!AT19</f>
        <v>810987.21</v>
      </c>
      <c r="AU9" s="12">
        <f>'Base de données indicateurs1'!AU19</f>
        <v>381608.52</v>
      </c>
      <c r="AV9" s="12">
        <f>'Base de données indicateurs1'!AV19</f>
        <v>1568985.1</v>
      </c>
      <c r="AW9" s="12">
        <f>'Base de données indicateurs1'!AW19</f>
        <v>585897.68000000005</v>
      </c>
      <c r="AX9" s="12">
        <f>'Base de données indicateurs1'!AX19</f>
        <v>172977.77</v>
      </c>
      <c r="AY9" s="12">
        <f>'Base de données indicateurs1'!AY19</f>
        <v>325987.86</v>
      </c>
      <c r="AZ9" s="12">
        <f>'Base de données indicateurs1'!AZ19</f>
        <v>1223041.23</v>
      </c>
      <c r="BA9" s="12">
        <f>'Base de données indicateurs1'!BA19</f>
        <v>298548.14</v>
      </c>
      <c r="BB9" s="12">
        <f>'Base de données indicateurs1'!BB19</f>
        <v>1044762</v>
      </c>
      <c r="BC9" s="12">
        <f>'Base de données indicateurs1'!BC19</f>
        <v>133647.04000000001</v>
      </c>
      <c r="BD9" s="12">
        <f>'Base de données indicateurs1'!BD19</f>
        <v>6892798.3700000001</v>
      </c>
      <c r="BE9" s="12">
        <f>'Base de données indicateurs1'!BE19</f>
        <v>561599.73</v>
      </c>
      <c r="BF9" s="12">
        <f t="shared" si="0"/>
        <v>50343411.010000005</v>
      </c>
      <c r="BG9" s="12">
        <f t="shared" si="1"/>
        <v>13570266.810000001</v>
      </c>
      <c r="BH9" s="12">
        <f t="shared" si="2"/>
        <v>23084404.959999997</v>
      </c>
    </row>
    <row r="10" spans="1:60" x14ac:dyDescent="0.25">
      <c r="A10" s="143" t="s">
        <v>278</v>
      </c>
      <c r="B10" s="144" t="s">
        <v>225</v>
      </c>
      <c r="C10" s="143">
        <v>3180</v>
      </c>
      <c r="D10" s="145">
        <f>'Base de données indicateurs1'!BF20</f>
        <v>790120.84999999974</v>
      </c>
      <c r="E10" s="12">
        <f>'Base de données indicateurs1'!E20</f>
        <v>0</v>
      </c>
      <c r="F10" s="12">
        <f>'Base de données indicateurs1'!F20</f>
        <v>2692.06</v>
      </c>
      <c r="G10" s="12">
        <f>'Base de données indicateurs1'!G20</f>
        <v>0</v>
      </c>
      <c r="H10" s="12">
        <f>'Base de données indicateurs1'!H20</f>
        <v>15620.9</v>
      </c>
      <c r="I10" s="12">
        <f>'Base de données indicateurs1'!I20</f>
        <v>187709</v>
      </c>
      <c r="J10" s="12">
        <f>'Base de données indicateurs1'!J20</f>
        <v>44000</v>
      </c>
      <c r="K10" s="12">
        <f>'Base de données indicateurs1'!K20</f>
        <v>18581.53</v>
      </c>
      <c r="L10" s="12">
        <f>'Base de données indicateurs1'!L20</f>
        <v>81600</v>
      </c>
      <c r="M10" s="12">
        <f>'Base de données indicateurs1'!M20</f>
        <v>-62631.44</v>
      </c>
      <c r="N10" s="12">
        <f>'Base de données indicateurs1'!N20</f>
        <v>220.12</v>
      </c>
      <c r="O10" s="12">
        <f>'Base de données indicateurs1'!O20</f>
        <v>-5525.2</v>
      </c>
      <c r="P10" s="12">
        <f>'Base de données indicateurs1'!P20</f>
        <v>0</v>
      </c>
      <c r="Q10" s="12">
        <f>'Base de données indicateurs1'!Q20</f>
        <v>0</v>
      </c>
      <c r="R10" s="12">
        <f>'Base de données indicateurs1'!R20</f>
        <v>24954</v>
      </c>
      <c r="S10" s="12">
        <f>'Base de données indicateurs1'!S20</f>
        <v>8047.83</v>
      </c>
      <c r="T10" s="12">
        <f>'Base de données indicateurs1'!T20</f>
        <v>25714.14</v>
      </c>
      <c r="U10" s="12">
        <f>'Base de données indicateurs1'!U20</f>
        <v>14019.23</v>
      </c>
      <c r="V10" s="12">
        <f>'Base de données indicateurs1'!V20</f>
        <v>16039.05</v>
      </c>
      <c r="W10" s="12">
        <f>'Base de données indicateurs1'!W20</f>
        <v>-39543.160000000003</v>
      </c>
      <c r="X10" s="12">
        <f>'Base de données indicateurs1'!X20</f>
        <v>2557.1799999999998</v>
      </c>
      <c r="Y10" s="12">
        <f>'Base de données indicateurs1'!Y20</f>
        <v>47344.87</v>
      </c>
      <c r="Z10" s="12">
        <f>'Base de données indicateurs1'!Z20</f>
        <v>-6549.78</v>
      </c>
      <c r="AA10" s="12">
        <f>'Base de données indicateurs1'!AA20</f>
        <v>0</v>
      </c>
      <c r="AB10" s="12">
        <f>'Base de données indicateurs1'!AB20</f>
        <v>-1020.3</v>
      </c>
      <c r="AC10" s="12">
        <f>'Base de données indicateurs1'!AC20</f>
        <v>-15590</v>
      </c>
      <c r="AD10" s="12">
        <f>'Base de données indicateurs1'!AD20</f>
        <v>-11350</v>
      </c>
      <c r="AE10" s="12">
        <f>'Base de données indicateurs1'!AE20</f>
        <v>0</v>
      </c>
      <c r="AF10" s="12">
        <f>'Base de données indicateurs1'!AF20</f>
        <v>0</v>
      </c>
      <c r="AG10" s="12">
        <f>'Base de données indicateurs1'!AG20</f>
        <v>8840</v>
      </c>
      <c r="AH10" s="12">
        <f>'Base de données indicateurs1'!AH20</f>
        <v>6568.23</v>
      </c>
      <c r="AI10" s="12">
        <f>'Base de données indicateurs1'!AI20</f>
        <v>0</v>
      </c>
      <c r="AJ10" s="12">
        <f>'Base de données indicateurs1'!AJ20</f>
        <v>1252.95</v>
      </c>
      <c r="AK10" s="12">
        <f>'Base de données indicateurs1'!AK20</f>
        <v>7811.84</v>
      </c>
      <c r="AL10" s="12">
        <f>'Base de données indicateurs1'!AL20</f>
        <v>64795</v>
      </c>
      <c r="AM10" s="12">
        <f>'Base de données indicateurs1'!AM20</f>
        <v>-9565.39</v>
      </c>
      <c r="AN10" s="12">
        <f>'Base de données indicateurs1'!AN20</f>
        <v>58191.57</v>
      </c>
      <c r="AO10" s="12">
        <f>'Base de données indicateurs1'!AO20</f>
        <v>16523.66</v>
      </c>
      <c r="AP10" s="12">
        <f>'Base de données indicateurs1'!AP20</f>
        <v>4555.8500000000004</v>
      </c>
      <c r="AQ10" s="12">
        <f>'Base de données indicateurs1'!AQ20</f>
        <v>0</v>
      </c>
      <c r="AR10" s="12">
        <f>'Base de données indicateurs1'!AR20</f>
        <v>0</v>
      </c>
      <c r="AS10" s="12">
        <f>'Base de données indicateurs1'!AS20</f>
        <v>16890.650000000001</v>
      </c>
      <c r="AT10" s="12">
        <f>'Base de données indicateurs1'!AT20</f>
        <v>46206.47</v>
      </c>
      <c r="AU10" s="12">
        <f>'Base de données indicateurs1'!AU20</f>
        <v>0</v>
      </c>
      <c r="AV10" s="12">
        <f>'Base de données indicateurs1'!AV20</f>
        <v>44488.95</v>
      </c>
      <c r="AW10" s="12">
        <f>'Base de données indicateurs1'!AW20</f>
        <v>16586.45</v>
      </c>
      <c r="AX10" s="12">
        <f>'Base de données indicateurs1'!AX20</f>
        <v>-1848.31</v>
      </c>
      <c r="AY10" s="12">
        <f>'Base de données indicateurs1'!AY20</f>
        <v>42060.61</v>
      </c>
      <c r="AZ10" s="12">
        <f>'Base de données indicateurs1'!AZ20</f>
        <v>94265.52</v>
      </c>
      <c r="BA10" s="12">
        <f>'Base de données indicateurs1'!BA20</f>
        <v>1841.6</v>
      </c>
      <c r="BB10" s="12">
        <f>'Base de données indicateurs1'!BB20</f>
        <v>14870</v>
      </c>
      <c r="BC10" s="12">
        <f>'Base de données indicateurs1'!BC20</f>
        <v>4056.4</v>
      </c>
      <c r="BD10" s="12">
        <f>'Base de données indicateurs1'!BD20</f>
        <v>0</v>
      </c>
      <c r="BE10" s="12">
        <f>'Base de données indicateurs1'!BE20</f>
        <v>4838.7700000000004</v>
      </c>
      <c r="BF10" s="12">
        <f t="shared" si="0"/>
        <v>331498.05999999994</v>
      </c>
      <c r="BG10" s="12">
        <f t="shared" si="1"/>
        <v>32053.15</v>
      </c>
      <c r="BH10" s="12">
        <f t="shared" si="2"/>
        <v>426569.64</v>
      </c>
    </row>
    <row r="11" spans="1:60" x14ac:dyDescent="0.25">
      <c r="A11" s="143" t="s">
        <v>100</v>
      </c>
      <c r="B11" s="144" t="s">
        <v>224</v>
      </c>
      <c r="C11" s="143">
        <v>34</v>
      </c>
      <c r="D11" s="145">
        <f>'Base de données indicateurs1'!BF22</f>
        <v>8261031.5800000001</v>
      </c>
      <c r="E11" s="12">
        <f>'Base de données indicateurs1'!E22</f>
        <v>54405.36</v>
      </c>
      <c r="F11" s="12">
        <f>'Base de données indicateurs1'!F22</f>
        <v>124634.59</v>
      </c>
      <c r="G11" s="12">
        <f>'Base de données indicateurs1'!G22</f>
        <v>74666.789999999994</v>
      </c>
      <c r="H11" s="12">
        <f>'Base de données indicateurs1'!H22</f>
        <v>80672.25</v>
      </c>
      <c r="I11" s="12">
        <f>'Base de données indicateurs1'!I22</f>
        <v>457925</v>
      </c>
      <c r="J11" s="12">
        <f>'Base de données indicateurs1'!J22</f>
        <v>209906.22</v>
      </c>
      <c r="K11" s="12">
        <f>'Base de données indicateurs1'!K22</f>
        <v>204760.07</v>
      </c>
      <c r="L11" s="12">
        <f>'Base de données indicateurs1'!L22</f>
        <v>2157423.0699999998</v>
      </c>
      <c r="M11" s="12">
        <f>'Base de données indicateurs1'!M22</f>
        <v>51006.45</v>
      </c>
      <c r="N11" s="12">
        <f>'Base de données indicateurs1'!N22</f>
        <v>7268.05</v>
      </c>
      <c r="O11" s="12">
        <f>'Base de données indicateurs1'!O22</f>
        <v>371651.81</v>
      </c>
      <c r="P11" s="12">
        <f>'Base de données indicateurs1'!P22</f>
        <v>47649.2</v>
      </c>
      <c r="Q11" s="12">
        <f>'Base de données indicateurs1'!Q22</f>
        <v>10466.73</v>
      </c>
      <c r="R11" s="12">
        <f>'Base de données indicateurs1'!R22</f>
        <v>162004.76</v>
      </c>
      <c r="S11" s="12">
        <f>'Base de données indicateurs1'!S22</f>
        <v>65863.97</v>
      </c>
      <c r="T11" s="12">
        <f>'Base de données indicateurs1'!T22</f>
        <v>54609.120000000003</v>
      </c>
      <c r="U11" s="12">
        <f>'Base de données indicateurs1'!U22</f>
        <v>15435.36</v>
      </c>
      <c r="V11" s="12">
        <f>'Base de données indicateurs1'!V22</f>
        <v>46259.69</v>
      </c>
      <c r="W11" s="12">
        <f>'Base de données indicateurs1'!W22</f>
        <v>185479.62</v>
      </c>
      <c r="X11" s="12">
        <f>'Base de données indicateurs1'!X22</f>
        <v>12266.06</v>
      </c>
      <c r="Y11" s="12">
        <f>'Base de données indicateurs1'!Y22</f>
        <v>128326.63</v>
      </c>
      <c r="Z11" s="12">
        <f>'Base de données indicateurs1'!Z22</f>
        <v>16932.63</v>
      </c>
      <c r="AA11" s="12">
        <f>'Base de données indicateurs1'!AA22</f>
        <v>5514.82</v>
      </c>
      <c r="AB11" s="12">
        <f>'Base de données indicateurs1'!AB22</f>
        <v>14317.32</v>
      </c>
      <c r="AC11" s="12">
        <f>'Base de données indicateurs1'!AC22</f>
        <v>78531.81</v>
      </c>
      <c r="AD11" s="12">
        <f>'Base de données indicateurs1'!AD22</f>
        <v>67634.100000000006</v>
      </c>
      <c r="AE11" s="12">
        <f>'Base de données indicateurs1'!AE22</f>
        <v>35078.6</v>
      </c>
      <c r="AF11" s="12">
        <f>'Base de données indicateurs1'!AF22</f>
        <v>88799.25</v>
      </c>
      <c r="AG11" s="12">
        <f>'Base de données indicateurs1'!AG22</f>
        <v>93141.09</v>
      </c>
      <c r="AH11" s="12">
        <f>'Base de données indicateurs1'!AH22</f>
        <v>154152.78</v>
      </c>
      <c r="AI11" s="12">
        <f>'Base de données indicateurs1'!AI22</f>
        <v>0</v>
      </c>
      <c r="AJ11" s="12">
        <f>'Base de données indicateurs1'!AJ22</f>
        <v>34807.03</v>
      </c>
      <c r="AK11" s="12">
        <f>'Base de données indicateurs1'!AK22</f>
        <v>176338.6</v>
      </c>
      <c r="AL11" s="12">
        <f>'Base de données indicateurs1'!AL22</f>
        <v>185132</v>
      </c>
      <c r="AM11" s="12">
        <f>'Base de données indicateurs1'!AM22</f>
        <v>151615.21</v>
      </c>
      <c r="AN11" s="12">
        <f>'Base de données indicateurs1'!AN22</f>
        <v>20422.02</v>
      </c>
      <c r="AO11" s="12">
        <f>'Base de données indicateurs1'!AO22</f>
        <v>210279.28</v>
      </c>
      <c r="AP11" s="12">
        <f>'Base de données indicateurs1'!AP22</f>
        <v>82884.320000000007</v>
      </c>
      <c r="AQ11" s="12">
        <f>'Base de données indicateurs1'!AQ22</f>
        <v>60050</v>
      </c>
      <c r="AR11" s="12">
        <f>'Base de données indicateurs1'!AR22</f>
        <v>257738.71</v>
      </c>
      <c r="AS11" s="12">
        <f>'Base de données indicateurs1'!AS22</f>
        <v>76242.42</v>
      </c>
      <c r="AT11" s="12">
        <f>'Base de données indicateurs1'!AT22</f>
        <v>152631.87</v>
      </c>
      <c r="AU11" s="12">
        <f>'Base de données indicateurs1'!AU22</f>
        <v>22266.65</v>
      </c>
      <c r="AV11" s="12">
        <f>'Base de données indicateurs1'!AV22</f>
        <v>190311.65</v>
      </c>
      <c r="AW11" s="12">
        <f>'Base de données indicateurs1'!AW22</f>
        <v>75363.41</v>
      </c>
      <c r="AX11" s="12">
        <f>'Base de données indicateurs1'!AX22</f>
        <v>8184.15</v>
      </c>
      <c r="AY11" s="12">
        <f>'Base de données indicateurs1'!AY22</f>
        <v>14484.84</v>
      </c>
      <c r="AZ11" s="12">
        <f>'Base de données indicateurs1'!AZ22</f>
        <v>293334.28999999998</v>
      </c>
      <c r="BA11" s="12">
        <f>'Base de données indicateurs1'!BA22</f>
        <v>23926.76</v>
      </c>
      <c r="BB11" s="12">
        <f>'Base de données indicateurs1'!BB22</f>
        <v>110268</v>
      </c>
      <c r="BC11" s="12">
        <f>'Base de données indicateurs1'!BC22</f>
        <v>629.9</v>
      </c>
      <c r="BD11" s="12">
        <f>'Base de données indicateurs1'!BD22</f>
        <v>979043.6</v>
      </c>
      <c r="BE11" s="12">
        <f>'Base de données indicateurs1'!BE22</f>
        <v>58293.67</v>
      </c>
      <c r="BF11" s="12">
        <f t="shared" si="0"/>
        <v>4382088.1100000003</v>
      </c>
      <c r="BG11" s="12">
        <f t="shared" si="1"/>
        <v>729502.12</v>
      </c>
      <c r="BH11" s="12">
        <f t="shared" si="2"/>
        <v>3149441.3499999996</v>
      </c>
    </row>
    <row r="12" spans="1:60" x14ac:dyDescent="0.25">
      <c r="A12" s="143" t="s">
        <v>105</v>
      </c>
      <c r="B12" s="144" t="s">
        <v>225</v>
      </c>
      <c r="C12" s="143">
        <v>344</v>
      </c>
      <c r="D12" s="145">
        <f>'Base de données indicateurs1'!BF24</f>
        <v>179028.89</v>
      </c>
      <c r="E12" s="12">
        <f>'Base de données indicateurs1'!E24</f>
        <v>0</v>
      </c>
      <c r="F12" s="12">
        <f>'Base de données indicateurs1'!F24</f>
        <v>87320</v>
      </c>
      <c r="G12" s="12">
        <f>'Base de données indicateurs1'!G24</f>
        <v>0</v>
      </c>
      <c r="H12" s="12">
        <f>'Base de données indicateurs1'!H24</f>
        <v>0</v>
      </c>
      <c r="I12" s="12">
        <f>'Base de données indicateurs1'!I24</f>
        <v>0</v>
      </c>
      <c r="J12" s="12">
        <f>'Base de données indicateurs1'!J24</f>
        <v>0</v>
      </c>
      <c r="K12" s="12">
        <f>'Base de données indicateurs1'!K24</f>
        <v>790.64</v>
      </c>
      <c r="L12" s="12">
        <f>'Base de données indicateurs1'!L24</f>
        <v>0</v>
      </c>
      <c r="M12" s="12">
        <f>'Base de données indicateurs1'!M24</f>
        <v>0</v>
      </c>
      <c r="N12" s="12">
        <f>'Base de données indicateurs1'!N24</f>
        <v>0</v>
      </c>
      <c r="O12" s="12">
        <f>'Base de données indicateurs1'!O24</f>
        <v>0</v>
      </c>
      <c r="P12" s="12">
        <f>'Base de données indicateurs1'!P24</f>
        <v>0</v>
      </c>
      <c r="Q12" s="12">
        <f>'Base de données indicateurs1'!Q24</f>
        <v>0</v>
      </c>
      <c r="R12" s="12">
        <f>'Base de données indicateurs1'!R24</f>
        <v>0</v>
      </c>
      <c r="S12" s="12">
        <f>'Base de données indicateurs1'!S24</f>
        <v>0</v>
      </c>
      <c r="T12" s="12">
        <f>'Base de données indicateurs1'!T24</f>
        <v>920.25</v>
      </c>
      <c r="U12" s="12">
        <f>'Base de données indicateurs1'!U24</f>
        <v>0</v>
      </c>
      <c r="V12" s="12">
        <f>'Base de données indicateurs1'!V24</f>
        <v>0</v>
      </c>
      <c r="W12" s="12">
        <f>'Base de données indicateurs1'!W24</f>
        <v>0</v>
      </c>
      <c r="X12" s="12">
        <f>'Base de données indicateurs1'!X24</f>
        <v>0</v>
      </c>
      <c r="Y12" s="12">
        <f>'Base de données indicateurs1'!Y24</f>
        <v>0</v>
      </c>
      <c r="Z12" s="12">
        <f>'Base de données indicateurs1'!Z24</f>
        <v>0</v>
      </c>
      <c r="AA12" s="12">
        <f>'Base de données indicateurs1'!AA24</f>
        <v>0</v>
      </c>
      <c r="AB12" s="12">
        <f>'Base de données indicateurs1'!AB24</f>
        <v>0</v>
      </c>
      <c r="AC12" s="12">
        <f>'Base de données indicateurs1'!AC24</f>
        <v>0</v>
      </c>
      <c r="AD12" s="12">
        <f>'Base de données indicateurs1'!AD24</f>
        <v>0</v>
      </c>
      <c r="AE12" s="12">
        <f>'Base de données indicateurs1'!AE24</f>
        <v>0</v>
      </c>
      <c r="AF12" s="12">
        <f>'Base de données indicateurs1'!AF24</f>
        <v>0</v>
      </c>
      <c r="AG12" s="12">
        <f>'Base de données indicateurs1'!AG24</f>
        <v>0</v>
      </c>
      <c r="AH12" s="12">
        <f>'Base de données indicateurs1'!AH24</f>
        <v>0</v>
      </c>
      <c r="AI12" s="12">
        <f>'Base de données indicateurs1'!AI24</f>
        <v>0</v>
      </c>
      <c r="AJ12" s="12">
        <f>'Base de données indicateurs1'!AJ24</f>
        <v>3103</v>
      </c>
      <c r="AK12" s="12">
        <f>'Base de données indicateurs1'!AK24</f>
        <v>0</v>
      </c>
      <c r="AL12" s="12">
        <f>'Base de données indicateurs1'!AL24</f>
        <v>0</v>
      </c>
      <c r="AM12" s="12">
        <f>'Base de données indicateurs1'!AM24</f>
        <v>0</v>
      </c>
      <c r="AN12" s="12">
        <f>'Base de données indicateurs1'!AN24</f>
        <v>0</v>
      </c>
      <c r="AO12" s="12">
        <f>'Base de données indicateurs1'!AO24</f>
        <v>0</v>
      </c>
      <c r="AP12" s="12">
        <f>'Base de données indicateurs1'!AP24</f>
        <v>0</v>
      </c>
      <c r="AQ12" s="12">
        <f>'Base de données indicateurs1'!AQ24</f>
        <v>0</v>
      </c>
      <c r="AR12" s="12">
        <f>'Base de données indicateurs1'!AR24</f>
        <v>0</v>
      </c>
      <c r="AS12" s="12">
        <f>'Base de données indicateurs1'!AS24</f>
        <v>0</v>
      </c>
      <c r="AT12" s="12">
        <f>'Base de données indicateurs1'!AT24</f>
        <v>0</v>
      </c>
      <c r="AU12" s="12">
        <f>'Base de données indicateurs1'!AU24</f>
        <v>0</v>
      </c>
      <c r="AV12" s="12">
        <f>'Base de données indicateurs1'!AV24</f>
        <v>0</v>
      </c>
      <c r="AW12" s="12">
        <f>'Base de données indicateurs1'!AW24</f>
        <v>0</v>
      </c>
      <c r="AX12" s="12">
        <f>'Base de données indicateurs1'!AX24</f>
        <v>0</v>
      </c>
      <c r="AY12" s="12">
        <f>'Base de données indicateurs1'!AY24</f>
        <v>0</v>
      </c>
      <c r="AZ12" s="12">
        <f>'Base de données indicateurs1'!AZ24</f>
        <v>0</v>
      </c>
      <c r="BA12" s="12">
        <f>'Base de données indicateurs1'!BA24</f>
        <v>0</v>
      </c>
      <c r="BB12" s="12">
        <f>'Base de données indicateurs1'!BB24</f>
        <v>2418</v>
      </c>
      <c r="BC12" s="12">
        <f>'Base de données indicateurs1'!BC24</f>
        <v>0</v>
      </c>
      <c r="BD12" s="12">
        <f>'Base de données indicateurs1'!BD24</f>
        <v>84477</v>
      </c>
      <c r="BE12" s="12">
        <f>'Base de données indicateurs1'!BE24</f>
        <v>0</v>
      </c>
      <c r="BF12" s="12">
        <f t="shared" si="0"/>
        <v>89030.89</v>
      </c>
      <c r="BG12" s="12">
        <f t="shared" si="1"/>
        <v>3103</v>
      </c>
      <c r="BH12" s="12">
        <f t="shared" si="2"/>
        <v>86895</v>
      </c>
    </row>
    <row r="13" spans="1:60" x14ac:dyDescent="0.25">
      <c r="A13" s="143" t="s">
        <v>285</v>
      </c>
      <c r="B13" s="144" t="s">
        <v>224</v>
      </c>
      <c r="C13" s="143">
        <v>36</v>
      </c>
      <c r="D13" s="145">
        <f>'Base de données indicateurs1'!BF26</f>
        <v>196468618.55999991</v>
      </c>
      <c r="E13" s="12">
        <f>'Base de données indicateurs1'!E26</f>
        <v>2335972.77</v>
      </c>
      <c r="F13" s="12">
        <f>'Base de données indicateurs1'!F26</f>
        <v>715593.75</v>
      </c>
      <c r="G13" s="12">
        <f>'Base de données indicateurs1'!G26</f>
        <v>1029040.39</v>
      </c>
      <c r="H13" s="12">
        <f>'Base de données indicateurs1'!H26</f>
        <v>1038611.89</v>
      </c>
      <c r="I13" s="12">
        <f>'Base de données indicateurs1'!I26</f>
        <v>7564693</v>
      </c>
      <c r="J13" s="12">
        <f>'Base de données indicateurs1'!J26</f>
        <v>6645093.4699999997</v>
      </c>
      <c r="K13" s="12">
        <f>'Base de données indicateurs1'!K26</f>
        <v>6799431.96</v>
      </c>
      <c r="L13" s="12">
        <f>'Base de données indicateurs1'!L26</f>
        <v>42498373.259999998</v>
      </c>
      <c r="M13" s="12">
        <f>'Base de données indicateurs1'!M26</f>
        <v>3698764.96</v>
      </c>
      <c r="N13" s="12">
        <f>'Base de données indicateurs1'!N26</f>
        <v>226310.37</v>
      </c>
      <c r="O13" s="12">
        <f>'Base de données indicateurs1'!O26</f>
        <v>16520054.24</v>
      </c>
      <c r="P13" s="12">
        <f>'Base de données indicateurs1'!P26</f>
        <v>1163642.27</v>
      </c>
      <c r="Q13" s="12">
        <f>'Base de données indicateurs1'!Q26</f>
        <v>238741.24</v>
      </c>
      <c r="R13" s="12">
        <f>'Base de données indicateurs1'!R26</f>
        <v>826271.54</v>
      </c>
      <c r="S13" s="12">
        <f>'Base de données indicateurs1'!S26</f>
        <v>730027.09</v>
      </c>
      <c r="T13" s="12">
        <f>'Base de données indicateurs1'!T26</f>
        <v>1804506.91</v>
      </c>
      <c r="U13" s="12">
        <f>'Base de données indicateurs1'!U26</f>
        <v>622173.63</v>
      </c>
      <c r="V13" s="12">
        <f>'Base de données indicateurs1'!V26</f>
        <v>1224964.3600000001</v>
      </c>
      <c r="W13" s="12">
        <f>'Base de données indicateurs1'!W26</f>
        <v>6272146.9100000001</v>
      </c>
      <c r="X13" s="12">
        <f>'Base de données indicateurs1'!X26</f>
        <v>689609.38</v>
      </c>
      <c r="Y13" s="12">
        <f>'Base de données indicateurs1'!Y26</f>
        <v>2903047.11</v>
      </c>
      <c r="Z13" s="12">
        <f>'Base de données indicateurs1'!Z26</f>
        <v>6938807.3799999999</v>
      </c>
      <c r="AA13" s="12">
        <f>'Base de données indicateurs1'!AA26</f>
        <v>201028.64</v>
      </c>
      <c r="AB13" s="12">
        <f>'Base de données indicateurs1'!AB26</f>
        <v>365964.76</v>
      </c>
      <c r="AC13" s="12">
        <f>'Base de données indicateurs1'!AC26</f>
        <v>1307318.8600000001</v>
      </c>
      <c r="AD13" s="12">
        <f>'Base de données indicateurs1'!AD26</f>
        <v>1891180.97</v>
      </c>
      <c r="AE13" s="12">
        <f>'Base de données indicateurs1'!AE26</f>
        <v>1223639.25</v>
      </c>
      <c r="AF13" s="12">
        <f>'Base de données indicateurs1'!AF26</f>
        <v>1362614.12</v>
      </c>
      <c r="AG13" s="12">
        <f>'Base de données indicateurs1'!AG26</f>
        <v>5046760.97</v>
      </c>
      <c r="AH13" s="12">
        <f>'Base de données indicateurs1'!AH26</f>
        <v>5912975.6200000001</v>
      </c>
      <c r="AI13" s="12">
        <f>'Base de données indicateurs1'!AI26</f>
        <v>506846</v>
      </c>
      <c r="AJ13" s="12">
        <f>'Base de données indicateurs1'!AJ26</f>
        <v>339764.56</v>
      </c>
      <c r="AK13" s="12">
        <f>'Base de données indicateurs1'!AK26</f>
        <v>5018555.8600000003</v>
      </c>
      <c r="AL13" s="12">
        <f>'Base de données indicateurs1'!AL26</f>
        <v>2724352</v>
      </c>
      <c r="AM13" s="12">
        <f>'Base de données indicateurs1'!AM26</f>
        <v>3063225.96</v>
      </c>
      <c r="AN13" s="12">
        <f>'Base de données indicateurs1'!AN26</f>
        <v>263832.40000000002</v>
      </c>
      <c r="AO13" s="12">
        <f>'Base de données indicateurs1'!AO26</f>
        <v>3922643.6</v>
      </c>
      <c r="AP13" s="12">
        <f>'Base de données indicateurs1'!AP26</f>
        <v>1932909.42</v>
      </c>
      <c r="AQ13" s="12">
        <f>'Base de données indicateurs1'!AQ26</f>
        <v>1532253</v>
      </c>
      <c r="AR13" s="12">
        <f>'Base de données indicateurs1'!AR26</f>
        <v>3097346.57</v>
      </c>
      <c r="AS13" s="12">
        <f>'Base de données indicateurs1'!AS26</f>
        <v>1931105.75</v>
      </c>
      <c r="AT13" s="12">
        <f>'Base de données indicateurs1'!AT26</f>
        <v>2589642.35</v>
      </c>
      <c r="AU13" s="12">
        <f>'Base de données indicateurs1'!AU26</f>
        <v>1107211.42</v>
      </c>
      <c r="AV13" s="12">
        <f>'Base de données indicateurs1'!AV26</f>
        <v>6527264.6500000004</v>
      </c>
      <c r="AW13" s="12">
        <f>'Base de données indicateurs1'!AW26</f>
        <v>1760269.63</v>
      </c>
      <c r="AX13" s="12">
        <f>'Base de données indicateurs1'!AX26</f>
        <v>511957.8</v>
      </c>
      <c r="AY13" s="12">
        <f>'Base de données indicateurs1'!AY26</f>
        <v>728639.7</v>
      </c>
      <c r="AZ13" s="12">
        <f>'Base de données indicateurs1'!AZ26</f>
        <v>3890372.64</v>
      </c>
      <c r="BA13" s="12">
        <f>'Base de données indicateurs1'!BA26</f>
        <v>974904.38</v>
      </c>
      <c r="BB13" s="12">
        <f>'Base de données indicateurs1'!BB26</f>
        <v>2631979</v>
      </c>
      <c r="BC13" s="12">
        <f>'Base de données indicateurs1'!BC26</f>
        <v>552226.14</v>
      </c>
      <c r="BD13" s="12">
        <f>'Base de données indicateurs1'!BD26</f>
        <v>19586888.559999999</v>
      </c>
      <c r="BE13" s="12">
        <f>'Base de données indicateurs1'!BE26</f>
        <v>1477066.1</v>
      </c>
      <c r="BF13" s="12">
        <f t="shared" si="0"/>
        <v>101954414.00999998</v>
      </c>
      <c r="BG13" s="12">
        <f t="shared" si="1"/>
        <v>28689557.619999997</v>
      </c>
      <c r="BH13" s="12">
        <f t="shared" si="2"/>
        <v>65824646.930000015</v>
      </c>
    </row>
    <row r="14" spans="1:60" x14ac:dyDescent="0.25">
      <c r="A14" s="143" t="s">
        <v>527</v>
      </c>
      <c r="B14" s="144" t="s">
        <v>225</v>
      </c>
      <c r="C14" s="143">
        <v>364</v>
      </c>
      <c r="D14" s="145">
        <f>'Base de données indicateurs1'!BF29</f>
        <v>0</v>
      </c>
      <c r="E14" s="12">
        <f>'Base de données indicateurs1'!E29</f>
        <v>0</v>
      </c>
      <c r="F14" s="12">
        <f>'Base de données indicateurs1'!F29</f>
        <v>0</v>
      </c>
      <c r="G14" s="12">
        <f>'Base de données indicateurs1'!G29</f>
        <v>0</v>
      </c>
      <c r="H14" s="12">
        <f>'Base de données indicateurs1'!H29</f>
        <v>0</v>
      </c>
      <c r="I14" s="12">
        <f>'Base de données indicateurs1'!I29</f>
        <v>0</v>
      </c>
      <c r="J14" s="12">
        <f>'Base de données indicateurs1'!J29</f>
        <v>0</v>
      </c>
      <c r="K14" s="12">
        <f>'Base de données indicateurs1'!K29</f>
        <v>0</v>
      </c>
      <c r="L14" s="12">
        <f>'Base de données indicateurs1'!L29</f>
        <v>0</v>
      </c>
      <c r="M14" s="12">
        <f>'Base de données indicateurs1'!M29</f>
        <v>0</v>
      </c>
      <c r="N14" s="12">
        <f>'Base de données indicateurs1'!N29</f>
        <v>0</v>
      </c>
      <c r="O14" s="12">
        <f>'Base de données indicateurs1'!O29</f>
        <v>0</v>
      </c>
      <c r="P14" s="12">
        <f>'Base de données indicateurs1'!P29</f>
        <v>0</v>
      </c>
      <c r="Q14" s="12">
        <f>'Base de données indicateurs1'!Q29</f>
        <v>0</v>
      </c>
      <c r="R14" s="12">
        <f>'Base de données indicateurs1'!R29</f>
        <v>0</v>
      </c>
      <c r="S14" s="12">
        <f>'Base de données indicateurs1'!S29</f>
        <v>0</v>
      </c>
      <c r="T14" s="12">
        <f>'Base de données indicateurs1'!T29</f>
        <v>0</v>
      </c>
      <c r="U14" s="12">
        <f>'Base de données indicateurs1'!U29</f>
        <v>0</v>
      </c>
      <c r="V14" s="12">
        <f>'Base de données indicateurs1'!V29</f>
        <v>0</v>
      </c>
      <c r="W14" s="12">
        <f>'Base de données indicateurs1'!W29</f>
        <v>0</v>
      </c>
      <c r="X14" s="12">
        <f>'Base de données indicateurs1'!X29</f>
        <v>0</v>
      </c>
      <c r="Y14" s="12">
        <f>'Base de données indicateurs1'!Y29</f>
        <v>0</v>
      </c>
      <c r="Z14" s="12">
        <f>'Base de données indicateurs1'!Z29</f>
        <v>0</v>
      </c>
      <c r="AA14" s="12">
        <f>'Base de données indicateurs1'!AA29</f>
        <v>0</v>
      </c>
      <c r="AB14" s="12">
        <f>'Base de données indicateurs1'!AB29</f>
        <v>0</v>
      </c>
      <c r="AC14" s="12">
        <f>'Base de données indicateurs1'!AC29</f>
        <v>0</v>
      </c>
      <c r="AD14" s="12">
        <f>'Base de données indicateurs1'!AD29</f>
        <v>0</v>
      </c>
      <c r="AE14" s="12">
        <f>'Base de données indicateurs1'!AE29</f>
        <v>0</v>
      </c>
      <c r="AF14" s="12">
        <f>'Base de données indicateurs1'!AF29</f>
        <v>0</v>
      </c>
      <c r="AG14" s="12">
        <f>'Base de données indicateurs1'!AG29</f>
        <v>0</v>
      </c>
      <c r="AH14" s="12">
        <f>'Base de données indicateurs1'!AH29</f>
        <v>0</v>
      </c>
      <c r="AI14" s="12">
        <f>'Base de données indicateurs1'!AI29</f>
        <v>0</v>
      </c>
      <c r="AJ14" s="12">
        <f>'Base de données indicateurs1'!AJ29</f>
        <v>0</v>
      </c>
      <c r="AK14" s="12">
        <f>'Base de données indicateurs1'!AK29</f>
        <v>0</v>
      </c>
      <c r="AL14" s="12">
        <f>'Base de données indicateurs1'!AL29</f>
        <v>0</v>
      </c>
      <c r="AM14" s="12">
        <f>'Base de données indicateurs1'!AM29</f>
        <v>0</v>
      </c>
      <c r="AN14" s="12">
        <f>'Base de données indicateurs1'!AN29</f>
        <v>0</v>
      </c>
      <c r="AO14" s="12">
        <f>'Base de données indicateurs1'!AO29</f>
        <v>0</v>
      </c>
      <c r="AP14" s="12">
        <f>'Base de données indicateurs1'!AP29</f>
        <v>0</v>
      </c>
      <c r="AQ14" s="12">
        <f>'Base de données indicateurs1'!AQ29</f>
        <v>0</v>
      </c>
      <c r="AR14" s="12">
        <f>'Base de données indicateurs1'!AR29</f>
        <v>0</v>
      </c>
      <c r="AS14" s="12">
        <f>'Base de données indicateurs1'!AS29</f>
        <v>0</v>
      </c>
      <c r="AT14" s="12">
        <f>'Base de données indicateurs1'!AT29</f>
        <v>0</v>
      </c>
      <c r="AU14" s="12">
        <f>'Base de données indicateurs1'!AU29</f>
        <v>0</v>
      </c>
      <c r="AV14" s="12">
        <f>'Base de données indicateurs1'!AV29</f>
        <v>0</v>
      </c>
      <c r="AW14" s="12">
        <f>'Base de données indicateurs1'!AW29</f>
        <v>0</v>
      </c>
      <c r="AX14" s="12">
        <f>'Base de données indicateurs1'!AX29</f>
        <v>0</v>
      </c>
      <c r="AY14" s="12">
        <f>'Base de données indicateurs1'!AY29</f>
        <v>0</v>
      </c>
      <c r="AZ14" s="12">
        <f>'Base de données indicateurs1'!AZ29</f>
        <v>0</v>
      </c>
      <c r="BA14" s="12">
        <f>'Base de données indicateurs1'!BA29</f>
        <v>0</v>
      </c>
      <c r="BB14" s="12">
        <f>'Base de données indicateurs1'!BB29</f>
        <v>0</v>
      </c>
      <c r="BC14" s="12">
        <f>'Base de données indicateurs1'!BC29</f>
        <v>0</v>
      </c>
      <c r="BD14" s="12">
        <f>'Base de données indicateurs1'!BD29</f>
        <v>0</v>
      </c>
      <c r="BE14" s="12">
        <f>'Base de données indicateurs1'!BE29</f>
        <v>0</v>
      </c>
      <c r="BF14" s="12">
        <f t="shared" si="0"/>
        <v>0</v>
      </c>
      <c r="BG14" s="12">
        <f t="shared" si="1"/>
        <v>0</v>
      </c>
      <c r="BH14" s="12">
        <f t="shared" si="2"/>
        <v>0</v>
      </c>
    </row>
    <row r="15" spans="1:60" x14ac:dyDescent="0.25">
      <c r="A15" s="143" t="s">
        <v>115</v>
      </c>
      <c r="B15" s="144" t="s">
        <v>225</v>
      </c>
      <c r="C15" s="148">
        <v>365</v>
      </c>
      <c r="D15" s="145">
        <f>'Base de données indicateurs1'!BF30</f>
        <v>21100</v>
      </c>
      <c r="E15" s="12">
        <f>'Base de données indicateurs1'!E30</f>
        <v>0</v>
      </c>
      <c r="F15" s="12">
        <f>'Base de données indicateurs1'!F30</f>
        <v>0</v>
      </c>
      <c r="G15" s="12">
        <f>'Base de données indicateurs1'!G30</f>
        <v>0</v>
      </c>
      <c r="H15" s="12">
        <f>'Base de données indicateurs1'!H30</f>
        <v>0</v>
      </c>
      <c r="I15" s="12">
        <f>'Base de données indicateurs1'!I30</f>
        <v>0</v>
      </c>
      <c r="J15" s="12">
        <f>'Base de données indicateurs1'!J30</f>
        <v>0</v>
      </c>
      <c r="K15" s="12">
        <f>'Base de données indicateurs1'!K30</f>
        <v>0</v>
      </c>
      <c r="L15" s="12">
        <f>'Base de données indicateurs1'!L30</f>
        <v>0</v>
      </c>
      <c r="M15" s="12">
        <f>'Base de données indicateurs1'!M30</f>
        <v>0</v>
      </c>
      <c r="N15" s="12">
        <f>'Base de données indicateurs1'!N30</f>
        <v>0</v>
      </c>
      <c r="O15" s="12">
        <f>'Base de données indicateurs1'!O30</f>
        <v>0</v>
      </c>
      <c r="P15" s="12">
        <f>'Base de données indicateurs1'!P30</f>
        <v>0</v>
      </c>
      <c r="Q15" s="12">
        <f>'Base de données indicateurs1'!Q30</f>
        <v>0</v>
      </c>
      <c r="R15" s="12">
        <f>'Base de données indicateurs1'!R30</f>
        <v>0</v>
      </c>
      <c r="S15" s="12">
        <f>'Base de données indicateurs1'!S30</f>
        <v>0</v>
      </c>
      <c r="T15" s="12">
        <f>'Base de données indicateurs1'!T30</f>
        <v>0</v>
      </c>
      <c r="U15" s="12">
        <f>'Base de données indicateurs1'!U30</f>
        <v>8100</v>
      </c>
      <c r="V15" s="12">
        <f>'Base de données indicateurs1'!V30</f>
        <v>0</v>
      </c>
      <c r="W15" s="12">
        <f>'Base de données indicateurs1'!W30</f>
        <v>0</v>
      </c>
      <c r="X15" s="12">
        <f>'Base de données indicateurs1'!X30</f>
        <v>0</v>
      </c>
      <c r="Y15" s="12">
        <f>'Base de données indicateurs1'!Y30</f>
        <v>0</v>
      </c>
      <c r="Z15" s="12">
        <f>'Base de données indicateurs1'!Z30</f>
        <v>0</v>
      </c>
      <c r="AA15" s="12">
        <f>'Base de données indicateurs1'!AA30</f>
        <v>0</v>
      </c>
      <c r="AB15" s="12">
        <f>'Base de données indicateurs1'!AB30</f>
        <v>0</v>
      </c>
      <c r="AC15" s="12">
        <f>'Base de données indicateurs1'!AC30</f>
        <v>0</v>
      </c>
      <c r="AD15" s="12">
        <f>'Base de données indicateurs1'!AD30</f>
        <v>0</v>
      </c>
      <c r="AE15" s="12">
        <f>'Base de données indicateurs1'!AE30</f>
        <v>0</v>
      </c>
      <c r="AF15" s="12">
        <f>'Base de données indicateurs1'!AF30</f>
        <v>0</v>
      </c>
      <c r="AG15" s="12">
        <f>'Base de données indicateurs1'!AG30</f>
        <v>0</v>
      </c>
      <c r="AH15" s="12">
        <f>'Base de données indicateurs1'!AH30</f>
        <v>0</v>
      </c>
      <c r="AI15" s="12">
        <f>'Base de données indicateurs1'!AI30</f>
        <v>0</v>
      </c>
      <c r="AJ15" s="12">
        <f>'Base de données indicateurs1'!AJ30</f>
        <v>0</v>
      </c>
      <c r="AK15" s="12">
        <f>'Base de données indicateurs1'!AK30</f>
        <v>0</v>
      </c>
      <c r="AL15" s="12">
        <f>'Base de données indicateurs1'!AL30</f>
        <v>0</v>
      </c>
      <c r="AM15" s="12">
        <f>'Base de données indicateurs1'!AM30</f>
        <v>0</v>
      </c>
      <c r="AN15" s="12">
        <f>'Base de données indicateurs1'!AN30</f>
        <v>0</v>
      </c>
      <c r="AO15" s="12">
        <f>'Base de données indicateurs1'!AO30</f>
        <v>0</v>
      </c>
      <c r="AP15" s="12">
        <f>'Base de données indicateurs1'!AP30</f>
        <v>0</v>
      </c>
      <c r="AQ15" s="12">
        <f>'Base de données indicateurs1'!AQ30</f>
        <v>0</v>
      </c>
      <c r="AR15" s="12">
        <f>'Base de données indicateurs1'!AR30</f>
        <v>0</v>
      </c>
      <c r="AS15" s="12">
        <f>'Base de données indicateurs1'!AS30</f>
        <v>0</v>
      </c>
      <c r="AT15" s="12">
        <f>'Base de données indicateurs1'!AT30</f>
        <v>0</v>
      </c>
      <c r="AU15" s="12">
        <f>'Base de données indicateurs1'!AU30</f>
        <v>0</v>
      </c>
      <c r="AV15" s="12">
        <f>'Base de données indicateurs1'!AV30</f>
        <v>0</v>
      </c>
      <c r="AW15" s="12">
        <f>'Base de données indicateurs1'!AW30</f>
        <v>0</v>
      </c>
      <c r="AX15" s="12">
        <f>'Base de données indicateurs1'!AX30</f>
        <v>0</v>
      </c>
      <c r="AY15" s="12">
        <f>'Base de données indicateurs1'!AY30</f>
        <v>0</v>
      </c>
      <c r="AZ15" s="12">
        <f>'Base de données indicateurs1'!AZ30</f>
        <v>13000</v>
      </c>
      <c r="BA15" s="12">
        <f>'Base de données indicateurs1'!BA30</f>
        <v>0</v>
      </c>
      <c r="BB15" s="12">
        <f>'Base de données indicateurs1'!BB30</f>
        <v>0</v>
      </c>
      <c r="BC15" s="12">
        <f>'Base de données indicateurs1'!BC30</f>
        <v>0</v>
      </c>
      <c r="BD15" s="12">
        <f>'Base de données indicateurs1'!BD30</f>
        <v>0</v>
      </c>
      <c r="BE15" s="12">
        <f>'Base de données indicateurs1'!BE30</f>
        <v>0</v>
      </c>
      <c r="BF15" s="12">
        <f t="shared" si="0"/>
        <v>8100</v>
      </c>
      <c r="BG15" s="12">
        <f t="shared" si="1"/>
        <v>0</v>
      </c>
      <c r="BH15" s="12">
        <f t="shared" si="2"/>
        <v>13000</v>
      </c>
    </row>
    <row r="16" spans="1:60" x14ac:dyDescent="0.25">
      <c r="A16" s="143" t="s">
        <v>528</v>
      </c>
      <c r="B16" s="144" t="s">
        <v>225</v>
      </c>
      <c r="C16" s="143">
        <v>366</v>
      </c>
      <c r="D16" s="145">
        <f>'Base de données indicateurs1'!BF31</f>
        <v>229456.08000000002</v>
      </c>
      <c r="E16" s="12">
        <f>'Base de données indicateurs1'!E31</f>
        <v>7905.29</v>
      </c>
      <c r="F16" s="12">
        <f>'Base de données indicateurs1'!F31</f>
        <v>0</v>
      </c>
      <c r="G16" s="12">
        <f>'Base de données indicateurs1'!G31</f>
        <v>0</v>
      </c>
      <c r="H16" s="12">
        <f>'Base de données indicateurs1'!H31</f>
        <v>0</v>
      </c>
      <c r="I16" s="12">
        <f>'Base de données indicateurs1'!I31</f>
        <v>1741</v>
      </c>
      <c r="J16" s="12">
        <f>'Base de données indicateurs1'!J31</f>
        <v>0</v>
      </c>
      <c r="K16" s="12">
        <f>'Base de données indicateurs1'!K31</f>
        <v>0</v>
      </c>
      <c r="L16" s="12">
        <f>'Base de données indicateurs1'!L31</f>
        <v>0</v>
      </c>
      <c r="M16" s="12">
        <f>'Base de données indicateurs1'!M31</f>
        <v>10700</v>
      </c>
      <c r="N16" s="12">
        <f>'Base de données indicateurs1'!N31</f>
        <v>0</v>
      </c>
      <c r="O16" s="12">
        <f>'Base de données indicateurs1'!O31</f>
        <v>71002.240000000005</v>
      </c>
      <c r="P16" s="12">
        <f>'Base de données indicateurs1'!P31</f>
        <v>0</v>
      </c>
      <c r="Q16" s="12">
        <f>'Base de données indicateurs1'!Q31</f>
        <v>0</v>
      </c>
      <c r="R16" s="12">
        <f>'Base de données indicateurs1'!R31</f>
        <v>0</v>
      </c>
      <c r="S16" s="12">
        <f>'Base de données indicateurs1'!S31</f>
        <v>0</v>
      </c>
      <c r="T16" s="12">
        <f>'Base de données indicateurs1'!T31</f>
        <v>0</v>
      </c>
      <c r="U16" s="12">
        <f>'Base de données indicateurs1'!U31</f>
        <v>667.55</v>
      </c>
      <c r="V16" s="12">
        <f>'Base de données indicateurs1'!V31</f>
        <v>0</v>
      </c>
      <c r="W16" s="12">
        <f>'Base de données indicateurs1'!W31</f>
        <v>133028</v>
      </c>
      <c r="X16" s="12">
        <f>'Base de données indicateurs1'!X31</f>
        <v>0</v>
      </c>
      <c r="Y16" s="12">
        <f>'Base de données indicateurs1'!Y31</f>
        <v>0</v>
      </c>
      <c r="Z16" s="12">
        <f>'Base de données indicateurs1'!Z31</f>
        <v>0</v>
      </c>
      <c r="AA16" s="12">
        <f>'Base de données indicateurs1'!AA31</f>
        <v>0</v>
      </c>
      <c r="AB16" s="12">
        <f>'Base de données indicateurs1'!AB31</f>
        <v>0</v>
      </c>
      <c r="AC16" s="12">
        <f>'Base de données indicateurs1'!AC31</f>
        <v>0</v>
      </c>
      <c r="AD16" s="12">
        <f>'Base de données indicateurs1'!AD31</f>
        <v>0</v>
      </c>
      <c r="AE16" s="12">
        <f>'Base de données indicateurs1'!AE31</f>
        <v>0</v>
      </c>
      <c r="AF16" s="12">
        <f>'Base de données indicateurs1'!AF31</f>
        <v>0</v>
      </c>
      <c r="AG16" s="12">
        <f>'Base de données indicateurs1'!AG31</f>
        <v>0</v>
      </c>
      <c r="AH16" s="12">
        <f>'Base de données indicateurs1'!AH31</f>
        <v>0</v>
      </c>
      <c r="AI16" s="12">
        <f>'Base de données indicateurs1'!AI31</f>
        <v>0</v>
      </c>
      <c r="AJ16" s="12">
        <f>'Base de données indicateurs1'!AJ31</f>
        <v>0</v>
      </c>
      <c r="AK16" s="12">
        <f>'Base de données indicateurs1'!AK31</f>
        <v>0</v>
      </c>
      <c r="AL16" s="12">
        <f>'Base de données indicateurs1'!AL31</f>
        <v>0</v>
      </c>
      <c r="AM16" s="12">
        <f>'Base de données indicateurs1'!AM31</f>
        <v>0</v>
      </c>
      <c r="AN16" s="12">
        <f>'Base de données indicateurs1'!AN31</f>
        <v>0</v>
      </c>
      <c r="AO16" s="12">
        <f>'Base de données indicateurs1'!AO31</f>
        <v>0</v>
      </c>
      <c r="AP16" s="12">
        <f>'Base de données indicateurs1'!AP31</f>
        <v>0</v>
      </c>
      <c r="AQ16" s="12">
        <f>'Base de données indicateurs1'!AQ31</f>
        <v>0</v>
      </c>
      <c r="AR16" s="12">
        <f>'Base de données indicateurs1'!AR31</f>
        <v>0</v>
      </c>
      <c r="AS16" s="12">
        <f>'Base de données indicateurs1'!AS31</f>
        <v>0</v>
      </c>
      <c r="AT16" s="12">
        <f>'Base de données indicateurs1'!AT31</f>
        <v>0</v>
      </c>
      <c r="AU16" s="12">
        <f>'Base de données indicateurs1'!AU31</f>
        <v>338</v>
      </c>
      <c r="AV16" s="12">
        <f>'Base de données indicateurs1'!AV31</f>
        <v>0</v>
      </c>
      <c r="AW16" s="12">
        <f>'Base de données indicateurs1'!AW31</f>
        <v>633</v>
      </c>
      <c r="AX16" s="12">
        <f>'Base de données indicateurs1'!AX31</f>
        <v>207</v>
      </c>
      <c r="AY16" s="12">
        <f>'Base de données indicateurs1'!AY31</f>
        <v>0</v>
      </c>
      <c r="AZ16" s="12">
        <f>'Base de données indicateurs1'!AZ31</f>
        <v>1597</v>
      </c>
      <c r="BA16" s="12">
        <f>'Base de données indicateurs1'!BA31</f>
        <v>319</v>
      </c>
      <c r="BB16" s="12">
        <f>'Base de données indicateurs1'!BB31</f>
        <v>1083</v>
      </c>
      <c r="BC16" s="12">
        <f>'Base de données indicateurs1'!BC31</f>
        <v>235</v>
      </c>
      <c r="BD16" s="12">
        <f>'Base de données indicateurs1'!BD31</f>
        <v>0</v>
      </c>
      <c r="BE16" s="12">
        <f>'Base de données indicateurs1'!BE31</f>
        <v>0</v>
      </c>
      <c r="BF16" s="12">
        <f t="shared" si="0"/>
        <v>225044.08000000002</v>
      </c>
      <c r="BG16" s="12">
        <f t="shared" si="1"/>
        <v>0</v>
      </c>
      <c r="BH16" s="12">
        <f t="shared" si="2"/>
        <v>4412</v>
      </c>
    </row>
    <row r="17" spans="1:60" ht="14.4" thickBot="1" x14ac:dyDescent="0.3">
      <c r="B17" s="146"/>
      <c r="D17" s="12"/>
      <c r="BF17" s="12"/>
      <c r="BG17" s="12"/>
      <c r="BH17" s="12"/>
    </row>
    <row r="18" spans="1:60" ht="14.4" thickBot="1" x14ac:dyDescent="0.3">
      <c r="A18" s="6" t="s">
        <v>529</v>
      </c>
      <c r="B18" s="97"/>
      <c r="C18" s="6"/>
      <c r="D18" s="158">
        <f>SUM(D8:D9,D11,D13)-SUM(D10,D12,D14:D16)+D6</f>
        <v>421399963.54999995</v>
      </c>
      <c r="E18" s="152">
        <f>SUM(E8:E9,E11,E13)-SUM(E10,E12,E14:E16)+E6</f>
        <v>3812119.1700000004</v>
      </c>
      <c r="F18" s="12">
        <f t="shared" ref="F18:BE18" si="3">SUM(F8:F9,F11,F13)-SUM(F10,F12,F14:F16)+F6</f>
        <v>1063293.3599999999</v>
      </c>
      <c r="G18" s="12">
        <f t="shared" si="3"/>
        <v>1759843.65</v>
      </c>
      <c r="H18" s="12">
        <f t="shared" si="3"/>
        <v>1892230.4300000002</v>
      </c>
      <c r="I18" s="12">
        <f t="shared" si="3"/>
        <v>16943417.620000001</v>
      </c>
      <c r="J18" s="12">
        <f t="shared" si="3"/>
        <v>15114294.489999998</v>
      </c>
      <c r="K18" s="12">
        <f t="shared" si="3"/>
        <v>11025446.809999999</v>
      </c>
      <c r="L18" s="12">
        <f t="shared" si="3"/>
        <v>110411355.78999999</v>
      </c>
      <c r="M18" s="12">
        <f t="shared" si="3"/>
        <v>9186572.5</v>
      </c>
      <c r="N18" s="12">
        <f t="shared" si="3"/>
        <v>432668.93</v>
      </c>
      <c r="O18" s="12">
        <f t="shared" si="3"/>
        <v>30150997.100000001</v>
      </c>
      <c r="P18" s="12">
        <f t="shared" si="3"/>
        <v>1903578.95</v>
      </c>
      <c r="Q18" s="12">
        <f t="shared" si="3"/>
        <v>388006.5</v>
      </c>
      <c r="R18" s="12">
        <f t="shared" si="3"/>
        <v>1532425.77</v>
      </c>
      <c r="S18" s="12">
        <f t="shared" si="3"/>
        <v>1351648.1999999997</v>
      </c>
      <c r="T18" s="12">
        <f t="shared" si="3"/>
        <v>3063300.22</v>
      </c>
      <c r="U18" s="12">
        <f t="shared" si="3"/>
        <v>1069492.28</v>
      </c>
      <c r="V18" s="12">
        <f t="shared" si="3"/>
        <v>2193426.7700000005</v>
      </c>
      <c r="W18" s="12">
        <f t="shared" si="3"/>
        <v>15421012.440000001</v>
      </c>
      <c r="X18" s="12">
        <f t="shared" si="3"/>
        <v>1686685.8</v>
      </c>
      <c r="Y18" s="12">
        <f t="shared" si="3"/>
        <v>6356452.4899999993</v>
      </c>
      <c r="Z18" s="12">
        <f t="shared" si="3"/>
        <v>11825867.299999999</v>
      </c>
      <c r="AA18" s="12">
        <f t="shared" si="3"/>
        <v>753377.75</v>
      </c>
      <c r="AB18" s="12">
        <f t="shared" si="3"/>
        <v>881754.75</v>
      </c>
      <c r="AC18" s="12">
        <f t="shared" si="3"/>
        <v>2900094.7700000005</v>
      </c>
      <c r="AD18" s="12">
        <f t="shared" si="3"/>
        <v>4893312.1400000006</v>
      </c>
      <c r="AE18" s="12">
        <f t="shared" si="3"/>
        <v>3170089.3499999996</v>
      </c>
      <c r="AF18" s="12">
        <f t="shared" si="3"/>
        <v>3459156.17</v>
      </c>
      <c r="AG18" s="12">
        <f t="shared" si="3"/>
        <v>8995548.4699999988</v>
      </c>
      <c r="AH18" s="12">
        <f t="shared" si="3"/>
        <v>11889346.75</v>
      </c>
      <c r="AI18" s="12">
        <f t="shared" si="3"/>
        <v>960175.85</v>
      </c>
      <c r="AJ18" s="12">
        <f t="shared" si="3"/>
        <v>691389.12</v>
      </c>
      <c r="AK18" s="12">
        <f t="shared" si="3"/>
        <v>7936382.7000000002</v>
      </c>
      <c r="AL18" s="12">
        <f t="shared" si="3"/>
        <v>5061827.55</v>
      </c>
      <c r="AM18" s="12">
        <f t="shared" si="3"/>
        <v>5384973.0299999993</v>
      </c>
      <c r="AN18" s="12">
        <f t="shared" si="3"/>
        <v>518478.07</v>
      </c>
      <c r="AO18" s="12">
        <f t="shared" si="3"/>
        <v>8995946.3300000001</v>
      </c>
      <c r="AP18" s="12">
        <f t="shared" si="3"/>
        <v>3836911.7399999998</v>
      </c>
      <c r="AQ18" s="12">
        <f t="shared" si="3"/>
        <v>3429439.8</v>
      </c>
      <c r="AR18" s="12">
        <f t="shared" si="3"/>
        <v>8074974.8300000001</v>
      </c>
      <c r="AS18" s="12">
        <f t="shared" si="3"/>
        <v>3150645.83</v>
      </c>
      <c r="AT18" s="12">
        <f t="shared" si="3"/>
        <v>5069785.66</v>
      </c>
      <c r="AU18" s="12">
        <f t="shared" si="3"/>
        <v>1802864.59</v>
      </c>
      <c r="AV18" s="12">
        <f t="shared" si="3"/>
        <v>11372510.48</v>
      </c>
      <c r="AW18" s="12">
        <f t="shared" si="3"/>
        <v>3228589.15</v>
      </c>
      <c r="AX18" s="12">
        <f t="shared" si="3"/>
        <v>772786.49</v>
      </c>
      <c r="AY18" s="12">
        <f t="shared" si="3"/>
        <v>1265506.79</v>
      </c>
      <c r="AZ18" s="12">
        <f t="shared" si="3"/>
        <v>6426385.0900000008</v>
      </c>
      <c r="BA18" s="12">
        <f t="shared" si="3"/>
        <v>2615693.42</v>
      </c>
      <c r="BB18" s="12">
        <f t="shared" si="3"/>
        <v>6027021.9100000001</v>
      </c>
      <c r="BC18" s="12">
        <f t="shared" si="3"/>
        <v>1231725.77</v>
      </c>
      <c r="BD18" s="12">
        <f t="shared" si="3"/>
        <v>45571890.300000004</v>
      </c>
      <c r="BE18" s="12">
        <f t="shared" si="3"/>
        <v>2447242.33</v>
      </c>
      <c r="BF18" s="12">
        <f t="shared" si="0"/>
        <v>228715130.97999999</v>
      </c>
      <c r="BG18" s="12">
        <f t="shared" si="1"/>
        <v>58463250.709999993</v>
      </c>
      <c r="BH18" s="12">
        <f t="shared" si="2"/>
        <v>134221581.86000001</v>
      </c>
    </row>
    <row r="19" spans="1:60" ht="14.4" thickBot="1" x14ac:dyDescent="0.3">
      <c r="B19" s="146"/>
      <c r="D19" s="12"/>
      <c r="BF19" s="12"/>
      <c r="BG19" s="12"/>
      <c r="BH19" s="12"/>
    </row>
    <row r="20" spans="1:60" ht="14.4" thickBot="1" x14ac:dyDescent="0.3">
      <c r="A20" s="6" t="s">
        <v>530</v>
      </c>
      <c r="B20" s="146"/>
      <c r="D20" s="147">
        <f>IF(D18&lt;&gt;0,D6/D18,"")*100</f>
        <v>13.797218046769338</v>
      </c>
      <c r="E20" s="152">
        <f>IF(E18&lt;&gt;0,E6/E18,"")*100</f>
        <v>9.7505448655740743</v>
      </c>
      <c r="F20" s="12">
        <f t="shared" ref="F20:BH20" si="4">IF(F18&lt;&gt;0,F6/F18,"")*100</f>
        <v>2.6409926983838217</v>
      </c>
      <c r="G20" s="12">
        <f t="shared" si="4"/>
        <v>13.761586149996905</v>
      </c>
      <c r="H20" s="12">
        <f t="shared" si="4"/>
        <v>3.2902520228469214</v>
      </c>
      <c r="I20" s="12">
        <f t="shared" si="4"/>
        <v>14.037696959038893</v>
      </c>
      <c r="J20" s="12">
        <f t="shared" si="4"/>
        <v>14.573239071511567</v>
      </c>
      <c r="K20" s="12">
        <f t="shared" si="4"/>
        <v>8.8800887335648948</v>
      </c>
      <c r="L20" s="12">
        <f t="shared" si="4"/>
        <v>10.884123751597309</v>
      </c>
      <c r="M20" s="12">
        <f t="shared" si="4"/>
        <v>20.801080816594002</v>
      </c>
      <c r="N20" s="12">
        <f t="shared" si="4"/>
        <v>9.5379508762045848</v>
      </c>
      <c r="O20" s="12">
        <f t="shared" si="4"/>
        <v>18.014278705230616</v>
      </c>
      <c r="P20" s="12">
        <f t="shared" si="4"/>
        <v>2.6780980111174268</v>
      </c>
      <c r="Q20" s="12">
        <f t="shared" si="4"/>
        <v>0.56394673800567774</v>
      </c>
      <c r="R20" s="12">
        <f t="shared" si="4"/>
        <v>2.8342129746356326</v>
      </c>
      <c r="S20" s="12">
        <f t="shared" si="4"/>
        <v>1.5481099297879436E-2</v>
      </c>
      <c r="T20" s="12">
        <f t="shared" si="4"/>
        <v>6.4838959858789149</v>
      </c>
      <c r="U20" s="12">
        <f t="shared" si="4"/>
        <v>10.490281425874342</v>
      </c>
      <c r="V20" s="12">
        <f t="shared" si="4"/>
        <v>2.9805417210258622</v>
      </c>
      <c r="W20" s="12">
        <f t="shared" si="4"/>
        <v>31.875328997529813</v>
      </c>
      <c r="X20" s="12">
        <f t="shared" si="4"/>
        <v>19.657985500322585</v>
      </c>
      <c r="Y20" s="12">
        <f t="shared" si="4"/>
        <v>8.9501730862460995</v>
      </c>
      <c r="Z20" s="12">
        <f t="shared" si="4"/>
        <v>3.0131895696140614</v>
      </c>
      <c r="AA20" s="12">
        <f t="shared" si="4"/>
        <v>45.08929285474651</v>
      </c>
      <c r="AB20" s="12">
        <f t="shared" si="4"/>
        <v>20.216477427538667</v>
      </c>
      <c r="AC20" s="12">
        <f t="shared" si="4"/>
        <v>12.888613291764942</v>
      </c>
      <c r="AD20" s="12">
        <f t="shared" si="4"/>
        <v>31.350452333907313</v>
      </c>
      <c r="AE20" s="12">
        <f t="shared" si="4"/>
        <v>15.234422335761611</v>
      </c>
      <c r="AF20" s="12">
        <f t="shared" si="4"/>
        <v>17.520917825459151</v>
      </c>
      <c r="AG20" s="12">
        <f t="shared" si="4"/>
        <v>9.2362019144342415</v>
      </c>
      <c r="AH20" s="12">
        <f t="shared" si="4"/>
        <v>9.8531892006598252</v>
      </c>
      <c r="AI20" s="12">
        <f t="shared" si="4"/>
        <v>2.6525193275794221</v>
      </c>
      <c r="AJ20" s="12">
        <f t="shared" si="4"/>
        <v>9.6505496065659813</v>
      </c>
      <c r="AK20" s="12">
        <f t="shared" si="4"/>
        <v>9.1129531845786609</v>
      </c>
      <c r="AL20" s="12">
        <f t="shared" si="4"/>
        <v>4.9168180373904686</v>
      </c>
      <c r="AM20" s="12">
        <f t="shared" si="4"/>
        <v>8.6138659825377086</v>
      </c>
      <c r="AN20" s="12">
        <f t="shared" si="4"/>
        <v>3.7911921713487318</v>
      </c>
      <c r="AO20" s="12">
        <f t="shared" si="4"/>
        <v>16.989752983552982</v>
      </c>
      <c r="AP20" s="12">
        <f t="shared" si="4"/>
        <v>8.7252971318021508</v>
      </c>
      <c r="AQ20" s="12">
        <f t="shared" si="4"/>
        <v>32.767007602816065</v>
      </c>
      <c r="AR20" s="12">
        <f t="shared" si="4"/>
        <v>24.340325405076214</v>
      </c>
      <c r="AS20" s="12">
        <f t="shared" si="4"/>
        <v>4.850430935298113</v>
      </c>
      <c r="AT20" s="12">
        <f t="shared" si="4"/>
        <v>20.525497916217624</v>
      </c>
      <c r="AU20" s="12">
        <f t="shared" si="4"/>
        <v>9.8575234649209005</v>
      </c>
      <c r="AV20" s="12">
        <f t="shared" si="4"/>
        <v>18.773109541245287</v>
      </c>
      <c r="AW20" s="12">
        <f t="shared" si="4"/>
        <v>10.663471999836215</v>
      </c>
      <c r="AX20" s="12">
        <f t="shared" si="4"/>
        <v>0</v>
      </c>
      <c r="AY20" s="12">
        <f t="shared" si="4"/>
        <v>6.6839111941864813</v>
      </c>
      <c r="AZ20" s="12">
        <f t="shared" si="4"/>
        <v>4.1141123088221283</v>
      </c>
      <c r="BA20" s="12">
        <f t="shared" si="4"/>
        <v>45.174978113451843</v>
      </c>
      <c r="BB20" s="12">
        <f t="shared" si="4"/>
        <v>15.66599431857715</v>
      </c>
      <c r="BC20" s="12">
        <f t="shared" si="4"/>
        <v>38.121427791512389</v>
      </c>
      <c r="BD20" s="12">
        <f t="shared" si="4"/>
        <v>15.326733637818837</v>
      </c>
      <c r="BE20" s="12">
        <f t="shared" si="4"/>
        <v>1.3895599787210284</v>
      </c>
      <c r="BF20" s="12">
        <f t="shared" si="4"/>
        <v>13.577531030387103</v>
      </c>
      <c r="BG20" s="12">
        <f t="shared" si="4"/>
        <v>11.744415280735593</v>
      </c>
      <c r="BH20" s="12">
        <f t="shared" si="4"/>
        <v>15.065712018721392</v>
      </c>
    </row>
    <row r="21" spans="1:60" x14ac:dyDescent="0.25">
      <c r="A21" s="150" t="s">
        <v>531</v>
      </c>
      <c r="B21" s="146"/>
      <c r="D21" s="12"/>
      <c r="BF21" s="12"/>
      <c r="BG21" s="12"/>
      <c r="BH21" s="12"/>
    </row>
    <row r="22" spans="1:60" x14ac:dyDescent="0.25">
      <c r="A22" s="150"/>
      <c r="B22" s="146"/>
      <c r="D22" s="12"/>
      <c r="BF22" s="12"/>
      <c r="BG22" s="12"/>
      <c r="BH22" s="12"/>
    </row>
    <row r="23" spans="1:60" x14ac:dyDescent="0.25">
      <c r="D23" s="12"/>
      <c r="BF23" s="12"/>
      <c r="BG23" s="12"/>
      <c r="BH23" s="12"/>
    </row>
    <row r="24" spans="1:60" x14ac:dyDescent="0.25">
      <c r="A24" s="6" t="s">
        <v>532</v>
      </c>
      <c r="B24" s="139"/>
      <c r="C24" s="29" t="s">
        <v>493</v>
      </c>
      <c r="D24" s="159" t="s">
        <v>494</v>
      </c>
      <c r="BF24" s="12"/>
      <c r="BG24" s="12"/>
      <c r="BH24" s="12"/>
    </row>
    <row r="25" spans="1:60" x14ac:dyDescent="0.25">
      <c r="B25" s="139"/>
      <c r="D25" s="12"/>
      <c r="BF25" s="12"/>
      <c r="BG25" s="12"/>
      <c r="BH25" s="12"/>
    </row>
    <row r="26" spans="1:60" x14ac:dyDescent="0.25">
      <c r="A26" s="140" t="s">
        <v>281</v>
      </c>
      <c r="B26" s="141" t="s">
        <v>224</v>
      </c>
      <c r="C26" s="140">
        <v>340</v>
      </c>
      <c r="D26" s="142">
        <f>'Base de données indicateurs1'!BF23</f>
        <v>6248537.4499999983</v>
      </c>
      <c r="E26" s="12">
        <f>'Base de données indicateurs1'!E23</f>
        <v>54405.36</v>
      </c>
      <c r="F26" s="12">
        <f>'Base de données indicateurs1'!F23</f>
        <v>28132.15</v>
      </c>
      <c r="G26" s="12">
        <f>'Base de données indicateurs1'!G23</f>
        <v>54021.440000000002</v>
      </c>
      <c r="H26" s="12">
        <f>'Base de données indicateurs1'!H23</f>
        <v>57098.85</v>
      </c>
      <c r="I26" s="12">
        <f>'Base de données indicateurs1'!I23</f>
        <v>374174</v>
      </c>
      <c r="J26" s="12">
        <f>'Base de données indicateurs1'!J23</f>
        <v>193845.61</v>
      </c>
      <c r="K26" s="12">
        <f>'Base de données indicateurs1'!K23</f>
        <v>143790.16</v>
      </c>
      <c r="L26" s="12">
        <f>'Base de données indicateurs1'!L23</f>
        <v>1809808.42</v>
      </c>
      <c r="M26" s="12">
        <f>'Base de données indicateurs1'!M23</f>
        <v>42381.919999999998</v>
      </c>
      <c r="N26" s="12">
        <f>'Base de données indicateurs1'!N23</f>
        <v>7268.05</v>
      </c>
      <c r="O26" s="12">
        <f>'Base de données indicateurs1'!O23</f>
        <v>295834.36</v>
      </c>
      <c r="P26" s="12">
        <f>'Base de données indicateurs1'!P23</f>
        <v>39196.449999999997</v>
      </c>
      <c r="Q26" s="12">
        <f>'Base de données indicateurs1'!Q23</f>
        <v>8151.88</v>
      </c>
      <c r="R26" s="12">
        <f>'Base de données indicateurs1'!R23</f>
        <v>38763.06</v>
      </c>
      <c r="S26" s="12">
        <f>'Base de données indicateurs1'!S23</f>
        <v>64754.02</v>
      </c>
      <c r="T26" s="12">
        <f>'Base de données indicateurs1'!T23</f>
        <v>45109.47</v>
      </c>
      <c r="U26" s="12">
        <f>'Base de données indicateurs1'!U23</f>
        <v>10053.27</v>
      </c>
      <c r="V26" s="12">
        <f>'Base de données indicateurs1'!V23</f>
        <v>35619.339999999997</v>
      </c>
      <c r="W26" s="12">
        <f>'Base de données indicateurs1'!W23</f>
        <v>166137.12</v>
      </c>
      <c r="X26" s="12">
        <f>'Base de données indicateurs1'!X23</f>
        <v>8239.19</v>
      </c>
      <c r="Y26" s="12">
        <f>'Base de données indicateurs1'!Y23</f>
        <v>128326.63</v>
      </c>
      <c r="Z26" s="12">
        <f>'Base de données indicateurs1'!Z23</f>
        <v>10311.48</v>
      </c>
      <c r="AA26" s="12">
        <f>'Base de données indicateurs1'!AA23</f>
        <v>4795.67</v>
      </c>
      <c r="AB26" s="12">
        <f>'Base de données indicateurs1'!AB23</f>
        <v>3587.37</v>
      </c>
      <c r="AC26" s="12">
        <f>'Base de données indicateurs1'!AC23</f>
        <v>62106.16</v>
      </c>
      <c r="AD26" s="12">
        <f>'Base de données indicateurs1'!AD23</f>
        <v>57177.8</v>
      </c>
      <c r="AE26" s="12">
        <f>'Base de données indicateurs1'!AE23</f>
        <v>35078.6</v>
      </c>
      <c r="AF26" s="12">
        <f>'Base de données indicateurs1'!AF23</f>
        <v>15061.15</v>
      </c>
      <c r="AG26" s="12">
        <f>'Base de données indicateurs1'!AG23</f>
        <v>46459.57</v>
      </c>
      <c r="AH26" s="12">
        <f>'Base de données indicateurs1'!AH23</f>
        <v>132611.03</v>
      </c>
      <c r="AI26" s="12">
        <f>'Base de données indicateurs1'!AI23</f>
        <v>0</v>
      </c>
      <c r="AJ26" s="12">
        <f>'Base de données indicateurs1'!AJ23</f>
        <v>4578.28</v>
      </c>
      <c r="AK26" s="12">
        <f>'Base de données indicateurs1'!AK23</f>
        <v>156374.1</v>
      </c>
      <c r="AL26" s="12">
        <f>'Base de données indicateurs1'!AL23</f>
        <v>119078</v>
      </c>
      <c r="AM26" s="12">
        <f>'Base de données indicateurs1'!AM23</f>
        <v>129201.11</v>
      </c>
      <c r="AN26" s="12">
        <f>'Base de données indicateurs1'!AN23</f>
        <v>19633.919999999998</v>
      </c>
      <c r="AO26" s="12">
        <f>'Base de données indicateurs1'!AO23</f>
        <v>60213.33</v>
      </c>
      <c r="AP26" s="12">
        <f>'Base de données indicateurs1'!AP23</f>
        <v>74155.97</v>
      </c>
      <c r="AQ26" s="12">
        <f>'Base de données indicateurs1'!AQ23</f>
        <v>60050</v>
      </c>
      <c r="AR26" s="12">
        <f>'Base de données indicateurs1'!AR23</f>
        <v>78368.460000000006</v>
      </c>
      <c r="AS26" s="12">
        <f>'Base de données indicateurs1'!AS23</f>
        <v>0</v>
      </c>
      <c r="AT26" s="12">
        <f>'Base de données indicateurs1'!AT23</f>
        <v>105867.22</v>
      </c>
      <c r="AU26" s="12">
        <f>'Base de données indicateurs1'!AU23</f>
        <v>22266.65</v>
      </c>
      <c r="AV26" s="12">
        <f>'Base de données indicateurs1'!AV23</f>
        <v>190311.65</v>
      </c>
      <c r="AW26" s="12">
        <f>'Base de données indicateurs1'!AW23</f>
        <v>60249.21</v>
      </c>
      <c r="AX26" s="12">
        <f>'Base de données indicateurs1'!AX23</f>
        <v>7077.6</v>
      </c>
      <c r="AY26" s="12">
        <f>'Base de données indicateurs1'!AY23</f>
        <v>14484.84</v>
      </c>
      <c r="AZ26" s="12">
        <f>'Base de données indicateurs1'!AZ23</f>
        <v>285893.94</v>
      </c>
      <c r="BA26" s="12">
        <f>'Base de données indicateurs1'!BA23</f>
        <v>18908.810000000001</v>
      </c>
      <c r="BB26" s="12">
        <f>'Base de données indicateurs1'!BB23</f>
        <v>77938</v>
      </c>
      <c r="BC26" s="12">
        <f>'Base de données indicateurs1'!BC23</f>
        <v>278.10000000000002</v>
      </c>
      <c r="BD26" s="12">
        <f>'Base de données indicateurs1'!BD23</f>
        <v>754417.41</v>
      </c>
      <c r="BE26" s="12">
        <f>'Base de données indicateurs1'!BE23</f>
        <v>36891.269999999997</v>
      </c>
      <c r="BF26" s="12">
        <f t="shared" si="0"/>
        <v>3468544.93</v>
      </c>
      <c r="BG26" s="12">
        <f t="shared" si="1"/>
        <v>508332.93000000005</v>
      </c>
      <c r="BH26" s="12">
        <f t="shared" si="2"/>
        <v>2271659.5900000003</v>
      </c>
    </row>
    <row r="27" spans="1:60" x14ac:dyDescent="0.25">
      <c r="A27" s="143" t="s">
        <v>280</v>
      </c>
      <c r="B27" s="144" t="s">
        <v>225</v>
      </c>
      <c r="C27" s="143">
        <v>440</v>
      </c>
      <c r="D27" s="145">
        <f>'Base de données indicateurs1'!BF42</f>
        <v>2807980.9099999997</v>
      </c>
      <c r="E27" s="12">
        <f>'Base de données indicateurs1'!E42</f>
        <v>20774.759999999998</v>
      </c>
      <c r="F27" s="12">
        <f>'Base de données indicateurs1'!F42</f>
        <v>3458.6</v>
      </c>
      <c r="G27" s="12">
        <f>'Base de données indicateurs1'!G42</f>
        <v>8650.19</v>
      </c>
      <c r="H27" s="12">
        <f>'Base de données indicateurs1'!H42</f>
        <v>7673</v>
      </c>
      <c r="I27" s="12">
        <f>'Base de données indicateurs1'!I42</f>
        <v>92820</v>
      </c>
      <c r="J27" s="12">
        <f>'Base de données indicateurs1'!J42</f>
        <v>85392.02</v>
      </c>
      <c r="K27" s="12">
        <f>'Base de données indicateurs1'!K42</f>
        <v>50590.25</v>
      </c>
      <c r="L27" s="12">
        <f>'Base de données indicateurs1'!L42</f>
        <v>916525.13</v>
      </c>
      <c r="M27" s="12">
        <f>'Base de données indicateurs1'!M42</f>
        <v>34510.089999999997</v>
      </c>
      <c r="N27" s="12">
        <f>'Base de données indicateurs1'!N42</f>
        <v>2550.92</v>
      </c>
      <c r="O27" s="12">
        <f>'Base de données indicateurs1'!O42</f>
        <v>204486.74</v>
      </c>
      <c r="P27" s="12">
        <f>'Base de données indicateurs1'!P42</f>
        <v>13949.69</v>
      </c>
      <c r="Q27" s="12">
        <f>'Base de données indicateurs1'!Q42</f>
        <v>3126.21</v>
      </c>
      <c r="R27" s="12">
        <f>'Base de données indicateurs1'!R42</f>
        <v>5.5</v>
      </c>
      <c r="S27" s="12">
        <f>'Base de données indicateurs1'!S42</f>
        <v>0</v>
      </c>
      <c r="T27" s="12">
        <f>'Base de données indicateurs1'!T42</f>
        <v>20475.93</v>
      </c>
      <c r="U27" s="12">
        <f>'Base de données indicateurs1'!U42</f>
        <v>10249.469999999999</v>
      </c>
      <c r="V27" s="12">
        <f>'Base de données indicateurs1'!V42</f>
        <v>14363.15</v>
      </c>
      <c r="W27" s="12">
        <f>'Base de données indicateurs1'!W42</f>
        <v>96966.55</v>
      </c>
      <c r="X27" s="12">
        <f>'Base de données indicateurs1'!X42</f>
        <v>5057.2</v>
      </c>
      <c r="Y27" s="12">
        <f>'Base de données indicateurs1'!Y42</f>
        <v>42079.32</v>
      </c>
      <c r="Z27" s="12">
        <f>'Base de données indicateurs1'!Z42</f>
        <v>33323.19</v>
      </c>
      <c r="AA27" s="12">
        <f>'Base de données indicateurs1'!AA42</f>
        <v>2034.5</v>
      </c>
      <c r="AB27" s="12">
        <f>'Base de données indicateurs1'!AB42</f>
        <v>2689.22</v>
      </c>
      <c r="AC27" s="12">
        <f>'Base de données indicateurs1'!AC42</f>
        <v>5857.15</v>
      </c>
      <c r="AD27" s="12">
        <f>'Base de données indicateurs1'!AD42</f>
        <v>10282.23</v>
      </c>
      <c r="AE27" s="12">
        <f>'Base de données indicateurs1'!AE42</f>
        <v>14852.94</v>
      </c>
      <c r="AF27" s="12">
        <f>'Base de données indicateurs1'!AF42</f>
        <v>296.68</v>
      </c>
      <c r="AG27" s="12">
        <f>'Base de données indicateurs1'!AG42</f>
        <v>31517.47</v>
      </c>
      <c r="AH27" s="12">
        <f>'Base de données indicateurs1'!AH42</f>
        <v>51084.21</v>
      </c>
      <c r="AI27" s="12">
        <f>'Base de données indicateurs1'!AI42</f>
        <v>0</v>
      </c>
      <c r="AJ27" s="12">
        <f>'Base de données indicateurs1'!AJ42</f>
        <v>2287.2600000000002</v>
      </c>
      <c r="AK27" s="12">
        <f>'Base de données indicateurs1'!AK42</f>
        <v>51399.56</v>
      </c>
      <c r="AL27" s="12">
        <f>'Base de données indicateurs1'!AL42</f>
        <v>78509</v>
      </c>
      <c r="AM27" s="12">
        <f>'Base de données indicateurs1'!AM42</f>
        <v>43546.25</v>
      </c>
      <c r="AN27" s="12">
        <f>'Base de données indicateurs1'!AN42</f>
        <v>6846.77</v>
      </c>
      <c r="AO27" s="12">
        <f>'Base de données indicateurs1'!AO42</f>
        <v>21251.68</v>
      </c>
      <c r="AP27" s="12">
        <f>'Base de données indicateurs1'!AP42</f>
        <v>43429.84</v>
      </c>
      <c r="AQ27" s="12">
        <f>'Base de données indicateurs1'!AQ42</f>
        <v>20734</v>
      </c>
      <c r="AR27" s="12">
        <f>'Base de données indicateurs1'!AR42</f>
        <v>37646.339999999997</v>
      </c>
      <c r="AS27" s="12">
        <f>'Base de données indicateurs1'!AS42</f>
        <v>24618.9</v>
      </c>
      <c r="AT27" s="12">
        <f>'Base de données indicateurs1'!AT42</f>
        <v>34333.64</v>
      </c>
      <c r="AU27" s="12">
        <f>'Base de données indicateurs1'!AU42</f>
        <v>9603.7900000000009</v>
      </c>
      <c r="AV27" s="12">
        <f>'Base de données indicateurs1'!AV42</f>
        <v>75161.23</v>
      </c>
      <c r="AW27" s="12">
        <f>'Base de données indicateurs1'!AW42</f>
        <v>15309.24</v>
      </c>
      <c r="AX27" s="12">
        <f>'Base de données indicateurs1'!AX42</f>
        <v>3910.43</v>
      </c>
      <c r="AY27" s="12">
        <f>'Base de données indicateurs1'!AY42</f>
        <v>10077.92</v>
      </c>
      <c r="AZ27" s="12">
        <f>'Base de données indicateurs1'!AZ42</f>
        <v>67652.11</v>
      </c>
      <c r="BA27" s="12">
        <f>'Base de données indicateurs1'!BA42</f>
        <v>11732.29</v>
      </c>
      <c r="BB27" s="12">
        <f>'Base de données indicateurs1'!BB42</f>
        <v>53388</v>
      </c>
      <c r="BC27" s="12">
        <f>'Base de données indicateurs1'!BC42</f>
        <v>5670.83</v>
      </c>
      <c r="BD27" s="12">
        <f>'Base de données indicateurs1'!BD42</f>
        <v>356399.74</v>
      </c>
      <c r="BE27" s="12">
        <f>'Base de données indicateurs1'!BE42</f>
        <v>48829.78</v>
      </c>
      <c r="BF27" s="12">
        <f t="shared" si="0"/>
        <v>1586568.1999999997</v>
      </c>
      <c r="BG27" s="12">
        <f t="shared" si="1"/>
        <v>201361.36999999997</v>
      </c>
      <c r="BH27" s="12">
        <f t="shared" si="2"/>
        <v>1020051.34</v>
      </c>
    </row>
    <row r="28" spans="1:60" x14ac:dyDescent="0.25">
      <c r="A28" s="143" t="s">
        <v>533</v>
      </c>
      <c r="B28" s="144" t="s">
        <v>224</v>
      </c>
      <c r="C28" s="143">
        <v>33</v>
      </c>
      <c r="D28" s="145">
        <f>'Base de données indicateurs1'!BF21</f>
        <v>25063349.649999999</v>
      </c>
      <c r="E28" s="12">
        <f>'Base de données indicateurs1'!E21</f>
        <v>273439.17</v>
      </c>
      <c r="F28" s="12">
        <f>'Base de données indicateurs1'!F21</f>
        <v>83034</v>
      </c>
      <c r="G28" s="12">
        <f>'Base de données indicateurs1'!G21</f>
        <v>78515.149999999994</v>
      </c>
      <c r="H28" s="12">
        <f>'Base de données indicateurs1'!H21</f>
        <v>93170.3</v>
      </c>
      <c r="I28" s="12">
        <f>'Base de données indicateurs1'!I21</f>
        <v>858686</v>
      </c>
      <c r="J28" s="12">
        <f>'Base de données indicateurs1'!J21</f>
        <v>1089085.6299999999</v>
      </c>
      <c r="K28" s="12">
        <f>'Base de données indicateurs1'!K21</f>
        <v>632517.34</v>
      </c>
      <c r="L28" s="12">
        <f>'Base de données indicateurs1'!L21</f>
        <v>5967644.75</v>
      </c>
      <c r="M28" s="12">
        <f>'Base de données indicateurs1'!M21</f>
        <v>613168.35</v>
      </c>
      <c r="N28" s="12">
        <f>'Base de données indicateurs1'!N21</f>
        <v>50799.23</v>
      </c>
      <c r="O28" s="12">
        <f>'Base de données indicateurs1'!O21</f>
        <v>1383618.3</v>
      </c>
      <c r="P28" s="12">
        <f>'Base de données indicateurs1'!P21</f>
        <v>122720.55</v>
      </c>
      <c r="Q28" s="12">
        <f>'Base de données indicateurs1'!Q21</f>
        <v>12625</v>
      </c>
      <c r="R28" s="12">
        <f>'Base de données indicateurs1'!R21</f>
        <v>87650</v>
      </c>
      <c r="S28" s="12">
        <f>'Base de données indicateurs1'!S21</f>
        <v>105668.5</v>
      </c>
      <c r="T28" s="12">
        <f>'Base de données indicateurs1'!T21</f>
        <v>168872.25</v>
      </c>
      <c r="U28" s="12">
        <f>'Base de données indicateurs1'!U21</f>
        <v>40149.85</v>
      </c>
      <c r="V28" s="12">
        <f>'Base de données indicateurs1'!V21</f>
        <v>139791.85</v>
      </c>
      <c r="W28" s="12">
        <f>'Base de données indicateurs1'!W21</f>
        <v>1101646.21</v>
      </c>
      <c r="X28" s="12">
        <f>'Base de données indicateurs1'!X21</f>
        <v>59856.25</v>
      </c>
      <c r="Y28" s="12">
        <f>'Base de données indicateurs1'!Y21</f>
        <v>296371.95</v>
      </c>
      <c r="Z28" s="12">
        <f>'Base de données indicateurs1'!Z21</f>
        <v>498784</v>
      </c>
      <c r="AA28" s="12">
        <f>'Base de données indicateurs1'!AA21</f>
        <v>98769.65</v>
      </c>
      <c r="AB28" s="12">
        <f>'Base de données indicateurs1'!AB21</f>
        <v>163116.93</v>
      </c>
      <c r="AC28" s="12">
        <f>'Base de données indicateurs1'!AC21</f>
        <v>93759.9</v>
      </c>
      <c r="AD28" s="12">
        <f>'Base de données indicateurs1'!AD21</f>
        <v>282477.59999999998</v>
      </c>
      <c r="AE28" s="12">
        <f>'Base de données indicateurs1'!AE21</f>
        <v>124708.45</v>
      </c>
      <c r="AF28" s="12">
        <f>'Base de données indicateurs1'!AF21</f>
        <v>102124.94</v>
      </c>
      <c r="AG28" s="12">
        <f>'Base de données indicateurs1'!AG21</f>
        <v>610812.23</v>
      </c>
      <c r="AH28" s="12">
        <f>'Base de données indicateurs1'!AH21</f>
        <v>775580.9</v>
      </c>
      <c r="AI28" s="12">
        <f>'Base de données indicateurs1'!AI21</f>
        <v>62896</v>
      </c>
      <c r="AJ28" s="12">
        <f>'Base de données indicateurs1'!AJ21</f>
        <v>158021.35999999999</v>
      </c>
      <c r="AK28" s="12">
        <f>'Base de données indicateurs1'!AK21</f>
        <v>423638.75</v>
      </c>
      <c r="AL28" s="12">
        <f>'Base de données indicateurs1'!AL21</f>
        <v>393262</v>
      </c>
      <c r="AM28" s="12">
        <f>'Base de données indicateurs1'!AM21</f>
        <v>270930</v>
      </c>
      <c r="AN28" s="12">
        <f>'Base de données indicateurs1'!AN21</f>
        <v>42915</v>
      </c>
      <c r="AO28" s="12">
        <f>'Base de données indicateurs1'!AO21</f>
        <v>609937.27</v>
      </c>
      <c r="AP28" s="12">
        <f>'Base de données indicateurs1'!AP21</f>
        <v>112200</v>
      </c>
      <c r="AQ28" s="12">
        <f>'Base de données indicateurs1'!AQ21</f>
        <v>224974</v>
      </c>
      <c r="AR28" s="12">
        <f>'Base de données indicateurs1'!AR21</f>
        <v>972063.07</v>
      </c>
      <c r="AS28" s="12">
        <f>'Base de données indicateurs1'!AS21</f>
        <v>174026.95</v>
      </c>
      <c r="AT28" s="12">
        <f>'Base de données indicateurs1'!AT21</f>
        <v>264605.2</v>
      </c>
      <c r="AU28" s="12">
        <f>'Base de données indicateurs1'!AU21</f>
        <v>129587.55</v>
      </c>
      <c r="AV28" s="12">
        <f>'Base de données indicateurs1'!AV21</f>
        <v>842004.6</v>
      </c>
      <c r="AW28" s="12">
        <f>'Base de données indicateurs1'!AW21</f>
        <v>115334.39999999999</v>
      </c>
      <c r="AX28" s="12">
        <f>'Base de données indicateurs1'!AX21</f>
        <v>33410</v>
      </c>
      <c r="AY28" s="12">
        <f>'Base de données indicateurs1'!AY21</f>
        <v>175965</v>
      </c>
      <c r="AZ28" s="12">
        <f>'Base de données indicateurs1'!AZ21</f>
        <v>581198.1</v>
      </c>
      <c r="BA28" s="12">
        <f>'Base de données indicateurs1'!BA21</f>
        <v>46350</v>
      </c>
      <c r="BB28" s="12">
        <f>'Base de données indicateurs1'!BB21</f>
        <v>391952</v>
      </c>
      <c r="BC28" s="12">
        <f>'Base de données indicateurs1'!BC21</f>
        <v>25245</v>
      </c>
      <c r="BD28" s="12">
        <f>'Base de données indicateurs1'!BD21</f>
        <v>2911318.17</v>
      </c>
      <c r="BE28" s="12">
        <f>'Base de données indicateurs1'!BE21</f>
        <v>92350</v>
      </c>
      <c r="BF28" s="12">
        <f t="shared" si="0"/>
        <v>12902802.43</v>
      </c>
      <c r="BG28" s="12">
        <f t="shared" si="1"/>
        <v>3327280.1599999992</v>
      </c>
      <c r="BH28" s="12">
        <f t="shared" si="2"/>
        <v>8833267.0599999987</v>
      </c>
    </row>
    <row r="29" spans="1:60" x14ac:dyDescent="0.25">
      <c r="A29" s="143" t="s">
        <v>527</v>
      </c>
      <c r="B29" s="144" t="s">
        <v>224</v>
      </c>
      <c r="C29" s="143">
        <v>364</v>
      </c>
      <c r="D29" s="145">
        <f>'Base de données indicateurs1'!BF29</f>
        <v>0</v>
      </c>
      <c r="E29" s="12">
        <f>'Base de données indicateurs1'!E29</f>
        <v>0</v>
      </c>
      <c r="F29" s="12">
        <f>'Base de données indicateurs1'!F29</f>
        <v>0</v>
      </c>
      <c r="G29" s="12">
        <f>'Base de données indicateurs1'!G29</f>
        <v>0</v>
      </c>
      <c r="H29" s="12">
        <f>'Base de données indicateurs1'!H29</f>
        <v>0</v>
      </c>
      <c r="I29" s="12">
        <f>'Base de données indicateurs1'!I29</f>
        <v>0</v>
      </c>
      <c r="J29" s="12">
        <f>'Base de données indicateurs1'!J29</f>
        <v>0</v>
      </c>
      <c r="K29" s="12">
        <f>'Base de données indicateurs1'!K29</f>
        <v>0</v>
      </c>
      <c r="L29" s="12">
        <f>'Base de données indicateurs1'!L29</f>
        <v>0</v>
      </c>
      <c r="M29" s="12">
        <f>'Base de données indicateurs1'!M29</f>
        <v>0</v>
      </c>
      <c r="N29" s="12">
        <f>'Base de données indicateurs1'!N29</f>
        <v>0</v>
      </c>
      <c r="O29" s="12">
        <f>'Base de données indicateurs1'!O29</f>
        <v>0</v>
      </c>
      <c r="P29" s="12">
        <f>'Base de données indicateurs1'!P29</f>
        <v>0</v>
      </c>
      <c r="Q29" s="12">
        <f>'Base de données indicateurs1'!Q29</f>
        <v>0</v>
      </c>
      <c r="R29" s="12">
        <f>'Base de données indicateurs1'!R29</f>
        <v>0</v>
      </c>
      <c r="S29" s="12">
        <f>'Base de données indicateurs1'!S29</f>
        <v>0</v>
      </c>
      <c r="T29" s="12">
        <f>'Base de données indicateurs1'!T29</f>
        <v>0</v>
      </c>
      <c r="U29" s="12">
        <f>'Base de données indicateurs1'!U29</f>
        <v>0</v>
      </c>
      <c r="V29" s="12">
        <f>'Base de données indicateurs1'!V29</f>
        <v>0</v>
      </c>
      <c r="W29" s="12">
        <f>'Base de données indicateurs1'!W29</f>
        <v>0</v>
      </c>
      <c r="X29" s="12">
        <f>'Base de données indicateurs1'!X29</f>
        <v>0</v>
      </c>
      <c r="Y29" s="12">
        <f>'Base de données indicateurs1'!Y29</f>
        <v>0</v>
      </c>
      <c r="Z29" s="12">
        <f>'Base de données indicateurs1'!Z29</f>
        <v>0</v>
      </c>
      <c r="AA29" s="12">
        <f>'Base de données indicateurs1'!AA29</f>
        <v>0</v>
      </c>
      <c r="AB29" s="12">
        <f>'Base de données indicateurs1'!AB29</f>
        <v>0</v>
      </c>
      <c r="AC29" s="12">
        <f>'Base de données indicateurs1'!AC29</f>
        <v>0</v>
      </c>
      <c r="AD29" s="12">
        <f>'Base de données indicateurs1'!AD29</f>
        <v>0</v>
      </c>
      <c r="AE29" s="12">
        <f>'Base de données indicateurs1'!AE29</f>
        <v>0</v>
      </c>
      <c r="AF29" s="12">
        <f>'Base de données indicateurs1'!AF29</f>
        <v>0</v>
      </c>
      <c r="AG29" s="12">
        <f>'Base de données indicateurs1'!AG29</f>
        <v>0</v>
      </c>
      <c r="AH29" s="12">
        <f>'Base de données indicateurs1'!AH29</f>
        <v>0</v>
      </c>
      <c r="AI29" s="12">
        <f>'Base de données indicateurs1'!AI29</f>
        <v>0</v>
      </c>
      <c r="AJ29" s="12">
        <f>'Base de données indicateurs1'!AJ29</f>
        <v>0</v>
      </c>
      <c r="AK29" s="12">
        <f>'Base de données indicateurs1'!AK29</f>
        <v>0</v>
      </c>
      <c r="AL29" s="12">
        <f>'Base de données indicateurs1'!AL29</f>
        <v>0</v>
      </c>
      <c r="AM29" s="12">
        <f>'Base de données indicateurs1'!AM29</f>
        <v>0</v>
      </c>
      <c r="AN29" s="12">
        <f>'Base de données indicateurs1'!AN29</f>
        <v>0</v>
      </c>
      <c r="AO29" s="12">
        <f>'Base de données indicateurs1'!AO29</f>
        <v>0</v>
      </c>
      <c r="AP29" s="12">
        <f>'Base de données indicateurs1'!AP29</f>
        <v>0</v>
      </c>
      <c r="AQ29" s="12">
        <f>'Base de données indicateurs1'!AQ29</f>
        <v>0</v>
      </c>
      <c r="AR29" s="12">
        <f>'Base de données indicateurs1'!AR29</f>
        <v>0</v>
      </c>
      <c r="AS29" s="12">
        <f>'Base de données indicateurs1'!AS29</f>
        <v>0</v>
      </c>
      <c r="AT29" s="12">
        <f>'Base de données indicateurs1'!AT29</f>
        <v>0</v>
      </c>
      <c r="AU29" s="12">
        <f>'Base de données indicateurs1'!AU29</f>
        <v>0</v>
      </c>
      <c r="AV29" s="12">
        <f>'Base de données indicateurs1'!AV29</f>
        <v>0</v>
      </c>
      <c r="AW29" s="12">
        <f>'Base de données indicateurs1'!AW29</f>
        <v>0</v>
      </c>
      <c r="AX29" s="12">
        <f>'Base de données indicateurs1'!AX29</f>
        <v>0</v>
      </c>
      <c r="AY29" s="12">
        <f>'Base de données indicateurs1'!AY29</f>
        <v>0</v>
      </c>
      <c r="AZ29" s="12">
        <f>'Base de données indicateurs1'!AZ29</f>
        <v>0</v>
      </c>
      <c r="BA29" s="12">
        <f>'Base de données indicateurs1'!BA29</f>
        <v>0</v>
      </c>
      <c r="BB29" s="12">
        <f>'Base de données indicateurs1'!BB29</f>
        <v>0</v>
      </c>
      <c r="BC29" s="12">
        <f>'Base de données indicateurs1'!BC29</f>
        <v>0</v>
      </c>
      <c r="BD29" s="12">
        <f>'Base de données indicateurs1'!BD29</f>
        <v>0</v>
      </c>
      <c r="BE29" s="12">
        <f>'Base de données indicateurs1'!BE29</f>
        <v>0</v>
      </c>
      <c r="BF29" s="12">
        <f t="shared" si="0"/>
        <v>0</v>
      </c>
      <c r="BG29" s="12">
        <f t="shared" si="1"/>
        <v>0</v>
      </c>
      <c r="BH29" s="12">
        <f t="shared" si="2"/>
        <v>0</v>
      </c>
    </row>
    <row r="30" spans="1:60" x14ac:dyDescent="0.25">
      <c r="A30" s="143" t="s">
        <v>115</v>
      </c>
      <c r="B30" s="144" t="s">
        <v>224</v>
      </c>
      <c r="C30" s="143">
        <v>365</v>
      </c>
      <c r="D30" s="145">
        <f>'Base de données indicateurs1'!BF30</f>
        <v>21100</v>
      </c>
      <c r="E30" s="12">
        <f>'Base de données indicateurs1'!E30</f>
        <v>0</v>
      </c>
      <c r="F30" s="12">
        <f>'Base de données indicateurs1'!F30</f>
        <v>0</v>
      </c>
      <c r="G30" s="12">
        <f>'Base de données indicateurs1'!G30</f>
        <v>0</v>
      </c>
      <c r="H30" s="12">
        <f>'Base de données indicateurs1'!H30</f>
        <v>0</v>
      </c>
      <c r="I30" s="12">
        <f>'Base de données indicateurs1'!I30</f>
        <v>0</v>
      </c>
      <c r="J30" s="12">
        <f>'Base de données indicateurs1'!J30</f>
        <v>0</v>
      </c>
      <c r="K30" s="12">
        <f>'Base de données indicateurs1'!K30</f>
        <v>0</v>
      </c>
      <c r="L30" s="12">
        <f>'Base de données indicateurs1'!L30</f>
        <v>0</v>
      </c>
      <c r="M30" s="12">
        <f>'Base de données indicateurs1'!M30</f>
        <v>0</v>
      </c>
      <c r="N30" s="12">
        <f>'Base de données indicateurs1'!N30</f>
        <v>0</v>
      </c>
      <c r="O30" s="12">
        <f>'Base de données indicateurs1'!O30</f>
        <v>0</v>
      </c>
      <c r="P30" s="12">
        <f>'Base de données indicateurs1'!P30</f>
        <v>0</v>
      </c>
      <c r="Q30" s="12">
        <f>'Base de données indicateurs1'!Q30</f>
        <v>0</v>
      </c>
      <c r="R30" s="12">
        <f>'Base de données indicateurs1'!R30</f>
        <v>0</v>
      </c>
      <c r="S30" s="12">
        <f>'Base de données indicateurs1'!S30</f>
        <v>0</v>
      </c>
      <c r="T30" s="12">
        <f>'Base de données indicateurs1'!T30</f>
        <v>0</v>
      </c>
      <c r="U30" s="12">
        <f>'Base de données indicateurs1'!U30</f>
        <v>8100</v>
      </c>
      <c r="V30" s="12">
        <f>'Base de données indicateurs1'!V30</f>
        <v>0</v>
      </c>
      <c r="W30" s="12">
        <f>'Base de données indicateurs1'!W30</f>
        <v>0</v>
      </c>
      <c r="X30" s="12">
        <f>'Base de données indicateurs1'!X30</f>
        <v>0</v>
      </c>
      <c r="Y30" s="12">
        <f>'Base de données indicateurs1'!Y30</f>
        <v>0</v>
      </c>
      <c r="Z30" s="12">
        <f>'Base de données indicateurs1'!Z30</f>
        <v>0</v>
      </c>
      <c r="AA30" s="12">
        <f>'Base de données indicateurs1'!AA30</f>
        <v>0</v>
      </c>
      <c r="AB30" s="12">
        <f>'Base de données indicateurs1'!AB30</f>
        <v>0</v>
      </c>
      <c r="AC30" s="12">
        <f>'Base de données indicateurs1'!AC30</f>
        <v>0</v>
      </c>
      <c r="AD30" s="12">
        <f>'Base de données indicateurs1'!AD30</f>
        <v>0</v>
      </c>
      <c r="AE30" s="12">
        <f>'Base de données indicateurs1'!AE30</f>
        <v>0</v>
      </c>
      <c r="AF30" s="12">
        <f>'Base de données indicateurs1'!AF30</f>
        <v>0</v>
      </c>
      <c r="AG30" s="12">
        <f>'Base de données indicateurs1'!AG30</f>
        <v>0</v>
      </c>
      <c r="AH30" s="12">
        <f>'Base de données indicateurs1'!AH30</f>
        <v>0</v>
      </c>
      <c r="AI30" s="12">
        <f>'Base de données indicateurs1'!AI30</f>
        <v>0</v>
      </c>
      <c r="AJ30" s="12">
        <f>'Base de données indicateurs1'!AJ30</f>
        <v>0</v>
      </c>
      <c r="AK30" s="12">
        <f>'Base de données indicateurs1'!AK30</f>
        <v>0</v>
      </c>
      <c r="AL30" s="12">
        <f>'Base de données indicateurs1'!AL30</f>
        <v>0</v>
      </c>
      <c r="AM30" s="12">
        <f>'Base de données indicateurs1'!AM30</f>
        <v>0</v>
      </c>
      <c r="AN30" s="12">
        <f>'Base de données indicateurs1'!AN30</f>
        <v>0</v>
      </c>
      <c r="AO30" s="12">
        <f>'Base de données indicateurs1'!AO30</f>
        <v>0</v>
      </c>
      <c r="AP30" s="12">
        <f>'Base de données indicateurs1'!AP30</f>
        <v>0</v>
      </c>
      <c r="AQ30" s="12">
        <f>'Base de données indicateurs1'!AQ30</f>
        <v>0</v>
      </c>
      <c r="AR30" s="12">
        <f>'Base de données indicateurs1'!AR30</f>
        <v>0</v>
      </c>
      <c r="AS30" s="12">
        <f>'Base de données indicateurs1'!AS30</f>
        <v>0</v>
      </c>
      <c r="AT30" s="12">
        <f>'Base de données indicateurs1'!AT30</f>
        <v>0</v>
      </c>
      <c r="AU30" s="12">
        <f>'Base de données indicateurs1'!AU30</f>
        <v>0</v>
      </c>
      <c r="AV30" s="12">
        <f>'Base de données indicateurs1'!AV30</f>
        <v>0</v>
      </c>
      <c r="AW30" s="12">
        <f>'Base de données indicateurs1'!AW30</f>
        <v>0</v>
      </c>
      <c r="AX30" s="12">
        <f>'Base de données indicateurs1'!AX30</f>
        <v>0</v>
      </c>
      <c r="AY30" s="12">
        <f>'Base de données indicateurs1'!AY30</f>
        <v>0</v>
      </c>
      <c r="AZ30" s="12">
        <f>'Base de données indicateurs1'!AZ30</f>
        <v>13000</v>
      </c>
      <c r="BA30" s="12">
        <f>'Base de données indicateurs1'!BA30</f>
        <v>0</v>
      </c>
      <c r="BB30" s="12">
        <f>'Base de données indicateurs1'!BB30</f>
        <v>0</v>
      </c>
      <c r="BC30" s="12">
        <f>'Base de données indicateurs1'!BC30</f>
        <v>0</v>
      </c>
      <c r="BD30" s="12">
        <f>'Base de données indicateurs1'!BD30</f>
        <v>0</v>
      </c>
      <c r="BE30" s="12">
        <f>'Base de données indicateurs1'!BE30</f>
        <v>0</v>
      </c>
      <c r="BF30" s="12">
        <f t="shared" si="0"/>
        <v>8100</v>
      </c>
      <c r="BG30" s="12">
        <f t="shared" si="1"/>
        <v>0</v>
      </c>
      <c r="BH30" s="12">
        <f t="shared" si="2"/>
        <v>13000</v>
      </c>
    </row>
    <row r="31" spans="1:60" x14ac:dyDescent="0.25">
      <c r="A31" s="143" t="s">
        <v>534</v>
      </c>
      <c r="B31" s="144" t="s">
        <v>224</v>
      </c>
      <c r="C31" s="143">
        <v>366</v>
      </c>
      <c r="D31" s="145">
        <f>'Base de données indicateurs1'!BF31</f>
        <v>229456.08000000002</v>
      </c>
      <c r="E31" s="12">
        <f>'Base de données indicateurs1'!E31</f>
        <v>7905.29</v>
      </c>
      <c r="F31" s="12">
        <f>'Base de données indicateurs1'!F31</f>
        <v>0</v>
      </c>
      <c r="G31" s="12">
        <f>'Base de données indicateurs1'!G31</f>
        <v>0</v>
      </c>
      <c r="H31" s="12">
        <f>'Base de données indicateurs1'!H31</f>
        <v>0</v>
      </c>
      <c r="I31" s="12">
        <f>'Base de données indicateurs1'!I31</f>
        <v>1741</v>
      </c>
      <c r="J31" s="12">
        <f>'Base de données indicateurs1'!J31</f>
        <v>0</v>
      </c>
      <c r="K31" s="12">
        <f>'Base de données indicateurs1'!K31</f>
        <v>0</v>
      </c>
      <c r="L31" s="12">
        <f>'Base de données indicateurs1'!L31</f>
        <v>0</v>
      </c>
      <c r="M31" s="12">
        <f>'Base de données indicateurs1'!M31</f>
        <v>10700</v>
      </c>
      <c r="N31" s="12">
        <f>'Base de données indicateurs1'!N31</f>
        <v>0</v>
      </c>
      <c r="O31" s="12">
        <f>'Base de données indicateurs1'!O31</f>
        <v>71002.240000000005</v>
      </c>
      <c r="P31" s="12">
        <f>'Base de données indicateurs1'!P31</f>
        <v>0</v>
      </c>
      <c r="Q31" s="12">
        <f>'Base de données indicateurs1'!Q31</f>
        <v>0</v>
      </c>
      <c r="R31" s="12">
        <f>'Base de données indicateurs1'!R31</f>
        <v>0</v>
      </c>
      <c r="S31" s="12">
        <f>'Base de données indicateurs1'!S31</f>
        <v>0</v>
      </c>
      <c r="T31" s="12">
        <f>'Base de données indicateurs1'!T31</f>
        <v>0</v>
      </c>
      <c r="U31" s="12">
        <f>'Base de données indicateurs1'!U31</f>
        <v>667.55</v>
      </c>
      <c r="V31" s="12">
        <f>'Base de données indicateurs1'!V31</f>
        <v>0</v>
      </c>
      <c r="W31" s="12">
        <f>'Base de données indicateurs1'!W31</f>
        <v>133028</v>
      </c>
      <c r="X31" s="12">
        <f>'Base de données indicateurs1'!X31</f>
        <v>0</v>
      </c>
      <c r="Y31" s="12">
        <f>'Base de données indicateurs1'!Y31</f>
        <v>0</v>
      </c>
      <c r="Z31" s="12">
        <f>'Base de données indicateurs1'!Z31</f>
        <v>0</v>
      </c>
      <c r="AA31" s="12">
        <f>'Base de données indicateurs1'!AA31</f>
        <v>0</v>
      </c>
      <c r="AB31" s="12">
        <f>'Base de données indicateurs1'!AB31</f>
        <v>0</v>
      </c>
      <c r="AC31" s="12">
        <f>'Base de données indicateurs1'!AC31</f>
        <v>0</v>
      </c>
      <c r="AD31" s="12">
        <f>'Base de données indicateurs1'!AD31</f>
        <v>0</v>
      </c>
      <c r="AE31" s="12">
        <f>'Base de données indicateurs1'!AE31</f>
        <v>0</v>
      </c>
      <c r="AF31" s="12">
        <f>'Base de données indicateurs1'!AF31</f>
        <v>0</v>
      </c>
      <c r="AG31" s="12">
        <f>'Base de données indicateurs1'!AG31</f>
        <v>0</v>
      </c>
      <c r="AH31" s="12">
        <f>'Base de données indicateurs1'!AH31</f>
        <v>0</v>
      </c>
      <c r="AI31" s="12">
        <f>'Base de données indicateurs1'!AI31</f>
        <v>0</v>
      </c>
      <c r="AJ31" s="12">
        <f>'Base de données indicateurs1'!AJ31</f>
        <v>0</v>
      </c>
      <c r="AK31" s="12">
        <f>'Base de données indicateurs1'!AK31</f>
        <v>0</v>
      </c>
      <c r="AL31" s="12">
        <f>'Base de données indicateurs1'!AL31</f>
        <v>0</v>
      </c>
      <c r="AM31" s="12">
        <f>'Base de données indicateurs1'!AM31</f>
        <v>0</v>
      </c>
      <c r="AN31" s="12">
        <f>'Base de données indicateurs1'!AN31</f>
        <v>0</v>
      </c>
      <c r="AO31" s="12">
        <f>'Base de données indicateurs1'!AO31</f>
        <v>0</v>
      </c>
      <c r="AP31" s="12">
        <f>'Base de données indicateurs1'!AP31</f>
        <v>0</v>
      </c>
      <c r="AQ31" s="12">
        <f>'Base de données indicateurs1'!AQ31</f>
        <v>0</v>
      </c>
      <c r="AR31" s="12">
        <f>'Base de données indicateurs1'!AR31</f>
        <v>0</v>
      </c>
      <c r="AS31" s="12">
        <f>'Base de données indicateurs1'!AS31</f>
        <v>0</v>
      </c>
      <c r="AT31" s="12">
        <f>'Base de données indicateurs1'!AT31</f>
        <v>0</v>
      </c>
      <c r="AU31" s="12">
        <f>'Base de données indicateurs1'!AU31</f>
        <v>338</v>
      </c>
      <c r="AV31" s="12">
        <f>'Base de données indicateurs1'!AV31</f>
        <v>0</v>
      </c>
      <c r="AW31" s="12">
        <f>'Base de données indicateurs1'!AW31</f>
        <v>633</v>
      </c>
      <c r="AX31" s="12">
        <f>'Base de données indicateurs1'!AX31</f>
        <v>207</v>
      </c>
      <c r="AY31" s="12">
        <f>'Base de données indicateurs1'!AY31</f>
        <v>0</v>
      </c>
      <c r="AZ31" s="12">
        <f>'Base de données indicateurs1'!AZ31</f>
        <v>1597</v>
      </c>
      <c r="BA31" s="12">
        <f>'Base de données indicateurs1'!BA31</f>
        <v>319</v>
      </c>
      <c r="BB31" s="12">
        <f>'Base de données indicateurs1'!BB31</f>
        <v>1083</v>
      </c>
      <c r="BC31" s="12">
        <f>'Base de données indicateurs1'!BC31</f>
        <v>235</v>
      </c>
      <c r="BD31" s="12">
        <f>'Base de données indicateurs1'!BD31</f>
        <v>0</v>
      </c>
      <c r="BE31" s="12">
        <f>'Base de données indicateurs1'!BE31</f>
        <v>0</v>
      </c>
      <c r="BF31" s="12">
        <f t="shared" si="0"/>
        <v>225044.08000000002</v>
      </c>
      <c r="BG31" s="12">
        <f t="shared" si="1"/>
        <v>0</v>
      </c>
      <c r="BH31" s="12">
        <f t="shared" si="2"/>
        <v>4412</v>
      </c>
    </row>
    <row r="32" spans="1:60" ht="14.4" thickBot="1" x14ac:dyDescent="0.3">
      <c r="B32" s="146"/>
      <c r="D32" s="12"/>
      <c r="BF32" s="12"/>
      <c r="BG32" s="12"/>
      <c r="BH32" s="12"/>
    </row>
    <row r="33" spans="1:60" ht="14.4" thickBot="1" x14ac:dyDescent="0.3">
      <c r="A33" s="6" t="s">
        <v>535</v>
      </c>
      <c r="B33" s="97"/>
      <c r="C33" s="6"/>
      <c r="D33" s="147">
        <f>SUM(D26,D28:D31)-D27</f>
        <v>28754462.269999996</v>
      </c>
      <c r="E33" s="152">
        <f>SUM(E26,E28:E31)-E27</f>
        <v>314975.05999999994</v>
      </c>
      <c r="F33" s="12">
        <f t="shared" ref="F33:BE33" si="5">SUM(F26,F28:F31)-F27</f>
        <v>107707.54999999999</v>
      </c>
      <c r="G33" s="12">
        <f t="shared" si="5"/>
        <v>123886.39999999999</v>
      </c>
      <c r="H33" s="12">
        <f t="shared" si="5"/>
        <v>142596.15</v>
      </c>
      <c r="I33" s="12">
        <f t="shared" si="5"/>
        <v>1141781</v>
      </c>
      <c r="J33" s="12">
        <f t="shared" si="5"/>
        <v>1197539.2199999997</v>
      </c>
      <c r="K33" s="12">
        <f t="shared" si="5"/>
        <v>725717.25</v>
      </c>
      <c r="L33" s="12">
        <f t="shared" si="5"/>
        <v>6860928.04</v>
      </c>
      <c r="M33" s="12">
        <f t="shared" si="5"/>
        <v>631740.18000000005</v>
      </c>
      <c r="N33" s="12">
        <f t="shared" si="5"/>
        <v>55516.360000000008</v>
      </c>
      <c r="O33" s="12">
        <f t="shared" si="5"/>
        <v>1545968.1600000001</v>
      </c>
      <c r="P33" s="12">
        <f t="shared" si="5"/>
        <v>147967.31</v>
      </c>
      <c r="Q33" s="12">
        <f t="shared" si="5"/>
        <v>17650.670000000002</v>
      </c>
      <c r="R33" s="12">
        <f t="shared" si="5"/>
        <v>126407.56</v>
      </c>
      <c r="S33" s="12">
        <f t="shared" si="5"/>
        <v>170422.52</v>
      </c>
      <c r="T33" s="12">
        <f t="shared" si="5"/>
        <v>193505.79</v>
      </c>
      <c r="U33" s="12">
        <f t="shared" si="5"/>
        <v>48721.2</v>
      </c>
      <c r="V33" s="12">
        <f t="shared" si="5"/>
        <v>161048.04</v>
      </c>
      <c r="W33" s="12">
        <f t="shared" si="5"/>
        <v>1303844.78</v>
      </c>
      <c r="X33" s="12">
        <f t="shared" si="5"/>
        <v>63038.240000000005</v>
      </c>
      <c r="Y33" s="12">
        <f t="shared" si="5"/>
        <v>382619.26</v>
      </c>
      <c r="Z33" s="12">
        <f t="shared" si="5"/>
        <v>475772.29</v>
      </c>
      <c r="AA33" s="12">
        <f t="shared" si="5"/>
        <v>101530.81999999999</v>
      </c>
      <c r="AB33" s="12">
        <f t="shared" si="5"/>
        <v>164015.07999999999</v>
      </c>
      <c r="AC33" s="12">
        <f t="shared" si="5"/>
        <v>150008.91</v>
      </c>
      <c r="AD33" s="12">
        <f t="shared" si="5"/>
        <v>329373.17</v>
      </c>
      <c r="AE33" s="12">
        <f t="shared" si="5"/>
        <v>144934.10999999999</v>
      </c>
      <c r="AF33" s="12">
        <f t="shared" si="5"/>
        <v>116889.41</v>
      </c>
      <c r="AG33" s="12">
        <f t="shared" si="5"/>
        <v>625754.32999999996</v>
      </c>
      <c r="AH33" s="12">
        <f t="shared" si="5"/>
        <v>857107.72000000009</v>
      </c>
      <c r="AI33" s="12">
        <f t="shared" si="5"/>
        <v>62896</v>
      </c>
      <c r="AJ33" s="12">
        <f t="shared" si="5"/>
        <v>160312.37999999998</v>
      </c>
      <c r="AK33" s="12">
        <f t="shared" si="5"/>
        <v>528613.29</v>
      </c>
      <c r="AL33" s="12">
        <f t="shared" si="5"/>
        <v>433831</v>
      </c>
      <c r="AM33" s="12">
        <f t="shared" si="5"/>
        <v>356584.86</v>
      </c>
      <c r="AN33" s="12">
        <f t="shared" si="5"/>
        <v>55702.149999999994</v>
      </c>
      <c r="AO33" s="12">
        <f t="shared" si="5"/>
        <v>648898.91999999993</v>
      </c>
      <c r="AP33" s="12">
        <f t="shared" si="5"/>
        <v>142926.13</v>
      </c>
      <c r="AQ33" s="12">
        <f t="shared" si="5"/>
        <v>264290</v>
      </c>
      <c r="AR33" s="12">
        <f t="shared" si="5"/>
        <v>1012785.1900000001</v>
      </c>
      <c r="AS33" s="12">
        <f t="shared" si="5"/>
        <v>149408.05000000002</v>
      </c>
      <c r="AT33" s="12">
        <f t="shared" si="5"/>
        <v>336138.78</v>
      </c>
      <c r="AU33" s="12">
        <f t="shared" si="5"/>
        <v>142588.41</v>
      </c>
      <c r="AV33" s="12">
        <f t="shared" si="5"/>
        <v>957155.02</v>
      </c>
      <c r="AW33" s="12">
        <f t="shared" si="5"/>
        <v>160907.37</v>
      </c>
      <c r="AX33" s="12">
        <f t="shared" si="5"/>
        <v>36784.17</v>
      </c>
      <c r="AY33" s="12">
        <f t="shared" si="5"/>
        <v>180371.91999999998</v>
      </c>
      <c r="AZ33" s="12">
        <f t="shared" si="5"/>
        <v>814036.93</v>
      </c>
      <c r="BA33" s="12">
        <f t="shared" si="5"/>
        <v>53845.52</v>
      </c>
      <c r="BB33" s="12">
        <f t="shared" si="5"/>
        <v>417585</v>
      </c>
      <c r="BC33" s="12">
        <f t="shared" si="5"/>
        <v>20087.269999999997</v>
      </c>
      <c r="BD33" s="12">
        <f t="shared" si="5"/>
        <v>3309335.84</v>
      </c>
      <c r="BE33" s="12">
        <f t="shared" si="5"/>
        <v>80411.489999999991</v>
      </c>
      <c r="BF33" s="12">
        <f t="shared" si="0"/>
        <v>15017923.239999996</v>
      </c>
      <c r="BG33" s="12">
        <f t="shared" si="1"/>
        <v>3634251.7199999997</v>
      </c>
      <c r="BH33" s="12">
        <f t="shared" si="2"/>
        <v>10102287.309999997</v>
      </c>
    </row>
    <row r="34" spans="1:60" ht="14.4" thickBot="1" x14ac:dyDescent="0.3">
      <c r="A34" s="6"/>
      <c r="B34" s="97"/>
      <c r="C34" s="6"/>
      <c r="D34" s="12"/>
      <c r="BF34" s="12"/>
      <c r="BG34" s="12"/>
      <c r="BH34" s="12"/>
    </row>
    <row r="35" spans="1:60" ht="14.4" thickBot="1" x14ac:dyDescent="0.3">
      <c r="A35" s="6" t="s">
        <v>518</v>
      </c>
      <c r="B35" s="97"/>
      <c r="C35" s="6"/>
      <c r="D35" s="147">
        <f>'Quotité d''intéret + revenus det'!D17</f>
        <v>377953538.36000019</v>
      </c>
      <c r="E35" s="12">
        <f>'Quotité d''intéret + revenus det'!E17</f>
        <v>2605216.3000000003</v>
      </c>
      <c r="F35" s="12">
        <f>'Quotité d''intéret + revenus det'!F17</f>
        <v>1029884.8200000001</v>
      </c>
      <c r="G35" s="12">
        <f>'Quotité d''intéret + revenus det'!G17</f>
        <v>1878943.57</v>
      </c>
      <c r="H35" s="12">
        <f>'Quotité d''intéret + revenus det'!H17</f>
        <v>1884205.97</v>
      </c>
      <c r="I35" s="12">
        <f>'Quotité d''intéret + revenus det'!I17</f>
        <v>16366703</v>
      </c>
      <c r="J35" s="12">
        <f>'Quotité d''intéret + revenus det'!J17</f>
        <v>14187353.58</v>
      </c>
      <c r="K35" s="12">
        <f>'Quotité d''intéret + revenus det'!K17</f>
        <v>11806775.710000001</v>
      </c>
      <c r="L35" s="12">
        <f>'Quotité d''intéret + revenus det'!L17</f>
        <v>100901160.38</v>
      </c>
      <c r="M35" s="12">
        <f>'Quotité d''intéret + revenus det'!M17</f>
        <v>7807588.2300000004</v>
      </c>
      <c r="N35" s="12">
        <f>'Quotité d''intéret + revenus det'!N17</f>
        <v>457447.11</v>
      </c>
      <c r="O35" s="12">
        <f>'Quotité d''intéret + revenus det'!O17</f>
        <v>28576279</v>
      </c>
      <c r="P35" s="12">
        <f>'Quotité d''intéret + revenus det'!P17</f>
        <v>1163353.1099999999</v>
      </c>
      <c r="Q35" s="12">
        <f>'Quotité d''intéret + revenus det'!Q17</f>
        <v>426223.56</v>
      </c>
      <c r="R35" s="12">
        <f>'Quotité d''intéret + revenus det'!R17</f>
        <v>1063954.5</v>
      </c>
      <c r="S35" s="12">
        <f>'Quotité d''intéret + revenus det'!S17</f>
        <v>1429194.53</v>
      </c>
      <c r="T35" s="12">
        <f>'Quotité d''intéret + revenus det'!T17</f>
        <v>3398557.75</v>
      </c>
      <c r="U35" s="12">
        <f>'Quotité d''intéret + revenus det'!U17</f>
        <v>927085.47</v>
      </c>
      <c r="V35" s="12">
        <f>'Quotité d''intéret + revenus det'!V17</f>
        <v>2249440.56</v>
      </c>
      <c r="W35" s="12">
        <f>'Quotité d''intéret + revenus det'!W17</f>
        <v>12586062.1</v>
      </c>
      <c r="X35" s="12">
        <f>'Quotité d''intéret + revenus det'!X17</f>
        <v>1940302.3</v>
      </c>
      <c r="Y35" s="12">
        <f>'Quotité d''intéret + revenus det'!Y17</f>
        <v>4846822.5999999996</v>
      </c>
      <c r="Z35" s="12">
        <f>'Quotité d''intéret + revenus det'!Z17</f>
        <v>9895727.1199999992</v>
      </c>
      <c r="AA35" s="12">
        <f>'Quotité d''intéret + revenus det'!AA17</f>
        <v>57532.75</v>
      </c>
      <c r="AB35" s="12">
        <f>'Quotité d''intéret + revenus det'!AB17</f>
        <v>922509.84000000008</v>
      </c>
      <c r="AC35" s="12">
        <f>'Quotité d''intéret + revenus det'!AC17</f>
        <v>2624273.6999999997</v>
      </c>
      <c r="AD35" s="12">
        <f>'Quotité d''intéret + revenus det'!AD17</f>
        <v>1886970.12</v>
      </c>
      <c r="AE35" s="12">
        <f>'Quotité d''intéret + revenus det'!AE17</f>
        <v>2579904.71</v>
      </c>
      <c r="AF35" s="12">
        <f>'Quotité d''intéret + revenus det'!AF17</f>
        <v>2829244.9699999997</v>
      </c>
      <c r="AG35" s="12">
        <f>'Quotité d''intéret + revenus det'!AG17</f>
        <v>9934722.9600000009</v>
      </c>
      <c r="AH35" s="12">
        <f>'Quotité d''intéret + revenus det'!AH17</f>
        <v>12429495.75</v>
      </c>
      <c r="AI35" s="12">
        <f>'Quotité d''intéret + revenus det'!AI17</f>
        <v>808095</v>
      </c>
      <c r="AJ35" s="12">
        <f>'Quotité d''intéret + revenus det'!AJ17</f>
        <v>1009396.35</v>
      </c>
      <c r="AK35" s="12">
        <f>'Quotité d''intéret + revenus det'!AK17</f>
        <v>8631919.5899999999</v>
      </c>
      <c r="AL35" s="12">
        <f>'Quotité d''intéret + revenus det'!AL17</f>
        <v>5539646</v>
      </c>
      <c r="AM35" s="12">
        <f>'Quotité d''intéret + revenus det'!AM17</f>
        <v>5168495.04</v>
      </c>
      <c r="AN35" s="12">
        <f>'Quotité d''intéret + revenus det'!AN17</f>
        <v>598789.87</v>
      </c>
      <c r="AO35" s="12">
        <f>'Quotité d''intéret + revenus det'!AO17</f>
        <v>10106677.479999999</v>
      </c>
      <c r="AP35" s="12">
        <f>'Quotité d''intéret + revenus det'!AP17</f>
        <v>3591739.3000000003</v>
      </c>
      <c r="AQ35" s="12">
        <f>'Quotité d''intéret + revenus det'!AQ17</f>
        <v>2296347</v>
      </c>
      <c r="AR35" s="12">
        <f>'Quotité d''intéret + revenus det'!AR17</f>
        <v>3012290.63</v>
      </c>
      <c r="AS35" s="12">
        <f>'Quotité d''intéret + revenus det'!AS17</f>
        <v>3138918.75</v>
      </c>
      <c r="AT35" s="12">
        <f>'Quotité d''intéret + revenus det'!AT17</f>
        <v>2482174.27</v>
      </c>
      <c r="AU35" s="12">
        <f>'Quotité d''intéret + revenus det'!AU17</f>
        <v>1494437.21</v>
      </c>
      <c r="AV35" s="12">
        <f>'Quotité d''intéret + revenus det'!AV17</f>
        <v>6671285.6099999994</v>
      </c>
      <c r="AW35" s="12">
        <f>'Quotité d''intéret + revenus det'!AW17</f>
        <v>3293308.63</v>
      </c>
      <c r="AX35" s="12">
        <f>'Quotité d''intéret + revenus det'!AX17</f>
        <v>756944.85</v>
      </c>
      <c r="AY35" s="12">
        <f>'Quotité d''intéret + revenus det'!AY17</f>
        <v>1311205.6100000001</v>
      </c>
      <c r="AZ35" s="12">
        <f>'Quotité d''intéret + revenus det'!AZ17</f>
        <v>4675084.75</v>
      </c>
      <c r="BA35" s="12">
        <f>'Quotité d''intéret + revenus det'!BA17</f>
        <v>1615489.17</v>
      </c>
      <c r="BB35" s="12">
        <f>'Quotité d''intéret + revenus det'!BB17</f>
        <v>5949496</v>
      </c>
      <c r="BC35" s="12">
        <f>'Quotité d''intéret + revenus det'!BC17</f>
        <v>384450</v>
      </c>
      <c r="BD35" s="12">
        <f>'Quotité d''intéret + revenus det'!BD17</f>
        <v>42138657.090000004</v>
      </c>
      <c r="BE35" s="12">
        <f>'Quotité d''intéret + revenus det'!BE17</f>
        <v>2585754.09</v>
      </c>
      <c r="BF35" s="12">
        <f t="shared" si="0"/>
        <v>210745429.25</v>
      </c>
      <c r="BG35" s="12">
        <f t="shared" si="1"/>
        <v>51764998.170000002</v>
      </c>
      <c r="BH35" s="12">
        <f t="shared" si="2"/>
        <v>115443110.94000001</v>
      </c>
    </row>
    <row r="36" spans="1:60" ht="14.4" thickBot="1" x14ac:dyDescent="0.3">
      <c r="B36" s="146"/>
      <c r="D36" s="12"/>
      <c r="BF36" s="12"/>
      <c r="BG36" s="12"/>
      <c r="BH36" s="12"/>
    </row>
    <row r="37" spans="1:60" ht="14.4" thickBot="1" x14ac:dyDescent="0.3">
      <c r="A37" s="6" t="s">
        <v>536</v>
      </c>
      <c r="B37" s="146"/>
      <c r="D37" s="147">
        <f>IF(D35&lt;&gt;0,D33/D35,"")*100</f>
        <v>7.6079357253196065</v>
      </c>
      <c r="E37" s="152">
        <f>IF(E35&lt;&gt;0,E33/E35,"")*100</f>
        <v>12.090169250054204</v>
      </c>
      <c r="F37" s="12">
        <f t="shared" ref="F37:BH37" si="6">IF(F35&lt;&gt;0,F33/F35,"")*100</f>
        <v>10.458213181547814</v>
      </c>
      <c r="G37" s="12">
        <f t="shared" si="6"/>
        <v>6.5934071665600893</v>
      </c>
      <c r="H37" s="12">
        <f t="shared" si="6"/>
        <v>7.5679703955082998</v>
      </c>
      <c r="I37" s="12">
        <f t="shared" si="6"/>
        <v>6.9762431688288107</v>
      </c>
      <c r="J37" s="12">
        <f t="shared" si="6"/>
        <v>8.4408921878720076</v>
      </c>
      <c r="K37" s="12">
        <f t="shared" si="6"/>
        <v>6.1466167209845297</v>
      </c>
      <c r="L37" s="12">
        <f t="shared" si="6"/>
        <v>6.7996522677849498</v>
      </c>
      <c r="M37" s="12">
        <f t="shared" si="6"/>
        <v>8.0913613959889901</v>
      </c>
      <c r="N37" s="12">
        <f t="shared" si="6"/>
        <v>12.13612651307383</v>
      </c>
      <c r="O37" s="12">
        <f t="shared" si="6"/>
        <v>5.4099701364197914</v>
      </c>
      <c r="P37" s="12">
        <f t="shared" si="6"/>
        <v>12.719036784970644</v>
      </c>
      <c r="Q37" s="12">
        <f t="shared" si="6"/>
        <v>4.1411765224803627</v>
      </c>
      <c r="R37" s="12">
        <f t="shared" si="6"/>
        <v>11.880917840001617</v>
      </c>
      <c r="S37" s="12">
        <f t="shared" si="6"/>
        <v>11.924375333286504</v>
      </c>
      <c r="T37" s="12">
        <f t="shared" si="6"/>
        <v>5.6937620083107312</v>
      </c>
      <c r="U37" s="12">
        <f t="shared" si="6"/>
        <v>5.2553083374286942</v>
      </c>
      <c r="V37" s="12">
        <f t="shared" si="6"/>
        <v>7.1594707974857537</v>
      </c>
      <c r="W37" s="12">
        <f t="shared" si="6"/>
        <v>10.359433869311674</v>
      </c>
      <c r="X37" s="12">
        <f t="shared" si="6"/>
        <v>3.2488875573667051</v>
      </c>
      <c r="Y37" s="12">
        <f t="shared" si="6"/>
        <v>7.8942286849945784</v>
      </c>
      <c r="Z37" s="12">
        <f t="shared" si="6"/>
        <v>4.8078557970583979</v>
      </c>
      <c r="AA37" s="12">
        <f t="shared" si="6"/>
        <v>176.47482520825093</v>
      </c>
      <c r="AB37" s="12">
        <f t="shared" si="6"/>
        <v>17.779222821081234</v>
      </c>
      <c r="AC37" s="12">
        <f t="shared" si="6"/>
        <v>5.716206735600788</v>
      </c>
      <c r="AD37" s="12">
        <f t="shared" si="6"/>
        <v>17.455134371709075</v>
      </c>
      <c r="AE37" s="12">
        <f t="shared" si="6"/>
        <v>5.6178086515451184</v>
      </c>
      <c r="AF37" s="12">
        <f t="shared" si="6"/>
        <v>4.1314701003073626</v>
      </c>
      <c r="AG37" s="12">
        <f t="shared" si="6"/>
        <v>6.298659082084761</v>
      </c>
      <c r="AH37" s="12">
        <f t="shared" si="6"/>
        <v>6.8957561693522447</v>
      </c>
      <c r="AI37" s="12">
        <f t="shared" si="6"/>
        <v>7.7832433067894238</v>
      </c>
      <c r="AJ37" s="12">
        <f t="shared" si="6"/>
        <v>15.882005121179601</v>
      </c>
      <c r="AK37" s="12">
        <f t="shared" si="6"/>
        <v>6.1239366804620579</v>
      </c>
      <c r="AL37" s="12">
        <f t="shared" si="6"/>
        <v>7.8313848935473498</v>
      </c>
      <c r="AM37" s="12">
        <f t="shared" si="6"/>
        <v>6.8992009712753823</v>
      </c>
      <c r="AN37" s="12">
        <f t="shared" si="6"/>
        <v>9.3024536303528311</v>
      </c>
      <c r="AO37" s="12">
        <f t="shared" si="6"/>
        <v>6.4204969564339951</v>
      </c>
      <c r="AP37" s="12">
        <f t="shared" si="6"/>
        <v>3.9793013373771307</v>
      </c>
      <c r="AQ37" s="12">
        <f t="shared" si="6"/>
        <v>11.509149096369146</v>
      </c>
      <c r="AR37" s="12">
        <f t="shared" si="6"/>
        <v>33.621762120609198</v>
      </c>
      <c r="AS37" s="12">
        <f t="shared" si="6"/>
        <v>4.7598571960487996</v>
      </c>
      <c r="AT37" s="12">
        <f t="shared" si="6"/>
        <v>13.542110401458638</v>
      </c>
      <c r="AU37" s="12">
        <f t="shared" si="6"/>
        <v>9.5412780842093738</v>
      </c>
      <c r="AV37" s="12">
        <f t="shared" si="6"/>
        <v>14.347384836368896</v>
      </c>
      <c r="AW37" s="12">
        <f t="shared" si="6"/>
        <v>4.8858879648944411</v>
      </c>
      <c r="AX37" s="12">
        <f t="shared" si="6"/>
        <v>4.8595574697416852</v>
      </c>
      <c r="AY37" s="12">
        <f t="shared" si="6"/>
        <v>13.756188855842369</v>
      </c>
      <c r="AZ37" s="12">
        <f t="shared" si="6"/>
        <v>17.412238997378605</v>
      </c>
      <c r="BA37" s="12">
        <f t="shared" si="6"/>
        <v>3.3330783641217478</v>
      </c>
      <c r="BB37" s="12">
        <f t="shared" si="6"/>
        <v>7.0188298302915069</v>
      </c>
      <c r="BC37" s="12">
        <f t="shared" si="6"/>
        <v>5.2249369228768359</v>
      </c>
      <c r="BD37" s="12">
        <f t="shared" si="6"/>
        <v>7.8534440073206406</v>
      </c>
      <c r="BE37" s="12">
        <f t="shared" si="6"/>
        <v>3.1097887579866494</v>
      </c>
      <c r="BF37" s="12">
        <f t="shared" si="6"/>
        <v>7.1260967763076621</v>
      </c>
      <c r="BG37" s="12">
        <f t="shared" si="6"/>
        <v>7.0206739080041185</v>
      </c>
      <c r="BH37" s="12">
        <f t="shared" si="6"/>
        <v>8.7508793099403945</v>
      </c>
    </row>
    <row r="38" spans="1:60" x14ac:dyDescent="0.25">
      <c r="A38" s="150" t="s">
        <v>537</v>
      </c>
      <c r="B38" s="146"/>
      <c r="D38" s="12"/>
    </row>
    <row r="39" spans="1:60" x14ac:dyDescent="0.25">
      <c r="D39" s="12"/>
    </row>
    <row r="40" spans="1:60" x14ac:dyDescent="0.25">
      <c r="D40" s="12"/>
    </row>
  </sheetData>
  <mergeCells count="1">
    <mergeCell ref="A2:D2"/>
  </mergeCell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5" tint="0.59999389629810485"/>
  </sheetPr>
  <dimension ref="A2:BK43"/>
  <sheetViews>
    <sheetView workbookViewId="0">
      <pane xSplit="4" ySplit="5" topLeftCell="E6" activePane="bottomRight" state="frozen"/>
      <selection pane="topRight" activeCell="E1" sqref="E1"/>
      <selection pane="bottomLeft" activeCell="A12" sqref="A12"/>
      <selection pane="bottomRight" activeCell="E6" sqref="E6"/>
    </sheetView>
  </sheetViews>
  <sheetFormatPr baseColWidth="10" defaultColWidth="11.44140625" defaultRowHeight="13.8" x14ac:dyDescent="0.25"/>
  <cols>
    <col min="1" max="1" width="51.88671875" style="7" customWidth="1"/>
    <col min="2" max="2" width="7.44140625" style="7" customWidth="1"/>
    <col min="3" max="3" width="11.44140625" style="7"/>
    <col min="4" max="4" width="22.88671875" style="7" customWidth="1"/>
    <col min="5" max="60" width="15.6640625" style="7" customWidth="1"/>
    <col min="61" max="62" width="11.44140625" style="7"/>
    <col min="63" max="63" width="20.109375" style="7" customWidth="1"/>
    <col min="64" max="16384" width="11.44140625" style="7"/>
  </cols>
  <sheetData>
    <row r="2" spans="1:63" ht="17.399999999999999" x14ac:dyDescent="0.3">
      <c r="A2" s="190" t="s">
        <v>491</v>
      </c>
      <c r="B2" s="190"/>
      <c r="C2" s="190"/>
      <c r="D2" s="190"/>
    </row>
    <row r="4" spans="1:63" x14ac:dyDescent="0.25">
      <c r="A4" s="6" t="s">
        <v>538</v>
      </c>
      <c r="B4" s="139"/>
      <c r="C4" s="29" t="s">
        <v>493</v>
      </c>
      <c r="D4" s="29" t="s">
        <v>494</v>
      </c>
      <c r="E4" s="154">
        <f>'MCH2'!E3</f>
        <v>951</v>
      </c>
      <c r="F4" s="154">
        <f>'MCH2'!F3</f>
        <v>258</v>
      </c>
      <c r="G4" s="154">
        <f>'MCH2'!G3</f>
        <v>471</v>
      </c>
      <c r="H4" s="154">
        <f>'MCH2'!H3</f>
        <v>441</v>
      </c>
      <c r="I4" s="154">
        <f>'MCH2'!I3</f>
        <v>3686</v>
      </c>
      <c r="J4" s="154">
        <f>'MCH2'!J3</f>
        <v>3313</v>
      </c>
      <c r="K4" s="154">
        <f>'MCH2'!K3</f>
        <v>2654</v>
      </c>
      <c r="L4" s="154">
        <f>'MCH2'!L3</f>
        <v>12636</v>
      </c>
      <c r="M4" s="154">
        <f>'MCH2'!M3</f>
        <v>1360</v>
      </c>
      <c r="N4" s="154">
        <f>'MCH2'!N3</f>
        <v>112</v>
      </c>
      <c r="O4" s="154">
        <f>'MCH2'!O3</f>
        <v>7319</v>
      </c>
      <c r="P4" s="154">
        <f>'MCH2'!P3</f>
        <v>522</v>
      </c>
      <c r="Q4" s="154">
        <f>'MCH2'!Q3</f>
        <v>106</v>
      </c>
      <c r="R4" s="154">
        <f>'MCH2'!R3</f>
        <v>425</v>
      </c>
      <c r="S4" s="154">
        <f>'MCH2'!S3</f>
        <v>350</v>
      </c>
      <c r="T4" s="154">
        <f>'MCH2'!T3</f>
        <v>733</v>
      </c>
      <c r="U4" s="154">
        <f>'MCH2'!U3</f>
        <v>270</v>
      </c>
      <c r="V4" s="154">
        <f>'MCH2'!V3</f>
        <v>417</v>
      </c>
      <c r="W4" s="154">
        <f>'MCH2'!W3</f>
        <v>3285</v>
      </c>
      <c r="X4" s="154">
        <f>'MCH2'!X3</f>
        <v>308</v>
      </c>
      <c r="Y4" s="154">
        <f>'MCH2'!Y3</f>
        <v>1258</v>
      </c>
      <c r="Z4" s="154">
        <f>'MCH2'!Z3</f>
        <v>1524</v>
      </c>
      <c r="AA4" s="154">
        <f>'MCH2'!AA3</f>
        <v>87</v>
      </c>
      <c r="AB4" s="154">
        <f>'MCH2'!AB3</f>
        <v>156</v>
      </c>
      <c r="AC4" s="154">
        <f>'MCH2'!AC3</f>
        <v>510</v>
      </c>
      <c r="AD4" s="154">
        <f>'MCH2'!AD3</f>
        <v>705</v>
      </c>
      <c r="AE4" s="154">
        <f>'MCH2'!AE3</f>
        <v>551</v>
      </c>
      <c r="AF4" s="154">
        <f>'MCH2'!AF3</f>
        <v>511</v>
      </c>
      <c r="AG4" s="154">
        <f>'MCH2'!AG3</f>
        <v>1902</v>
      </c>
      <c r="AH4" s="154">
        <f>'MCH2'!AH3</f>
        <v>2575</v>
      </c>
      <c r="AI4" s="154">
        <f>'MCH2'!AI3</f>
        <v>228</v>
      </c>
      <c r="AJ4" s="154">
        <f>'MCH2'!AJ3</f>
        <v>118</v>
      </c>
      <c r="AK4" s="154">
        <f>'MCH2'!AK3</f>
        <v>1882</v>
      </c>
      <c r="AL4" s="154">
        <f>'MCH2'!AL3</f>
        <v>1114</v>
      </c>
      <c r="AM4" s="154">
        <f>'MCH2'!AM3</f>
        <v>1217</v>
      </c>
      <c r="AN4" s="154">
        <f>'MCH2'!AN3</f>
        <v>117</v>
      </c>
      <c r="AO4" s="154">
        <f>'MCH2'!AO3</f>
        <v>1205</v>
      </c>
      <c r="AP4" s="154">
        <f>'MCH2'!AP3</f>
        <v>625</v>
      </c>
      <c r="AQ4" s="154">
        <f>'MCH2'!AQ3</f>
        <v>631</v>
      </c>
      <c r="AR4" s="154">
        <f>'MCH2'!AR3</f>
        <v>1275</v>
      </c>
      <c r="AS4" s="154">
        <f>'MCH2'!AS3</f>
        <v>718</v>
      </c>
      <c r="AT4" s="154">
        <f>'MCH2'!AT3</f>
        <v>1018</v>
      </c>
      <c r="AU4" s="154">
        <f>'MCH2'!AU3</f>
        <v>293</v>
      </c>
      <c r="AV4" s="154">
        <f>'MCH2'!AV3</f>
        <v>2435</v>
      </c>
      <c r="AW4" s="154">
        <f>'MCH2'!AW3</f>
        <v>786</v>
      </c>
      <c r="AX4" s="154">
        <f>'MCH2'!AX3</f>
        <v>184</v>
      </c>
      <c r="AY4" s="154">
        <f>'MCH2'!AY3</f>
        <v>333</v>
      </c>
      <c r="AZ4" s="154">
        <f>'MCH2'!AZ3</f>
        <v>1674</v>
      </c>
      <c r="BA4" s="154">
        <f>'MCH2'!BA3</f>
        <v>391</v>
      </c>
      <c r="BB4" s="154">
        <f>'MCH2'!BB3</f>
        <v>1052</v>
      </c>
      <c r="BC4" s="154">
        <f>'MCH2'!BC3</f>
        <v>186</v>
      </c>
      <c r="BD4" s="154">
        <f>'MCH2'!BD3</f>
        <v>6441</v>
      </c>
      <c r="BE4" s="154">
        <f>'MCH2'!BE3</f>
        <v>546</v>
      </c>
      <c r="BF4" s="156">
        <f>'MCH2'!BG3</f>
        <v>39309</v>
      </c>
      <c r="BG4" s="156">
        <f>'MCH2'!BH3</f>
        <v>10433</v>
      </c>
      <c r="BH4" s="156">
        <f>'MCH2'!BI3</f>
        <v>24123</v>
      </c>
    </row>
    <row r="5" spans="1:63" x14ac:dyDescent="0.25">
      <c r="B5" s="139"/>
      <c r="E5" s="81" t="s">
        <v>56</v>
      </c>
      <c r="F5" s="81" t="s">
        <v>18</v>
      </c>
      <c r="G5" s="81" t="s">
        <v>57</v>
      </c>
      <c r="H5" s="81" t="s">
        <v>53</v>
      </c>
      <c r="I5" s="81" t="s">
        <v>33</v>
      </c>
      <c r="J5" s="81" t="s">
        <v>10</v>
      </c>
      <c r="K5" s="81" t="s">
        <v>15</v>
      </c>
      <c r="L5" s="81" t="s">
        <v>28</v>
      </c>
      <c r="M5" s="81" t="s">
        <v>42</v>
      </c>
      <c r="N5" s="81" t="s">
        <v>23</v>
      </c>
      <c r="O5" s="81" t="s">
        <v>22</v>
      </c>
      <c r="P5" s="81" t="s">
        <v>13</v>
      </c>
      <c r="Q5" s="81" t="s">
        <v>17</v>
      </c>
      <c r="R5" s="81" t="s">
        <v>43</v>
      </c>
      <c r="S5" s="81" t="s">
        <v>40</v>
      </c>
      <c r="T5" s="81" t="s">
        <v>31</v>
      </c>
      <c r="U5" s="81" t="s">
        <v>12</v>
      </c>
      <c r="V5" s="81" t="s">
        <v>59</v>
      </c>
      <c r="W5" s="81" t="s">
        <v>27</v>
      </c>
      <c r="X5" s="81" t="s">
        <v>30</v>
      </c>
      <c r="Y5" s="81" t="s">
        <v>20</v>
      </c>
      <c r="Z5" s="81" t="s">
        <v>45</v>
      </c>
      <c r="AA5" s="81" t="s">
        <v>71</v>
      </c>
      <c r="AB5" s="81" t="s">
        <v>39</v>
      </c>
      <c r="AC5" s="81" t="s">
        <v>19</v>
      </c>
      <c r="AD5" s="81" t="s">
        <v>41</v>
      </c>
      <c r="AE5" s="81" t="s">
        <v>36</v>
      </c>
      <c r="AF5" s="81" t="s">
        <v>7</v>
      </c>
      <c r="AG5" s="81" t="s">
        <v>55</v>
      </c>
      <c r="AH5" s="81" t="s">
        <v>21</v>
      </c>
      <c r="AI5" s="81" t="s">
        <v>6</v>
      </c>
      <c r="AJ5" s="81" t="s">
        <v>34</v>
      </c>
      <c r="AK5" s="81" t="s">
        <v>52</v>
      </c>
      <c r="AL5" s="81" t="s">
        <v>14</v>
      </c>
      <c r="AM5" s="81" t="s">
        <v>32</v>
      </c>
      <c r="AN5" s="81" t="s">
        <v>29</v>
      </c>
      <c r="AO5" s="81" t="s">
        <v>26</v>
      </c>
      <c r="AP5" s="81" t="s">
        <v>48</v>
      </c>
      <c r="AQ5" s="81" t="s">
        <v>44</v>
      </c>
      <c r="AR5" s="81" t="s">
        <v>37</v>
      </c>
      <c r="AS5" s="81" t="s">
        <v>51</v>
      </c>
      <c r="AT5" s="81" t="s">
        <v>8</v>
      </c>
      <c r="AU5" s="81" t="s">
        <v>24</v>
      </c>
      <c r="AV5" s="81" t="s">
        <v>9</v>
      </c>
      <c r="AW5" s="81" t="s">
        <v>62</v>
      </c>
      <c r="AX5" s="81" t="s">
        <v>46</v>
      </c>
      <c r="AY5" s="81" t="s">
        <v>35</v>
      </c>
      <c r="AZ5" s="81" t="s">
        <v>49</v>
      </c>
      <c r="BA5" s="81" t="s">
        <v>47</v>
      </c>
      <c r="BB5" s="81" t="s">
        <v>58</v>
      </c>
      <c r="BC5" s="81" t="s">
        <v>50</v>
      </c>
      <c r="BD5" s="81" t="s">
        <v>16</v>
      </c>
      <c r="BE5" s="81" t="s">
        <v>25</v>
      </c>
      <c r="BF5" s="81" t="s">
        <v>28</v>
      </c>
      <c r="BG5" s="81" t="s">
        <v>64</v>
      </c>
      <c r="BH5" s="81" t="s">
        <v>16</v>
      </c>
    </row>
    <row r="6" spans="1:63" x14ac:dyDescent="0.25">
      <c r="A6" s="140" t="s">
        <v>251</v>
      </c>
      <c r="B6" s="141" t="s">
        <v>224</v>
      </c>
      <c r="C6" s="160">
        <v>20</v>
      </c>
      <c r="D6" s="142">
        <f>'Base de données indicateurs1'!BF9</f>
        <v>646601710.46999991</v>
      </c>
      <c r="E6" s="12">
        <f>'Base de données indicateurs1'!E9</f>
        <v>10387762</v>
      </c>
      <c r="F6" s="12">
        <f>'Base de données indicateurs1'!F9</f>
        <v>2458341.4500000002</v>
      </c>
      <c r="G6" s="12">
        <f>'Base de données indicateurs1'!G9</f>
        <v>5663438.9000000004</v>
      </c>
      <c r="H6" s="12">
        <f>'Base de données indicateurs1'!H9</f>
        <v>4613675.95</v>
      </c>
      <c r="I6" s="12">
        <f>'Base de données indicateurs1'!I9</f>
        <v>26620617</v>
      </c>
      <c r="J6" s="12">
        <f>'Base de données indicateurs1'!J9</f>
        <v>24892414.510000002</v>
      </c>
      <c r="K6" s="12">
        <f>'Base de données indicateurs1'!K9</f>
        <v>11320234.83</v>
      </c>
      <c r="L6" s="12">
        <f>'Base de données indicateurs1'!L9</f>
        <v>172023431.55000001</v>
      </c>
      <c r="M6" s="12">
        <f>'Base de données indicateurs1'!M9</f>
        <v>7707490.3399999999</v>
      </c>
      <c r="N6" s="12">
        <f>'Base de données indicateurs1'!N9</f>
        <v>1081046.8899999999</v>
      </c>
      <c r="O6" s="12">
        <f>'Base de données indicateurs1'!O9</f>
        <v>47318439.530000001</v>
      </c>
      <c r="P6" s="12">
        <f>'Base de données indicateurs1'!P9</f>
        <v>3246426.65</v>
      </c>
      <c r="Q6" s="12">
        <f>'Base de données indicateurs1'!Q9</f>
        <v>516713.91</v>
      </c>
      <c r="R6" s="12">
        <f>'Base de données indicateurs1'!R9</f>
        <v>3206301.96</v>
      </c>
      <c r="S6" s="12">
        <f>'Base de données indicateurs1'!S9</f>
        <v>4198890.09</v>
      </c>
      <c r="T6" s="12">
        <f>'Base de données indicateurs1'!T9</f>
        <v>5743955.0700000003</v>
      </c>
      <c r="U6" s="12">
        <f>'Base de données indicateurs1'!U9</f>
        <v>1376416.56</v>
      </c>
      <c r="V6" s="12">
        <f>'Base de données indicateurs1'!V9</f>
        <v>3850042.22</v>
      </c>
      <c r="W6" s="12">
        <f>'Base de données indicateurs1'!W9</f>
        <v>16558833.02</v>
      </c>
      <c r="X6" s="12">
        <f>'Base de données indicateurs1'!X9</f>
        <v>557289.15</v>
      </c>
      <c r="Y6" s="12">
        <f>'Base de données indicateurs1'!Y9</f>
        <v>10023871.58</v>
      </c>
      <c r="Z6" s="12">
        <f>'Base de données indicateurs1'!Z9</f>
        <v>11609126.439999999</v>
      </c>
      <c r="AA6" s="12">
        <f>'Base de données indicateurs1'!AA9</f>
        <v>1134572.45</v>
      </c>
      <c r="AB6" s="12">
        <f>'Base de données indicateurs1'!AB9</f>
        <v>1455772.58</v>
      </c>
      <c r="AC6" s="12">
        <f>'Base de données indicateurs1'!AC9</f>
        <v>4809335.93</v>
      </c>
      <c r="AD6" s="12">
        <f>'Base de données indicateurs1'!AD9</f>
        <v>8125283.04</v>
      </c>
      <c r="AE6" s="12">
        <f>'Base de données indicateurs1'!AE9</f>
        <v>4282275.18</v>
      </c>
      <c r="AF6" s="12">
        <f>'Base de données indicateurs1'!AF9</f>
        <v>2332429.3199999998</v>
      </c>
      <c r="AG6" s="12">
        <f>'Base de données indicateurs1'!AG9</f>
        <v>6112885.5499999998</v>
      </c>
      <c r="AH6" s="12">
        <f>'Base de données indicateurs1'!AH9</f>
        <v>17455328.25</v>
      </c>
      <c r="AI6" s="12">
        <f>'Base de données indicateurs1'!AI9</f>
        <v>1696807</v>
      </c>
      <c r="AJ6" s="12">
        <f>'Base de données indicateurs1'!AJ9</f>
        <v>955647.76</v>
      </c>
      <c r="AK6" s="12">
        <f>'Base de données indicateurs1'!AK9</f>
        <v>18480685.75</v>
      </c>
      <c r="AL6" s="12">
        <f>'Base de données indicateurs1'!AL9</f>
        <v>9082156.0500000007</v>
      </c>
      <c r="AM6" s="12">
        <f>'Base de données indicateurs1'!AM9</f>
        <v>12207406.35</v>
      </c>
      <c r="AN6" s="12">
        <f>'Base de données indicateurs1'!AN9</f>
        <v>1433220.07</v>
      </c>
      <c r="AO6" s="12">
        <f>'Base de données indicateurs1'!AO9</f>
        <v>9780990.1600000001</v>
      </c>
      <c r="AP6" s="12">
        <f>'Base de données indicateurs1'!AP9</f>
        <v>5325818.5199999996</v>
      </c>
      <c r="AQ6" s="12">
        <f>'Base de données indicateurs1'!AQ9</f>
        <v>4789847</v>
      </c>
      <c r="AR6" s="12">
        <f>'Base de données indicateurs1'!AR9</f>
        <v>10750093.83</v>
      </c>
      <c r="AS6" s="12">
        <f>'Base de données indicateurs1'!AS9</f>
        <v>5697376.5700000003</v>
      </c>
      <c r="AT6" s="12">
        <f>'Base de données indicateurs1'!AT9</f>
        <v>9689539</v>
      </c>
      <c r="AU6" s="12">
        <f>'Base de données indicateurs1'!AU9</f>
        <v>1923504.9</v>
      </c>
      <c r="AV6" s="12">
        <f>'Base de données indicateurs1'!AV9</f>
        <v>14166790.52</v>
      </c>
      <c r="AW6" s="12">
        <f>'Base de données indicateurs1'!AW9</f>
        <v>6251229.9900000002</v>
      </c>
      <c r="AX6" s="12">
        <f>'Base de données indicateurs1'!AX9</f>
        <v>861801</v>
      </c>
      <c r="AY6" s="12">
        <f>'Base de données indicateurs1'!AY9</f>
        <v>2114057.42</v>
      </c>
      <c r="AZ6" s="12">
        <f>'Base de données indicateurs1'!AZ9</f>
        <v>19788217.460000001</v>
      </c>
      <c r="BA6" s="12">
        <f>'Base de données indicateurs1'!BA9</f>
        <v>3124082.63</v>
      </c>
      <c r="BB6" s="12">
        <f>'Base de données indicateurs1'!BB9</f>
        <v>11179721</v>
      </c>
      <c r="BC6" s="12">
        <f>'Base de données indicateurs1'!BC9</f>
        <v>476804.53</v>
      </c>
      <c r="BD6" s="12">
        <f>'Base de données indicateurs1'!BD9</f>
        <v>71918102.739999995</v>
      </c>
      <c r="BE6" s="12">
        <f>'Base de données indicateurs1'!BE9</f>
        <v>4225168.32</v>
      </c>
      <c r="BF6" s="12">
        <f>SUM(E6:W6)</f>
        <v>352784472.42999995</v>
      </c>
      <c r="BG6" s="12">
        <f>SUM(X6:AJ6)</f>
        <v>70550624.230000004</v>
      </c>
      <c r="BH6" s="12">
        <f>SUM(AK6:BE6)</f>
        <v>223266613.80999994</v>
      </c>
      <c r="BK6" s="12"/>
    </row>
    <row r="7" spans="1:63" x14ac:dyDescent="0.25">
      <c r="A7" s="143" t="s">
        <v>239</v>
      </c>
      <c r="B7" s="144" t="s">
        <v>225</v>
      </c>
      <c r="C7" s="143">
        <v>10</v>
      </c>
      <c r="D7" s="145">
        <f>'Base de données indicateurs1'!BF6</f>
        <v>346299432.57999992</v>
      </c>
      <c r="E7" s="12">
        <f>'Base de données indicateurs1'!E6</f>
        <v>6037644.3899999997</v>
      </c>
      <c r="F7" s="12">
        <f>'Base de données indicateurs1'!F6</f>
        <v>1108066.8999999999</v>
      </c>
      <c r="G7" s="12">
        <f>'Base de données indicateurs1'!G6</f>
        <v>3353239.51</v>
      </c>
      <c r="H7" s="12">
        <f>'Base de données indicateurs1'!H6</f>
        <v>4584095.1500000004</v>
      </c>
      <c r="I7" s="12">
        <f>'Base de données indicateurs1'!I6</f>
        <v>16024215</v>
      </c>
      <c r="J7" s="12">
        <f>'Base de données indicateurs1'!J6</f>
        <v>8324678.54</v>
      </c>
      <c r="K7" s="12">
        <f>'Base de données indicateurs1'!K6</f>
        <v>11749552.24</v>
      </c>
      <c r="L7" s="12">
        <f>'Base de données indicateurs1'!L6</f>
        <v>68553767</v>
      </c>
      <c r="M7" s="12">
        <f>'Base de données indicateurs1'!M6</f>
        <v>3589866.27</v>
      </c>
      <c r="N7" s="12">
        <f>'Base de données indicateurs1'!N6</f>
        <v>301716.32</v>
      </c>
      <c r="O7" s="12">
        <f>'Base de données indicateurs1'!O6</f>
        <v>18227970.309999999</v>
      </c>
      <c r="P7" s="12">
        <f>'Base de données indicateurs1'!P6</f>
        <v>1955442.92</v>
      </c>
      <c r="Q7" s="12">
        <f>'Base de données indicateurs1'!Q6</f>
        <v>534068.06000000006</v>
      </c>
      <c r="R7" s="12">
        <f>'Base de données indicateurs1'!R6</f>
        <v>1563563.54</v>
      </c>
      <c r="S7" s="12">
        <f>'Base de données indicateurs1'!S6</f>
        <v>2684765.98</v>
      </c>
      <c r="T7" s="12">
        <f>'Base de données indicateurs1'!T6</f>
        <v>6195670.4299999997</v>
      </c>
      <c r="U7" s="12">
        <f>'Base de données indicateurs1'!U6</f>
        <v>928269.8</v>
      </c>
      <c r="V7" s="12">
        <f>'Base de données indicateurs1'!V6</f>
        <v>1935465.45</v>
      </c>
      <c r="W7" s="12">
        <f>'Base de données indicateurs1'!W6</f>
        <v>5127537.58</v>
      </c>
      <c r="X7" s="12">
        <f>'Base de données indicateurs1'!X6</f>
        <v>1652417.67</v>
      </c>
      <c r="Y7" s="12">
        <f>'Base de données indicateurs1'!Y6</f>
        <v>4319708.22</v>
      </c>
      <c r="Z7" s="12">
        <f>'Base de données indicateurs1'!Z6</f>
        <v>25335688.600000001</v>
      </c>
      <c r="AA7" s="12">
        <f>'Base de données indicateurs1'!AA6</f>
        <v>1044849.9</v>
      </c>
      <c r="AB7" s="12">
        <f>'Base de données indicateurs1'!AB6</f>
        <v>1666797.39</v>
      </c>
      <c r="AC7" s="12">
        <f>'Base de données indicateurs1'!AC6</f>
        <v>3382294.05</v>
      </c>
      <c r="AD7" s="12">
        <f>'Base de données indicateurs1'!AD6</f>
        <v>2392641.9500000002</v>
      </c>
      <c r="AE7" s="12">
        <f>'Base de données indicateurs1'!AE6</f>
        <v>2271201.0699999998</v>
      </c>
      <c r="AF7" s="12">
        <f>'Base de données indicateurs1'!AF6</f>
        <v>4599526.68</v>
      </c>
      <c r="AG7" s="12">
        <f>'Base de données indicateurs1'!AG6</f>
        <v>8510596.3800000008</v>
      </c>
      <c r="AH7" s="12">
        <f>'Base de données indicateurs1'!AH6</f>
        <v>10380606.49</v>
      </c>
      <c r="AI7" s="12">
        <f>'Base de données indicateurs1'!AI6</f>
        <v>1931580.05</v>
      </c>
      <c r="AJ7" s="12">
        <f>'Base de données indicateurs1'!AJ6</f>
        <v>2134375.87</v>
      </c>
      <c r="AK7" s="12">
        <f>'Base de données indicateurs1'!AK6</f>
        <v>6838537.3399999999</v>
      </c>
      <c r="AL7" s="12">
        <f>'Base de données indicateurs1'!AL6</f>
        <v>5396816</v>
      </c>
      <c r="AM7" s="12">
        <f>'Base de données indicateurs1'!AM6</f>
        <v>5695048.0199999996</v>
      </c>
      <c r="AN7" s="12">
        <f>'Base de données indicateurs1'!AN6</f>
        <v>551464.71</v>
      </c>
      <c r="AO7" s="12">
        <f>'Base de données indicateurs1'!AO6</f>
        <v>15122459.289999999</v>
      </c>
      <c r="AP7" s="12">
        <f>'Base de données indicateurs1'!AP6</f>
        <v>3338842.84</v>
      </c>
      <c r="AQ7" s="12">
        <f>'Base de données indicateurs1'!AQ6</f>
        <v>2476209</v>
      </c>
      <c r="AR7" s="12">
        <f>'Base de données indicateurs1'!AR6</f>
        <v>10275159.08</v>
      </c>
      <c r="AS7" s="12">
        <f>'Base de données indicateurs1'!AS6</f>
        <v>2610512.23</v>
      </c>
      <c r="AT7" s="12">
        <f>'Base de données indicateurs1'!AT6</f>
        <v>3846880.26</v>
      </c>
      <c r="AU7" s="12">
        <f>'Base de données indicateurs1'!AU6</f>
        <v>2658547.9700000002</v>
      </c>
      <c r="AV7" s="12">
        <f>'Base de données indicateurs1'!AV6</f>
        <v>5474469.3700000001</v>
      </c>
      <c r="AW7" s="12">
        <f>'Base de données indicateurs1'!AW6</f>
        <v>3491542.28</v>
      </c>
      <c r="AX7" s="12">
        <f>'Base de données indicateurs1'!AX6</f>
        <v>664260</v>
      </c>
      <c r="AY7" s="12">
        <f>'Base de données indicateurs1'!AY6</f>
        <v>2270337.29</v>
      </c>
      <c r="AZ7" s="12">
        <f>'Base de données indicateurs1'!AZ6</f>
        <v>4657846.28</v>
      </c>
      <c r="BA7" s="12">
        <f>'Base de données indicateurs1'!BA6</f>
        <v>3072489.28</v>
      </c>
      <c r="BB7" s="12">
        <f>'Base de données indicateurs1'!BB6</f>
        <v>5428306</v>
      </c>
      <c r="BC7" s="12">
        <f>'Base de données indicateurs1'!BC6</f>
        <v>818483.84</v>
      </c>
      <c r="BD7" s="12">
        <f>'Base de données indicateurs1'!BD6</f>
        <v>26795687.489999998</v>
      </c>
      <c r="BE7" s="12">
        <f>'Base de données indicateurs1'!BE6</f>
        <v>2413654.2999999998</v>
      </c>
      <c r="BF7" s="12">
        <f t="shared" ref="BF7:BF40" si="0">SUM(E7:W7)</f>
        <v>162779595.38999999</v>
      </c>
      <c r="BG7" s="12">
        <f t="shared" ref="BG7:BG40" si="1">SUM(X7:AJ7)</f>
        <v>69622284.320000008</v>
      </c>
      <c r="BH7" s="12">
        <f t="shared" ref="BH7:BH40" si="2">SUM(AK7:BE7)</f>
        <v>113897552.86999999</v>
      </c>
      <c r="BK7" s="12"/>
    </row>
    <row r="8" spans="1:63" ht="14.4" thickBot="1" x14ac:dyDescent="0.3">
      <c r="B8" s="146"/>
      <c r="D8" s="12"/>
      <c r="BF8" s="12"/>
      <c r="BG8" s="12"/>
      <c r="BH8" s="12"/>
      <c r="BK8" s="12"/>
    </row>
    <row r="9" spans="1:63" ht="14.4" thickBot="1" x14ac:dyDescent="0.3">
      <c r="A9" s="6" t="s">
        <v>495</v>
      </c>
      <c r="B9" s="97"/>
      <c r="C9" s="6"/>
      <c r="D9" s="147">
        <f>D6-D7</f>
        <v>300302277.88999999</v>
      </c>
      <c r="E9" s="12">
        <f>E6-E7</f>
        <v>4350117.6100000003</v>
      </c>
      <c r="F9" s="12">
        <f t="shared" ref="F9:BE9" si="3">F6-F7</f>
        <v>1350274.5500000003</v>
      </c>
      <c r="G9" s="12">
        <f t="shared" si="3"/>
        <v>2310199.3900000006</v>
      </c>
      <c r="H9" s="12">
        <f t="shared" si="3"/>
        <v>29580.799999999814</v>
      </c>
      <c r="I9" s="12">
        <f t="shared" si="3"/>
        <v>10596402</v>
      </c>
      <c r="J9" s="12">
        <f t="shared" si="3"/>
        <v>16567735.970000003</v>
      </c>
      <c r="K9" s="12">
        <f t="shared" si="3"/>
        <v>-429317.41000000015</v>
      </c>
      <c r="L9" s="12">
        <f t="shared" si="3"/>
        <v>103469664.55000001</v>
      </c>
      <c r="M9" s="12">
        <f t="shared" si="3"/>
        <v>4117624.07</v>
      </c>
      <c r="N9" s="12">
        <f t="shared" si="3"/>
        <v>779330.56999999983</v>
      </c>
      <c r="O9" s="12">
        <f t="shared" si="3"/>
        <v>29090469.220000003</v>
      </c>
      <c r="P9" s="12">
        <f t="shared" si="3"/>
        <v>1290983.73</v>
      </c>
      <c r="Q9" s="12">
        <f t="shared" si="3"/>
        <v>-17354.150000000081</v>
      </c>
      <c r="R9" s="12">
        <f t="shared" si="3"/>
        <v>1642738.42</v>
      </c>
      <c r="S9" s="12">
        <f t="shared" si="3"/>
        <v>1514124.1099999999</v>
      </c>
      <c r="T9" s="12">
        <f t="shared" si="3"/>
        <v>-451715.3599999994</v>
      </c>
      <c r="U9" s="12">
        <f t="shared" si="3"/>
        <v>448146.76</v>
      </c>
      <c r="V9" s="12">
        <f t="shared" si="3"/>
        <v>1914576.7700000003</v>
      </c>
      <c r="W9" s="12">
        <f t="shared" si="3"/>
        <v>11431295.439999999</v>
      </c>
      <c r="X9" s="12">
        <f t="shared" si="3"/>
        <v>-1095128.52</v>
      </c>
      <c r="Y9" s="12">
        <f t="shared" si="3"/>
        <v>5704163.3600000003</v>
      </c>
      <c r="Z9" s="12">
        <f t="shared" si="3"/>
        <v>-13726562.160000002</v>
      </c>
      <c r="AA9" s="12">
        <f t="shared" si="3"/>
        <v>89722.54999999993</v>
      </c>
      <c r="AB9" s="12">
        <f t="shared" si="3"/>
        <v>-211024.80999999982</v>
      </c>
      <c r="AC9" s="12">
        <f t="shared" si="3"/>
        <v>1427041.88</v>
      </c>
      <c r="AD9" s="12">
        <f t="shared" si="3"/>
        <v>5732641.0899999999</v>
      </c>
      <c r="AE9" s="12">
        <f t="shared" si="3"/>
        <v>2011074.1099999999</v>
      </c>
      <c r="AF9" s="12">
        <f t="shared" si="3"/>
        <v>-2267097.36</v>
      </c>
      <c r="AG9" s="12">
        <f t="shared" si="3"/>
        <v>-2397710.830000001</v>
      </c>
      <c r="AH9" s="12">
        <f t="shared" si="3"/>
        <v>7074721.7599999998</v>
      </c>
      <c r="AI9" s="12">
        <f t="shared" si="3"/>
        <v>-234773.05000000005</v>
      </c>
      <c r="AJ9" s="12">
        <f t="shared" si="3"/>
        <v>-1178728.1100000001</v>
      </c>
      <c r="AK9" s="12">
        <f t="shared" si="3"/>
        <v>11642148.41</v>
      </c>
      <c r="AL9" s="12">
        <f t="shared" si="3"/>
        <v>3685340.0500000007</v>
      </c>
      <c r="AM9" s="12">
        <f t="shared" si="3"/>
        <v>6512358.3300000001</v>
      </c>
      <c r="AN9" s="12">
        <f t="shared" si="3"/>
        <v>881755.3600000001</v>
      </c>
      <c r="AO9" s="12">
        <f t="shared" si="3"/>
        <v>-5341469.129999999</v>
      </c>
      <c r="AP9" s="12">
        <f t="shared" si="3"/>
        <v>1986975.6799999997</v>
      </c>
      <c r="AQ9" s="12">
        <f t="shared" si="3"/>
        <v>2313638</v>
      </c>
      <c r="AR9" s="12">
        <f t="shared" si="3"/>
        <v>474934.75</v>
      </c>
      <c r="AS9" s="12">
        <f t="shared" si="3"/>
        <v>3086864.3400000003</v>
      </c>
      <c r="AT9" s="12">
        <f t="shared" si="3"/>
        <v>5842658.7400000002</v>
      </c>
      <c r="AU9" s="12">
        <f t="shared" si="3"/>
        <v>-735043.0700000003</v>
      </c>
      <c r="AV9" s="12">
        <f t="shared" si="3"/>
        <v>8692321.1499999985</v>
      </c>
      <c r="AW9" s="12">
        <f t="shared" si="3"/>
        <v>2759687.7100000004</v>
      </c>
      <c r="AX9" s="12">
        <f t="shared" si="3"/>
        <v>197541</v>
      </c>
      <c r="AY9" s="12">
        <f t="shared" si="3"/>
        <v>-156279.87000000011</v>
      </c>
      <c r="AZ9" s="12">
        <f t="shared" si="3"/>
        <v>15130371.18</v>
      </c>
      <c r="BA9" s="12">
        <f t="shared" si="3"/>
        <v>51593.350000000093</v>
      </c>
      <c r="BB9" s="12">
        <f t="shared" si="3"/>
        <v>5751415</v>
      </c>
      <c r="BC9" s="12">
        <f t="shared" si="3"/>
        <v>-341679.30999999994</v>
      </c>
      <c r="BD9" s="12">
        <f t="shared" si="3"/>
        <v>45122415.25</v>
      </c>
      <c r="BE9" s="12">
        <f t="shared" si="3"/>
        <v>1811514.0200000005</v>
      </c>
      <c r="BF9" s="12">
        <f t="shared" si="0"/>
        <v>190004877.03999999</v>
      </c>
      <c r="BG9" s="12">
        <f t="shared" si="1"/>
        <v>928339.90999999666</v>
      </c>
      <c r="BH9" s="12">
        <f t="shared" si="2"/>
        <v>109369060.94</v>
      </c>
      <c r="BK9" s="12"/>
    </row>
    <row r="10" spans="1:63" ht="14.4" thickBot="1" x14ac:dyDescent="0.3">
      <c r="B10" s="146"/>
      <c r="D10" s="12"/>
      <c r="BF10" s="12"/>
      <c r="BG10" s="12"/>
      <c r="BH10" s="12"/>
      <c r="BK10" s="12"/>
    </row>
    <row r="11" spans="1:63" ht="14.4" thickBot="1" x14ac:dyDescent="0.3">
      <c r="A11" s="6" t="s">
        <v>539</v>
      </c>
      <c r="B11" s="146"/>
      <c r="D11" s="161">
        <f>'Base de données indicateurs1'!BF3</f>
        <v>73865</v>
      </c>
      <c r="E11" s="58">
        <f>E4</f>
        <v>951</v>
      </c>
      <c r="F11" s="58">
        <f t="shared" ref="F11:BE11" si="4">F4</f>
        <v>258</v>
      </c>
      <c r="G11" s="58">
        <f t="shared" si="4"/>
        <v>471</v>
      </c>
      <c r="H11" s="58">
        <f t="shared" si="4"/>
        <v>441</v>
      </c>
      <c r="I11" s="58">
        <f t="shared" si="4"/>
        <v>3686</v>
      </c>
      <c r="J11" s="58">
        <f t="shared" si="4"/>
        <v>3313</v>
      </c>
      <c r="K11" s="58">
        <f t="shared" si="4"/>
        <v>2654</v>
      </c>
      <c r="L11" s="58">
        <f t="shared" si="4"/>
        <v>12636</v>
      </c>
      <c r="M11" s="58">
        <f t="shared" si="4"/>
        <v>1360</v>
      </c>
      <c r="N11" s="58">
        <f t="shared" si="4"/>
        <v>112</v>
      </c>
      <c r="O11" s="58">
        <f t="shared" si="4"/>
        <v>7319</v>
      </c>
      <c r="P11" s="58">
        <f t="shared" si="4"/>
        <v>522</v>
      </c>
      <c r="Q11" s="58">
        <f t="shared" si="4"/>
        <v>106</v>
      </c>
      <c r="R11" s="58">
        <f t="shared" si="4"/>
        <v>425</v>
      </c>
      <c r="S11" s="58">
        <f t="shared" si="4"/>
        <v>350</v>
      </c>
      <c r="T11" s="58">
        <f t="shared" si="4"/>
        <v>733</v>
      </c>
      <c r="U11" s="58">
        <f t="shared" si="4"/>
        <v>270</v>
      </c>
      <c r="V11" s="58">
        <f t="shared" si="4"/>
        <v>417</v>
      </c>
      <c r="W11" s="58">
        <f t="shared" si="4"/>
        <v>3285</v>
      </c>
      <c r="X11" s="58">
        <f t="shared" si="4"/>
        <v>308</v>
      </c>
      <c r="Y11" s="58">
        <f t="shared" si="4"/>
        <v>1258</v>
      </c>
      <c r="Z11" s="58">
        <f t="shared" si="4"/>
        <v>1524</v>
      </c>
      <c r="AA11" s="58">
        <f t="shared" si="4"/>
        <v>87</v>
      </c>
      <c r="AB11" s="58">
        <f t="shared" si="4"/>
        <v>156</v>
      </c>
      <c r="AC11" s="58">
        <f t="shared" si="4"/>
        <v>510</v>
      </c>
      <c r="AD11" s="58">
        <f t="shared" si="4"/>
        <v>705</v>
      </c>
      <c r="AE11" s="58">
        <f t="shared" si="4"/>
        <v>551</v>
      </c>
      <c r="AF11" s="58">
        <f t="shared" si="4"/>
        <v>511</v>
      </c>
      <c r="AG11" s="58">
        <f t="shared" si="4"/>
        <v>1902</v>
      </c>
      <c r="AH11" s="58">
        <f t="shared" si="4"/>
        <v>2575</v>
      </c>
      <c r="AI11" s="58">
        <f t="shared" si="4"/>
        <v>228</v>
      </c>
      <c r="AJ11" s="58">
        <f t="shared" si="4"/>
        <v>118</v>
      </c>
      <c r="AK11" s="58">
        <f t="shared" si="4"/>
        <v>1882</v>
      </c>
      <c r="AL11" s="58">
        <f t="shared" si="4"/>
        <v>1114</v>
      </c>
      <c r="AM11" s="58">
        <f t="shared" si="4"/>
        <v>1217</v>
      </c>
      <c r="AN11" s="58">
        <f t="shared" si="4"/>
        <v>117</v>
      </c>
      <c r="AO11" s="58">
        <f t="shared" si="4"/>
        <v>1205</v>
      </c>
      <c r="AP11" s="58">
        <f t="shared" si="4"/>
        <v>625</v>
      </c>
      <c r="AQ11" s="58">
        <f t="shared" si="4"/>
        <v>631</v>
      </c>
      <c r="AR11" s="58">
        <f t="shared" si="4"/>
        <v>1275</v>
      </c>
      <c r="AS11" s="58">
        <f t="shared" si="4"/>
        <v>718</v>
      </c>
      <c r="AT11" s="58">
        <f t="shared" si="4"/>
        <v>1018</v>
      </c>
      <c r="AU11" s="58">
        <f t="shared" si="4"/>
        <v>293</v>
      </c>
      <c r="AV11" s="58">
        <f t="shared" si="4"/>
        <v>2435</v>
      </c>
      <c r="AW11" s="58">
        <f t="shared" si="4"/>
        <v>786</v>
      </c>
      <c r="AX11" s="58">
        <f t="shared" si="4"/>
        <v>184</v>
      </c>
      <c r="AY11" s="58">
        <f t="shared" si="4"/>
        <v>333</v>
      </c>
      <c r="AZ11" s="58">
        <f t="shared" si="4"/>
        <v>1674</v>
      </c>
      <c r="BA11" s="58">
        <f t="shared" si="4"/>
        <v>391</v>
      </c>
      <c r="BB11" s="58">
        <f t="shared" si="4"/>
        <v>1052</v>
      </c>
      <c r="BC11" s="58">
        <f t="shared" si="4"/>
        <v>186</v>
      </c>
      <c r="BD11" s="58">
        <f t="shared" si="4"/>
        <v>6441</v>
      </c>
      <c r="BE11" s="58">
        <f t="shared" si="4"/>
        <v>546</v>
      </c>
      <c r="BF11" s="12">
        <f t="shared" si="0"/>
        <v>39309</v>
      </c>
      <c r="BG11" s="12">
        <f t="shared" si="1"/>
        <v>10433</v>
      </c>
      <c r="BH11" s="12">
        <f t="shared" si="2"/>
        <v>24123</v>
      </c>
      <c r="BK11" s="12"/>
    </row>
    <row r="12" spans="1:63" ht="14.4" thickBot="1" x14ac:dyDescent="0.3">
      <c r="A12" s="150"/>
      <c r="B12" s="146"/>
      <c r="D12" s="12"/>
      <c r="BF12" s="12"/>
      <c r="BG12" s="12"/>
      <c r="BH12" s="12"/>
      <c r="BK12" s="12"/>
    </row>
    <row r="13" spans="1:63" ht="14.4" thickBot="1" x14ac:dyDescent="0.3">
      <c r="A13" s="6" t="s">
        <v>540</v>
      </c>
      <c r="B13" s="146"/>
      <c r="D13" s="147">
        <f>IF(D11="","",D9/D11)</f>
        <v>4065.5557827117036</v>
      </c>
      <c r="E13" s="152">
        <f>IF(E11="","",E9/E11)</f>
        <v>4574.2561619348062</v>
      </c>
      <c r="F13" s="12">
        <f t="shared" ref="F13:BH13" si="5">IF(F11="","",F9/F11)</f>
        <v>5233.6222868217064</v>
      </c>
      <c r="G13" s="12">
        <f t="shared" si="5"/>
        <v>4904.8819320594494</v>
      </c>
      <c r="H13" s="12">
        <f t="shared" si="5"/>
        <v>67.076643990929284</v>
      </c>
      <c r="I13" s="12">
        <f t="shared" si="5"/>
        <v>2874.7699403147044</v>
      </c>
      <c r="J13" s="12">
        <f t="shared" si="5"/>
        <v>5000.8258285541815</v>
      </c>
      <c r="K13" s="12">
        <f t="shared" si="5"/>
        <v>-161.76240015071596</v>
      </c>
      <c r="L13" s="12">
        <f t="shared" si="5"/>
        <v>8188.4824746755312</v>
      </c>
      <c r="M13" s="12">
        <f t="shared" si="5"/>
        <v>3027.6647573529413</v>
      </c>
      <c r="N13" s="12">
        <f t="shared" si="5"/>
        <v>6958.3086607142841</v>
      </c>
      <c r="O13" s="12">
        <f t="shared" si="5"/>
        <v>3974.6508020221345</v>
      </c>
      <c r="P13" s="12">
        <f t="shared" si="5"/>
        <v>2473.1489080459769</v>
      </c>
      <c r="Q13" s="12">
        <f t="shared" si="5"/>
        <v>-163.71839622641588</v>
      </c>
      <c r="R13" s="12">
        <f t="shared" si="5"/>
        <v>3865.2668705882352</v>
      </c>
      <c r="S13" s="12">
        <f t="shared" si="5"/>
        <v>4326.068885714285</v>
      </c>
      <c r="T13" s="12">
        <f t="shared" si="5"/>
        <v>-616.25560709413287</v>
      </c>
      <c r="U13" s="12">
        <f t="shared" si="5"/>
        <v>1659.8028148148148</v>
      </c>
      <c r="V13" s="12">
        <f t="shared" si="5"/>
        <v>4591.3111990407679</v>
      </c>
      <c r="W13" s="12">
        <f t="shared" si="5"/>
        <v>3479.8464048706237</v>
      </c>
      <c r="X13" s="12">
        <f t="shared" si="5"/>
        <v>-3555.6120779220778</v>
      </c>
      <c r="Y13" s="12">
        <f t="shared" si="5"/>
        <v>4534.3110969793324</v>
      </c>
      <c r="Z13" s="12">
        <f t="shared" si="5"/>
        <v>-9006.9305511811035</v>
      </c>
      <c r="AA13" s="12">
        <f t="shared" si="5"/>
        <v>1031.2936781609187</v>
      </c>
      <c r="AB13" s="12">
        <f t="shared" si="5"/>
        <v>-1352.72314102564</v>
      </c>
      <c r="AC13" s="12">
        <f t="shared" si="5"/>
        <v>2798.121333333333</v>
      </c>
      <c r="AD13" s="12">
        <f t="shared" si="5"/>
        <v>8131.4058014184393</v>
      </c>
      <c r="AE13" s="12">
        <f t="shared" si="5"/>
        <v>3649.8622686025406</v>
      </c>
      <c r="AF13" s="12">
        <f t="shared" si="5"/>
        <v>-4436.5897455968689</v>
      </c>
      <c r="AG13" s="12">
        <f t="shared" si="5"/>
        <v>-1260.6260935856999</v>
      </c>
      <c r="AH13" s="12">
        <f t="shared" si="5"/>
        <v>2747.4647611650485</v>
      </c>
      <c r="AI13" s="12">
        <f t="shared" si="5"/>
        <v>-1029.706359649123</v>
      </c>
      <c r="AJ13" s="12">
        <f t="shared" si="5"/>
        <v>-9989.2212711864413</v>
      </c>
      <c r="AK13" s="12">
        <f t="shared" si="5"/>
        <v>6186.0512274176408</v>
      </c>
      <c r="AL13" s="12">
        <f t="shared" si="5"/>
        <v>3308.2047127468591</v>
      </c>
      <c r="AM13" s="12">
        <f t="shared" si="5"/>
        <v>5351.1572144617912</v>
      </c>
      <c r="AN13" s="12">
        <f t="shared" si="5"/>
        <v>7536.3705982905994</v>
      </c>
      <c r="AO13" s="12">
        <f t="shared" si="5"/>
        <v>-4432.7544647302893</v>
      </c>
      <c r="AP13" s="12">
        <f t="shared" si="5"/>
        <v>3179.1610879999994</v>
      </c>
      <c r="AQ13" s="12">
        <f t="shared" si="5"/>
        <v>3666.6212361331222</v>
      </c>
      <c r="AR13" s="12">
        <f t="shared" si="5"/>
        <v>372.4978431372549</v>
      </c>
      <c r="AS13" s="12">
        <f t="shared" si="5"/>
        <v>4299.2539554317555</v>
      </c>
      <c r="AT13" s="12">
        <f t="shared" si="5"/>
        <v>5739.3504322200397</v>
      </c>
      <c r="AU13" s="12">
        <f t="shared" si="5"/>
        <v>-2508.6794197952227</v>
      </c>
      <c r="AV13" s="12">
        <f t="shared" si="5"/>
        <v>3569.7417453798762</v>
      </c>
      <c r="AW13" s="12">
        <f t="shared" si="5"/>
        <v>3511.0530661577614</v>
      </c>
      <c r="AX13" s="12">
        <f t="shared" si="5"/>
        <v>1073.5923913043478</v>
      </c>
      <c r="AY13" s="12">
        <f t="shared" si="5"/>
        <v>-469.30891891891923</v>
      </c>
      <c r="AZ13" s="12">
        <f t="shared" si="5"/>
        <v>9038.4535125448019</v>
      </c>
      <c r="BA13" s="12">
        <f t="shared" si="5"/>
        <v>131.95230179028158</v>
      </c>
      <c r="BB13" s="12">
        <f t="shared" si="5"/>
        <v>5467.124524714829</v>
      </c>
      <c r="BC13" s="12">
        <f t="shared" si="5"/>
        <v>-1836.9855376344083</v>
      </c>
      <c r="BD13" s="12">
        <f t="shared" si="5"/>
        <v>7005.4984086322002</v>
      </c>
      <c r="BE13" s="12">
        <f t="shared" si="5"/>
        <v>3317.7912454212465</v>
      </c>
      <c r="BF13" s="12">
        <f t="shared" si="5"/>
        <v>4833.6227591645675</v>
      </c>
      <c r="BG13" s="12">
        <f t="shared" si="5"/>
        <v>88.981108981117288</v>
      </c>
      <c r="BH13" s="12">
        <f t="shared" si="5"/>
        <v>4533.808437590681</v>
      </c>
      <c r="BK13" s="12"/>
    </row>
    <row r="14" spans="1:63" x14ac:dyDescent="0.25">
      <c r="A14" s="150" t="s">
        <v>541</v>
      </c>
      <c r="B14" s="146"/>
      <c r="D14" s="12"/>
      <c r="BF14" s="12"/>
      <c r="BG14" s="12"/>
      <c r="BH14" s="12"/>
      <c r="BK14" s="12"/>
    </row>
    <row r="15" spans="1:63" x14ac:dyDescent="0.25">
      <c r="A15" s="150"/>
      <c r="B15" s="146"/>
      <c r="D15" s="12"/>
      <c r="BF15" s="12"/>
      <c r="BG15" s="12"/>
      <c r="BH15" s="12"/>
      <c r="BK15" s="12"/>
    </row>
    <row r="16" spans="1:63" x14ac:dyDescent="0.25">
      <c r="A16" s="6" t="s">
        <v>542</v>
      </c>
      <c r="B16" s="139"/>
      <c r="C16" s="29" t="s">
        <v>493</v>
      </c>
      <c r="D16" s="159" t="s">
        <v>494</v>
      </c>
      <c r="BF16" s="12"/>
      <c r="BG16" s="12"/>
      <c r="BH16" s="12"/>
      <c r="BK16" s="12"/>
    </row>
    <row r="17" spans="1:63" ht="14.4" thickBot="1" x14ac:dyDescent="0.3">
      <c r="B17" s="139"/>
      <c r="D17" s="12"/>
      <c r="BF17" s="12"/>
      <c r="BG17" s="12"/>
      <c r="BH17" s="12"/>
      <c r="BK17" s="12"/>
    </row>
    <row r="18" spans="1:63" ht="14.4" thickBot="1" x14ac:dyDescent="0.3">
      <c r="A18" s="6" t="s">
        <v>543</v>
      </c>
      <c r="D18" s="147">
        <f>'Endett. net + degré d''auto.'!D35</f>
        <v>30452873.009999998</v>
      </c>
      <c r="E18" s="12">
        <f>'Endett. net + degré d''auto.'!E35</f>
        <v>79219.329999999973</v>
      </c>
      <c r="F18" s="12">
        <f>'Endett. net + degré d''auto.'!F35</f>
        <v>-125472.41999999998</v>
      </c>
      <c r="G18" s="12">
        <f>'Endett. net + degré d''auto.'!G35</f>
        <v>360193.97000000003</v>
      </c>
      <c r="H18" s="12">
        <f>'Endett. net + degré d''auto.'!H35</f>
        <v>38274.29</v>
      </c>
      <c r="I18" s="12">
        <f>'Endett. net + degré d''auto.'!I35</f>
        <v>1324905.95</v>
      </c>
      <c r="J18" s="12">
        <f>'Endett. net + degré d''auto.'!J35</f>
        <v>1125365.67</v>
      </c>
      <c r="K18" s="12">
        <f>'Endett. net + degré d''auto.'!K35</f>
        <v>1180036.82</v>
      </c>
      <c r="L18" s="12">
        <f>'Endett. net + degré d''auto.'!L35</f>
        <v>2391598.3299999996</v>
      </c>
      <c r="M18" s="12">
        <f>'Endett. net + degré d''auto.'!M35</f>
        <v>-98287.840000000026</v>
      </c>
      <c r="N18" s="12">
        <f>'Endett. net + degré d''auto.'!N35</f>
        <v>74900.3</v>
      </c>
      <c r="O18" s="12">
        <f>'Endett. net + degré d''auto.'!O35</f>
        <v>2800717.16</v>
      </c>
      <c r="P18" s="12">
        <f>'Endett. net + degré d''auto.'!P35</f>
        <v>6750.0799999999981</v>
      </c>
      <c r="Q18" s="12">
        <f>'Endett. net + degré d''auto.'!Q35</f>
        <v>39958.61</v>
      </c>
      <c r="R18" s="12">
        <f>'Endett. net + degré d''auto.'!R35</f>
        <v>53775.94</v>
      </c>
      <c r="S18" s="12">
        <f>'Endett. net + degré d''auto.'!S35</f>
        <v>2693.3199999999779</v>
      </c>
      <c r="T18" s="12">
        <f>'Endett. net + degré d''auto.'!T35</f>
        <v>336712.27999999997</v>
      </c>
      <c r="U18" s="12">
        <f>'Endett. net + degré d''auto.'!U35</f>
        <v>-44233.19</v>
      </c>
      <c r="V18" s="12">
        <f>'Endett. net + degré d''auto.'!V35</f>
        <v>104905.87000000001</v>
      </c>
      <c r="W18" s="12">
        <f>'Endett. net + degré d''auto.'!W35</f>
        <v>1940810.4300000002</v>
      </c>
      <c r="X18" s="12">
        <f>'Endett. net + degré d''auto.'!X35</f>
        <v>101563.76999999999</v>
      </c>
      <c r="Y18" s="12">
        <f>'Endett. net + degré d''auto.'!Y35</f>
        <v>1050199.27</v>
      </c>
      <c r="Z18" s="12">
        <f>'Endett. net + degré d''auto.'!Z35</f>
        <v>3351462.38</v>
      </c>
      <c r="AA18" s="12">
        <f>'Endett. net + degré d''auto.'!AA35</f>
        <v>-5526.0000000000091</v>
      </c>
      <c r="AB18" s="12">
        <f>'Endett. net + degré d''auto.'!AB35</f>
        <v>75351.459999999963</v>
      </c>
      <c r="AC18" s="12">
        <f>'Endett. net + degré d''auto.'!AC35</f>
        <v>113794.14</v>
      </c>
      <c r="AD18" s="12">
        <f>'Endett. net + degré d''auto.'!AD35</f>
        <v>252975.03999999998</v>
      </c>
      <c r="AE18" s="12">
        <f>'Endett. net + degré d''auto.'!AE35</f>
        <v>-119609.33999999998</v>
      </c>
      <c r="AF18" s="12">
        <f>'Endett. net + degré d''auto.'!AF35</f>
        <v>-108373.7</v>
      </c>
      <c r="AG18" s="12">
        <f>'Endett. net + degré d''auto.'!AG35</f>
        <v>1155426.28</v>
      </c>
      <c r="AH18" s="12">
        <f>'Endett. net + degré d''auto.'!AH35</f>
        <v>1288993.95</v>
      </c>
      <c r="AI18" s="12">
        <f>'Endett. net + degré d''auto.'!AI35</f>
        <v>112597.11</v>
      </c>
      <c r="AJ18" s="12">
        <f>'Endett. net + degré d''auto.'!AJ35</f>
        <v>131867.22999999998</v>
      </c>
      <c r="AK18" s="12">
        <f>'Endett. net + degré d''auto.'!AK35</f>
        <v>1410963.8900000001</v>
      </c>
      <c r="AL18" s="12">
        <f>'Endett. net + degré d''auto.'!AL35</f>
        <v>439840</v>
      </c>
      <c r="AM18" s="12">
        <f>'Endett. net + degré d''auto.'!AM35</f>
        <v>228942.06</v>
      </c>
      <c r="AN18" s="12">
        <f>'Endett. net + degré d''auto.'!AN35</f>
        <v>40757.96</v>
      </c>
      <c r="AO18" s="12">
        <f>'Endett. net + degré d''auto.'!AO35</f>
        <v>2553182.71</v>
      </c>
      <c r="AP18" s="12">
        <f>'Endett. net + degré d''auto.'!AP35</f>
        <v>82332.509999999995</v>
      </c>
      <c r="AQ18" s="12">
        <f>'Endett. net + degré d''auto.'!AQ35</f>
        <v>-9368</v>
      </c>
      <c r="AR18" s="12">
        <f>'Endett. net + degré d''auto.'!AR35</f>
        <v>387597.95999999996</v>
      </c>
      <c r="AS18" s="12">
        <f>'Endett. net + degré d''auto.'!AS35</f>
        <v>360231.08000000007</v>
      </c>
      <c r="AT18" s="12">
        <f>'Endett. net + degré d''auto.'!AT35</f>
        <v>238050.64999999997</v>
      </c>
      <c r="AU18" s="12">
        <f>'Endett. net + degré d''auto.'!AU35</f>
        <v>-192570.18</v>
      </c>
      <c r="AV18" s="12">
        <f>'Endett. net + degré d''auto.'!AV35</f>
        <v>862700.89999999991</v>
      </c>
      <c r="AW18" s="12">
        <f>'Endett. net + degré d''auto.'!AW35</f>
        <v>372341.33</v>
      </c>
      <c r="AX18" s="12">
        <f>'Endett. net + degré d''auto.'!AX35</f>
        <v>-16147.379999999997</v>
      </c>
      <c r="AY18" s="12">
        <f>'Endett. net + degré d''auto.'!AY35</f>
        <v>87845.56</v>
      </c>
      <c r="AZ18" s="12">
        <f>'Endett. net + degré d''auto.'!AZ35</f>
        <v>381830.6</v>
      </c>
      <c r="BA18" s="12">
        <f>'Endett. net + degré d''auto.'!BA35</f>
        <v>44166.130000000005</v>
      </c>
      <c r="BB18" s="12">
        <f>'Endett. net + degré d''auto.'!BB35</f>
        <v>796357</v>
      </c>
      <c r="BC18" s="12">
        <f>'Endett. net + degré d''auto.'!BC35</f>
        <v>27300.52</v>
      </c>
      <c r="BD18" s="12">
        <f>'Endett. net + degré d''auto.'!BD35</f>
        <v>3262627.7</v>
      </c>
      <c r="BE18" s="12">
        <f>'Endett. net + degré d''auto.'!BE35</f>
        <v>100343.52000000002</v>
      </c>
      <c r="BF18" s="12">
        <f t="shared" si="0"/>
        <v>11592824.899999997</v>
      </c>
      <c r="BG18" s="12">
        <f t="shared" si="1"/>
        <v>7400721.5899999999</v>
      </c>
      <c r="BH18" s="12">
        <f t="shared" si="2"/>
        <v>11459326.52</v>
      </c>
      <c r="BK18" s="12"/>
    </row>
    <row r="19" spans="1:63" ht="14.4" thickBot="1" x14ac:dyDescent="0.3">
      <c r="A19" s="6"/>
      <c r="D19" s="12"/>
      <c r="BF19" s="12"/>
      <c r="BG19" s="12"/>
      <c r="BH19" s="12"/>
      <c r="BK19" s="12"/>
    </row>
    <row r="20" spans="1:63" ht="14.4" thickBot="1" x14ac:dyDescent="0.3">
      <c r="A20" s="6" t="s">
        <v>518</v>
      </c>
      <c r="D20" s="147">
        <f>'Quotité d''intéret + revenus det'!D17</f>
        <v>377953538.36000019</v>
      </c>
      <c r="E20" s="12">
        <f>'Quotité d''intéret + revenus det'!E17</f>
        <v>2605216.3000000003</v>
      </c>
      <c r="F20" s="12">
        <f>'Quotité d''intéret + revenus det'!F17</f>
        <v>1029884.8200000001</v>
      </c>
      <c r="G20" s="12">
        <f>'Quotité d''intéret + revenus det'!G17</f>
        <v>1878943.57</v>
      </c>
      <c r="H20" s="12">
        <f>'Quotité d''intéret + revenus det'!H17</f>
        <v>1884205.97</v>
      </c>
      <c r="I20" s="12">
        <f>'Quotité d''intéret + revenus det'!I17</f>
        <v>16366703</v>
      </c>
      <c r="J20" s="12">
        <f>'Quotité d''intéret + revenus det'!J17</f>
        <v>14187353.58</v>
      </c>
      <c r="K20" s="12">
        <f>'Quotité d''intéret + revenus det'!K17</f>
        <v>11806775.710000001</v>
      </c>
      <c r="L20" s="12">
        <f>'Quotité d''intéret + revenus det'!L17</f>
        <v>100901160.38</v>
      </c>
      <c r="M20" s="12">
        <f>'Quotité d''intéret + revenus det'!M17</f>
        <v>7807588.2300000004</v>
      </c>
      <c r="N20" s="12">
        <f>'Quotité d''intéret + revenus det'!N17</f>
        <v>457447.11</v>
      </c>
      <c r="O20" s="12">
        <f>'Quotité d''intéret + revenus det'!O17</f>
        <v>28576279</v>
      </c>
      <c r="P20" s="12">
        <f>'Quotité d''intéret + revenus det'!P17</f>
        <v>1163353.1099999999</v>
      </c>
      <c r="Q20" s="12">
        <f>'Quotité d''intéret + revenus det'!Q17</f>
        <v>426223.56</v>
      </c>
      <c r="R20" s="12">
        <f>'Quotité d''intéret + revenus det'!R17</f>
        <v>1063954.5</v>
      </c>
      <c r="S20" s="12">
        <f>'Quotité d''intéret + revenus det'!S17</f>
        <v>1429194.53</v>
      </c>
      <c r="T20" s="12">
        <f>'Quotité d''intéret + revenus det'!T17</f>
        <v>3398557.75</v>
      </c>
      <c r="U20" s="12">
        <f>'Quotité d''intéret + revenus det'!U17</f>
        <v>927085.47</v>
      </c>
      <c r="V20" s="12">
        <f>'Quotité d''intéret + revenus det'!V17</f>
        <v>2249440.56</v>
      </c>
      <c r="W20" s="12">
        <f>'Quotité d''intéret + revenus det'!W17</f>
        <v>12586062.1</v>
      </c>
      <c r="X20" s="12">
        <f>'Quotité d''intéret + revenus det'!X17</f>
        <v>1940302.3</v>
      </c>
      <c r="Y20" s="12">
        <f>'Quotité d''intéret + revenus det'!Y17</f>
        <v>4846822.5999999996</v>
      </c>
      <c r="Z20" s="12">
        <f>'Quotité d''intéret + revenus det'!Z17</f>
        <v>9895727.1199999992</v>
      </c>
      <c r="AA20" s="12">
        <f>'Quotité d''intéret + revenus det'!AA17</f>
        <v>57532.75</v>
      </c>
      <c r="AB20" s="12">
        <f>'Quotité d''intéret + revenus det'!AB17</f>
        <v>922509.84000000008</v>
      </c>
      <c r="AC20" s="12">
        <f>'Quotité d''intéret + revenus det'!AC17</f>
        <v>2624273.6999999997</v>
      </c>
      <c r="AD20" s="12">
        <f>'Quotité d''intéret + revenus det'!AD17</f>
        <v>1886970.12</v>
      </c>
      <c r="AE20" s="12">
        <f>'Quotité d''intéret + revenus det'!AE17</f>
        <v>2579904.71</v>
      </c>
      <c r="AF20" s="12">
        <f>'Quotité d''intéret + revenus det'!AF17</f>
        <v>2829244.9699999997</v>
      </c>
      <c r="AG20" s="12">
        <f>'Quotité d''intéret + revenus det'!AG17</f>
        <v>9934722.9600000009</v>
      </c>
      <c r="AH20" s="12">
        <f>'Quotité d''intéret + revenus det'!AH17</f>
        <v>12429495.75</v>
      </c>
      <c r="AI20" s="12">
        <f>'Quotité d''intéret + revenus det'!AI17</f>
        <v>808095</v>
      </c>
      <c r="AJ20" s="12">
        <f>'Quotité d''intéret + revenus det'!AJ17</f>
        <v>1009396.35</v>
      </c>
      <c r="AK20" s="12">
        <f>'Quotité d''intéret + revenus det'!AK17</f>
        <v>8631919.5899999999</v>
      </c>
      <c r="AL20" s="12">
        <f>'Quotité d''intéret + revenus det'!AL17</f>
        <v>5539646</v>
      </c>
      <c r="AM20" s="12">
        <f>'Quotité d''intéret + revenus det'!AM17</f>
        <v>5168495.04</v>
      </c>
      <c r="AN20" s="12">
        <f>'Quotité d''intéret + revenus det'!AN17</f>
        <v>598789.87</v>
      </c>
      <c r="AO20" s="12">
        <f>'Quotité d''intéret + revenus det'!AO17</f>
        <v>10106677.479999999</v>
      </c>
      <c r="AP20" s="12">
        <f>'Quotité d''intéret + revenus det'!AP17</f>
        <v>3591739.3000000003</v>
      </c>
      <c r="AQ20" s="12">
        <f>'Quotité d''intéret + revenus det'!AQ17</f>
        <v>2296347</v>
      </c>
      <c r="AR20" s="12">
        <f>'Quotité d''intéret + revenus det'!AR17</f>
        <v>3012290.63</v>
      </c>
      <c r="AS20" s="12">
        <f>'Quotité d''intéret + revenus det'!AS17</f>
        <v>3138918.75</v>
      </c>
      <c r="AT20" s="12">
        <f>'Quotité d''intéret + revenus det'!AT17</f>
        <v>2482174.27</v>
      </c>
      <c r="AU20" s="12">
        <f>'Quotité d''intéret + revenus det'!AU17</f>
        <v>1494437.21</v>
      </c>
      <c r="AV20" s="12">
        <f>'Quotité d''intéret + revenus det'!AV17</f>
        <v>6671285.6099999994</v>
      </c>
      <c r="AW20" s="12">
        <f>'Quotité d''intéret + revenus det'!AW17</f>
        <v>3293308.63</v>
      </c>
      <c r="AX20" s="12">
        <f>'Quotité d''intéret + revenus det'!AX17</f>
        <v>756944.85</v>
      </c>
      <c r="AY20" s="12">
        <f>'Quotité d''intéret + revenus det'!AY17</f>
        <v>1311205.6100000001</v>
      </c>
      <c r="AZ20" s="12">
        <f>'Quotité d''intéret + revenus det'!AZ17</f>
        <v>4675084.75</v>
      </c>
      <c r="BA20" s="12">
        <f>'Quotité d''intéret + revenus det'!BA17</f>
        <v>1615489.17</v>
      </c>
      <c r="BB20" s="12">
        <f>'Quotité d''intéret + revenus det'!BB17</f>
        <v>5949496</v>
      </c>
      <c r="BC20" s="12">
        <f>'Quotité d''intéret + revenus det'!BC17</f>
        <v>384450</v>
      </c>
      <c r="BD20" s="12">
        <f>'Quotité d''intéret + revenus det'!BD17</f>
        <v>42138657.090000004</v>
      </c>
      <c r="BE20" s="12">
        <f>'Quotité d''intéret + revenus det'!BE17</f>
        <v>2585754.09</v>
      </c>
      <c r="BF20" s="12">
        <f t="shared" si="0"/>
        <v>210745429.25</v>
      </c>
      <c r="BG20" s="12">
        <f t="shared" si="1"/>
        <v>51764998.170000002</v>
      </c>
      <c r="BH20" s="12">
        <f t="shared" si="2"/>
        <v>115443110.94000001</v>
      </c>
      <c r="BK20" s="12"/>
    </row>
    <row r="21" spans="1:63" ht="14.4" thickBot="1" x14ac:dyDescent="0.3">
      <c r="A21" s="6"/>
      <c r="D21" s="12"/>
      <c r="BF21" s="12"/>
      <c r="BG21" s="12"/>
      <c r="BH21" s="12"/>
      <c r="BK21" s="12"/>
    </row>
    <row r="22" spans="1:63" ht="14.4" thickBot="1" x14ac:dyDescent="0.3">
      <c r="A22" s="6" t="s">
        <v>544</v>
      </c>
      <c r="D22" s="147">
        <f>IF(D20&lt;&gt;0,D18/D20,"")*100</f>
        <v>8.0573059699718126</v>
      </c>
      <c r="E22" s="152">
        <f>IF(E20&lt;&gt;0,E18/E20,"")*100</f>
        <v>3.0407966509345101</v>
      </c>
      <c r="F22" s="12">
        <f t="shared" ref="F22:BH22" si="6">IF(F20&lt;&gt;0,F18/F20,"")*100</f>
        <v>-12.183150733302387</v>
      </c>
      <c r="G22" s="12">
        <f t="shared" si="6"/>
        <v>19.170025952402607</v>
      </c>
      <c r="H22" s="12">
        <f t="shared" si="6"/>
        <v>2.0313219790934003</v>
      </c>
      <c r="I22" s="12">
        <f t="shared" si="6"/>
        <v>8.0951303998123496</v>
      </c>
      <c r="J22" s="12">
        <f t="shared" si="6"/>
        <v>7.9321746910321238</v>
      </c>
      <c r="K22" s="12">
        <f t="shared" si="6"/>
        <v>9.9945730230188303</v>
      </c>
      <c r="L22" s="12">
        <f t="shared" si="6"/>
        <v>2.3702386781213347</v>
      </c>
      <c r="M22" s="12">
        <f t="shared" si="6"/>
        <v>-1.2588758154834199</v>
      </c>
      <c r="N22" s="12">
        <f t="shared" si="6"/>
        <v>16.37354316218109</v>
      </c>
      <c r="O22" s="12">
        <f t="shared" si="6"/>
        <v>9.8008462193415742</v>
      </c>
      <c r="P22" s="12">
        <f t="shared" si="6"/>
        <v>0.5802262393057942</v>
      </c>
      <c r="Q22" s="12">
        <f t="shared" si="6"/>
        <v>9.3750354860721448</v>
      </c>
      <c r="R22" s="12">
        <f t="shared" si="6"/>
        <v>5.05434583903729</v>
      </c>
      <c r="S22" s="12">
        <f t="shared" si="6"/>
        <v>0.18845020348629363</v>
      </c>
      <c r="T22" s="12">
        <f t="shared" si="6"/>
        <v>9.9075050291553808</v>
      </c>
      <c r="U22" s="12">
        <f t="shared" si="6"/>
        <v>-4.7712094980843567</v>
      </c>
      <c r="V22" s="12">
        <f t="shared" si="6"/>
        <v>4.6636426792268741</v>
      </c>
      <c r="W22" s="12">
        <f t="shared" si="6"/>
        <v>15.42031506423284</v>
      </c>
      <c r="X22" s="12">
        <f t="shared" si="6"/>
        <v>5.234430222548311</v>
      </c>
      <c r="Y22" s="12">
        <f t="shared" si="6"/>
        <v>21.667788501275041</v>
      </c>
      <c r="Z22" s="12">
        <f t="shared" si="6"/>
        <v>33.86777282112444</v>
      </c>
      <c r="AA22" s="12">
        <f t="shared" si="6"/>
        <v>-9.6049641291264702</v>
      </c>
      <c r="AB22" s="12">
        <f t="shared" si="6"/>
        <v>8.1680928194760458</v>
      </c>
      <c r="AC22" s="12">
        <f t="shared" si="6"/>
        <v>4.3362146257838887</v>
      </c>
      <c r="AD22" s="12">
        <f t="shared" si="6"/>
        <v>13.40641472372652</v>
      </c>
      <c r="AE22" s="12">
        <f t="shared" si="6"/>
        <v>-4.63619216385709</v>
      </c>
      <c r="AF22" s="12">
        <f t="shared" si="6"/>
        <v>-3.8304813174237085</v>
      </c>
      <c r="AG22" s="12">
        <f t="shared" si="6"/>
        <v>11.630181180210785</v>
      </c>
      <c r="AH22" s="12">
        <f t="shared" si="6"/>
        <v>10.370444432550691</v>
      </c>
      <c r="AI22" s="12">
        <f t="shared" si="6"/>
        <v>13.933647652813097</v>
      </c>
      <c r="AJ22" s="12">
        <f t="shared" si="6"/>
        <v>13.063969371397071</v>
      </c>
      <c r="AK22" s="12">
        <f t="shared" si="6"/>
        <v>16.345887786473231</v>
      </c>
      <c r="AL22" s="12">
        <f t="shared" si="6"/>
        <v>7.9398575288023823</v>
      </c>
      <c r="AM22" s="12">
        <f t="shared" si="6"/>
        <v>4.4295691149584622</v>
      </c>
      <c r="AN22" s="12">
        <f t="shared" si="6"/>
        <v>6.8067216968784052</v>
      </c>
      <c r="AO22" s="12">
        <f t="shared" si="6"/>
        <v>25.262334877633798</v>
      </c>
      <c r="AP22" s="12">
        <f t="shared" si="6"/>
        <v>2.2922741079788276</v>
      </c>
      <c r="AQ22" s="12">
        <f t="shared" si="6"/>
        <v>-0.40795228247298865</v>
      </c>
      <c r="AR22" s="12">
        <f t="shared" si="6"/>
        <v>12.867216600544285</v>
      </c>
      <c r="AS22" s="12">
        <f t="shared" si="6"/>
        <v>11.476279212388025</v>
      </c>
      <c r="AT22" s="12">
        <f t="shared" si="6"/>
        <v>9.5904084123795208</v>
      </c>
      <c r="AU22" s="12">
        <f t="shared" si="6"/>
        <v>-12.885799330438246</v>
      </c>
      <c r="AV22" s="12">
        <f t="shared" si="6"/>
        <v>12.931553982741267</v>
      </c>
      <c r="AW22" s="12">
        <f t="shared" si="6"/>
        <v>11.305995636370103</v>
      </c>
      <c r="AX22" s="12">
        <f t="shared" si="6"/>
        <v>-2.1332307102690504</v>
      </c>
      <c r="AY22" s="12">
        <f t="shared" si="6"/>
        <v>6.6996022080777999</v>
      </c>
      <c r="AZ22" s="12">
        <f t="shared" si="6"/>
        <v>8.1673514046991329</v>
      </c>
      <c r="BA22" s="12">
        <f t="shared" si="6"/>
        <v>2.7339168110919623</v>
      </c>
      <c r="BB22" s="12">
        <f t="shared" si="6"/>
        <v>13.385285072886846</v>
      </c>
      <c r="BC22" s="12">
        <f t="shared" si="6"/>
        <v>7.1011887111457925</v>
      </c>
      <c r="BD22" s="12">
        <f t="shared" si="6"/>
        <v>7.7426000857874042</v>
      </c>
      <c r="BE22" s="12">
        <f t="shared" si="6"/>
        <v>3.8806288806837017</v>
      </c>
      <c r="BF22" s="12">
        <f t="shared" si="6"/>
        <v>5.5008665864101989</v>
      </c>
      <c r="BG22" s="12">
        <f t="shared" si="6"/>
        <v>14.296767799924371</v>
      </c>
      <c r="BH22" s="12">
        <f t="shared" si="6"/>
        <v>9.9263840229979845</v>
      </c>
      <c r="BK22" s="12"/>
    </row>
    <row r="23" spans="1:63" x14ac:dyDescent="0.25">
      <c r="A23" s="150" t="s">
        <v>545</v>
      </c>
      <c r="D23" s="75"/>
      <c r="BF23" s="12"/>
      <c r="BG23" s="12"/>
      <c r="BH23" s="12"/>
      <c r="BK23" s="12"/>
    </row>
    <row r="24" spans="1:63" x14ac:dyDescent="0.25">
      <c r="D24" s="12"/>
      <c r="BF24" s="12"/>
      <c r="BG24" s="12"/>
      <c r="BH24" s="12"/>
      <c r="BK24" s="12"/>
    </row>
    <row r="25" spans="1:63" x14ac:dyDescent="0.25">
      <c r="A25" s="6" t="s">
        <v>546</v>
      </c>
      <c r="C25" s="29" t="s">
        <v>493</v>
      </c>
      <c r="D25" s="159" t="s">
        <v>494</v>
      </c>
      <c r="BF25" s="12"/>
      <c r="BG25" s="12"/>
      <c r="BH25" s="12"/>
      <c r="BK25" s="12"/>
    </row>
    <row r="26" spans="1:63" x14ac:dyDescent="0.25">
      <c r="D26" s="12"/>
      <c r="BF26" s="12"/>
      <c r="BG26" s="12"/>
      <c r="BH26" s="12"/>
      <c r="BK26" s="12"/>
    </row>
    <row r="27" spans="1:63" x14ac:dyDescent="0.25">
      <c r="A27" s="140" t="s">
        <v>100</v>
      </c>
      <c r="B27" s="141" t="s">
        <v>224</v>
      </c>
      <c r="C27" s="140">
        <v>34</v>
      </c>
      <c r="D27" s="142">
        <f>'Base de données indicateurs1'!BF22</f>
        <v>8261031.5800000001</v>
      </c>
      <c r="E27" s="12">
        <f>'Base de données indicateurs1'!E22</f>
        <v>54405.36</v>
      </c>
      <c r="F27" s="12">
        <f>'Base de données indicateurs1'!F22</f>
        <v>124634.59</v>
      </c>
      <c r="G27" s="12">
        <f>'Base de données indicateurs1'!G22</f>
        <v>74666.789999999994</v>
      </c>
      <c r="H27" s="12">
        <f>'Base de données indicateurs1'!H22</f>
        <v>80672.25</v>
      </c>
      <c r="I27" s="12">
        <f>'Base de données indicateurs1'!I22</f>
        <v>457925</v>
      </c>
      <c r="J27" s="12">
        <f>'Base de données indicateurs1'!J22</f>
        <v>209906.22</v>
      </c>
      <c r="K27" s="12">
        <f>'Base de données indicateurs1'!K22</f>
        <v>204760.07</v>
      </c>
      <c r="L27" s="12">
        <f>'Base de données indicateurs1'!L22</f>
        <v>2157423.0699999998</v>
      </c>
      <c r="M27" s="12">
        <f>'Base de données indicateurs1'!M22</f>
        <v>51006.45</v>
      </c>
      <c r="N27" s="12">
        <f>'Base de données indicateurs1'!N22</f>
        <v>7268.05</v>
      </c>
      <c r="O27" s="12">
        <f>'Base de données indicateurs1'!O22</f>
        <v>371651.81</v>
      </c>
      <c r="P27" s="12">
        <f>'Base de données indicateurs1'!P22</f>
        <v>47649.2</v>
      </c>
      <c r="Q27" s="12">
        <f>'Base de données indicateurs1'!Q22</f>
        <v>10466.73</v>
      </c>
      <c r="R27" s="12">
        <f>'Base de données indicateurs1'!R22</f>
        <v>162004.76</v>
      </c>
      <c r="S27" s="12">
        <f>'Base de données indicateurs1'!S22</f>
        <v>65863.97</v>
      </c>
      <c r="T27" s="12">
        <f>'Base de données indicateurs1'!T22</f>
        <v>54609.120000000003</v>
      </c>
      <c r="U27" s="12">
        <f>'Base de données indicateurs1'!U22</f>
        <v>15435.36</v>
      </c>
      <c r="V27" s="12">
        <f>'Base de données indicateurs1'!V22</f>
        <v>46259.69</v>
      </c>
      <c r="W27" s="12">
        <f>'Base de données indicateurs1'!W22</f>
        <v>185479.62</v>
      </c>
      <c r="X27" s="12">
        <f>'Base de données indicateurs1'!X22</f>
        <v>12266.06</v>
      </c>
      <c r="Y27" s="12">
        <f>'Base de données indicateurs1'!Y22</f>
        <v>128326.63</v>
      </c>
      <c r="Z27" s="12">
        <f>'Base de données indicateurs1'!Z22</f>
        <v>16932.63</v>
      </c>
      <c r="AA27" s="12">
        <f>'Base de données indicateurs1'!AA22</f>
        <v>5514.82</v>
      </c>
      <c r="AB27" s="12">
        <f>'Base de données indicateurs1'!AB22</f>
        <v>14317.32</v>
      </c>
      <c r="AC27" s="12">
        <f>'Base de données indicateurs1'!AC22</f>
        <v>78531.81</v>
      </c>
      <c r="AD27" s="12">
        <f>'Base de données indicateurs1'!AD22</f>
        <v>67634.100000000006</v>
      </c>
      <c r="AE27" s="12">
        <f>'Base de données indicateurs1'!AE22</f>
        <v>35078.6</v>
      </c>
      <c r="AF27" s="12">
        <f>'Base de données indicateurs1'!AF22</f>
        <v>88799.25</v>
      </c>
      <c r="AG27" s="12">
        <f>'Base de données indicateurs1'!AG22</f>
        <v>93141.09</v>
      </c>
      <c r="AH27" s="12">
        <f>'Base de données indicateurs1'!AH22</f>
        <v>154152.78</v>
      </c>
      <c r="AI27" s="12">
        <f>'Base de données indicateurs1'!AI22</f>
        <v>0</v>
      </c>
      <c r="AJ27" s="12">
        <f>'Base de données indicateurs1'!AJ22</f>
        <v>34807.03</v>
      </c>
      <c r="AK27" s="12">
        <f>'Base de données indicateurs1'!AK22</f>
        <v>176338.6</v>
      </c>
      <c r="AL27" s="12">
        <f>'Base de données indicateurs1'!AL22</f>
        <v>185132</v>
      </c>
      <c r="AM27" s="12">
        <f>'Base de données indicateurs1'!AM22</f>
        <v>151615.21</v>
      </c>
      <c r="AN27" s="12">
        <f>'Base de données indicateurs1'!AN22</f>
        <v>20422.02</v>
      </c>
      <c r="AO27" s="12">
        <f>'Base de données indicateurs1'!AO22</f>
        <v>210279.28</v>
      </c>
      <c r="AP27" s="12">
        <f>'Base de données indicateurs1'!AP22</f>
        <v>82884.320000000007</v>
      </c>
      <c r="AQ27" s="12">
        <f>'Base de données indicateurs1'!AQ22</f>
        <v>60050</v>
      </c>
      <c r="AR27" s="12">
        <f>'Base de données indicateurs1'!AR22</f>
        <v>257738.71</v>
      </c>
      <c r="AS27" s="12">
        <f>'Base de données indicateurs1'!AS22</f>
        <v>76242.42</v>
      </c>
      <c r="AT27" s="12">
        <f>'Base de données indicateurs1'!AT22</f>
        <v>152631.87</v>
      </c>
      <c r="AU27" s="12">
        <f>'Base de données indicateurs1'!AU22</f>
        <v>22266.65</v>
      </c>
      <c r="AV27" s="12">
        <f>'Base de données indicateurs1'!AV22</f>
        <v>190311.65</v>
      </c>
      <c r="AW27" s="12">
        <f>'Base de données indicateurs1'!AW22</f>
        <v>75363.41</v>
      </c>
      <c r="AX27" s="12">
        <f>'Base de données indicateurs1'!AX22</f>
        <v>8184.15</v>
      </c>
      <c r="AY27" s="12">
        <f>'Base de données indicateurs1'!AY22</f>
        <v>14484.84</v>
      </c>
      <c r="AZ27" s="12">
        <f>'Base de données indicateurs1'!AZ22</f>
        <v>293334.28999999998</v>
      </c>
      <c r="BA27" s="12">
        <f>'Base de données indicateurs1'!BA22</f>
        <v>23926.76</v>
      </c>
      <c r="BB27" s="12">
        <f>'Base de données indicateurs1'!BB22</f>
        <v>110268</v>
      </c>
      <c r="BC27" s="12">
        <f>'Base de données indicateurs1'!BC22</f>
        <v>629.9</v>
      </c>
      <c r="BD27" s="12">
        <f>'Base de données indicateurs1'!BD22</f>
        <v>979043.6</v>
      </c>
      <c r="BE27" s="12">
        <f>'Base de données indicateurs1'!BE22</f>
        <v>58293.67</v>
      </c>
      <c r="BF27" s="12">
        <f t="shared" si="0"/>
        <v>4382088.1100000003</v>
      </c>
      <c r="BG27" s="12">
        <f t="shared" si="1"/>
        <v>729502.12</v>
      </c>
      <c r="BH27" s="12">
        <f t="shared" si="2"/>
        <v>3149441.3499999996</v>
      </c>
      <c r="BK27" s="12"/>
    </row>
    <row r="28" spans="1:63" x14ac:dyDescent="0.25">
      <c r="A28" s="143" t="s">
        <v>280</v>
      </c>
      <c r="B28" s="144" t="s">
        <v>225</v>
      </c>
      <c r="C28" s="143">
        <v>440</v>
      </c>
      <c r="D28" s="145">
        <f>'Base de données indicateurs1'!BF42</f>
        <v>2807980.9099999997</v>
      </c>
      <c r="E28" s="12">
        <f>'Base de données indicateurs1'!E42</f>
        <v>20774.759999999998</v>
      </c>
      <c r="F28" s="12">
        <f>'Base de données indicateurs1'!F42</f>
        <v>3458.6</v>
      </c>
      <c r="G28" s="12">
        <f>'Base de données indicateurs1'!G42</f>
        <v>8650.19</v>
      </c>
      <c r="H28" s="12">
        <f>'Base de données indicateurs1'!H42</f>
        <v>7673</v>
      </c>
      <c r="I28" s="12">
        <f>'Base de données indicateurs1'!I42</f>
        <v>92820</v>
      </c>
      <c r="J28" s="12">
        <f>'Base de données indicateurs1'!J42</f>
        <v>85392.02</v>
      </c>
      <c r="K28" s="12">
        <f>'Base de données indicateurs1'!K42</f>
        <v>50590.25</v>
      </c>
      <c r="L28" s="12">
        <f>'Base de données indicateurs1'!L42</f>
        <v>916525.13</v>
      </c>
      <c r="M28" s="12">
        <f>'Base de données indicateurs1'!M42</f>
        <v>34510.089999999997</v>
      </c>
      <c r="N28" s="12">
        <f>'Base de données indicateurs1'!N42</f>
        <v>2550.92</v>
      </c>
      <c r="O28" s="12">
        <f>'Base de données indicateurs1'!O42</f>
        <v>204486.74</v>
      </c>
      <c r="P28" s="12">
        <f>'Base de données indicateurs1'!P42</f>
        <v>13949.69</v>
      </c>
      <c r="Q28" s="12">
        <f>'Base de données indicateurs1'!Q42</f>
        <v>3126.21</v>
      </c>
      <c r="R28" s="12">
        <f>'Base de données indicateurs1'!R42</f>
        <v>5.5</v>
      </c>
      <c r="S28" s="12">
        <f>'Base de données indicateurs1'!S42</f>
        <v>0</v>
      </c>
      <c r="T28" s="12">
        <f>'Base de données indicateurs1'!T42</f>
        <v>20475.93</v>
      </c>
      <c r="U28" s="12">
        <f>'Base de données indicateurs1'!U42</f>
        <v>10249.469999999999</v>
      </c>
      <c r="V28" s="12">
        <f>'Base de données indicateurs1'!V42</f>
        <v>14363.15</v>
      </c>
      <c r="W28" s="12">
        <f>'Base de données indicateurs1'!W42</f>
        <v>96966.55</v>
      </c>
      <c r="X28" s="12">
        <f>'Base de données indicateurs1'!X42</f>
        <v>5057.2</v>
      </c>
      <c r="Y28" s="12">
        <f>'Base de données indicateurs1'!Y42</f>
        <v>42079.32</v>
      </c>
      <c r="Z28" s="12">
        <f>'Base de données indicateurs1'!Z42</f>
        <v>33323.19</v>
      </c>
      <c r="AA28" s="12">
        <f>'Base de données indicateurs1'!AA42</f>
        <v>2034.5</v>
      </c>
      <c r="AB28" s="12">
        <f>'Base de données indicateurs1'!AB42</f>
        <v>2689.22</v>
      </c>
      <c r="AC28" s="12">
        <f>'Base de données indicateurs1'!AC42</f>
        <v>5857.15</v>
      </c>
      <c r="AD28" s="12">
        <f>'Base de données indicateurs1'!AD42</f>
        <v>10282.23</v>
      </c>
      <c r="AE28" s="12">
        <f>'Base de données indicateurs1'!AE42</f>
        <v>14852.94</v>
      </c>
      <c r="AF28" s="12">
        <f>'Base de données indicateurs1'!AF42</f>
        <v>296.68</v>
      </c>
      <c r="AG28" s="12">
        <f>'Base de données indicateurs1'!AG42</f>
        <v>31517.47</v>
      </c>
      <c r="AH28" s="12">
        <f>'Base de données indicateurs1'!AH42</f>
        <v>51084.21</v>
      </c>
      <c r="AI28" s="12">
        <f>'Base de données indicateurs1'!AI42</f>
        <v>0</v>
      </c>
      <c r="AJ28" s="12">
        <f>'Base de données indicateurs1'!AJ42</f>
        <v>2287.2600000000002</v>
      </c>
      <c r="AK28" s="12">
        <f>'Base de données indicateurs1'!AK42</f>
        <v>51399.56</v>
      </c>
      <c r="AL28" s="12">
        <f>'Base de données indicateurs1'!AL42</f>
        <v>78509</v>
      </c>
      <c r="AM28" s="12">
        <f>'Base de données indicateurs1'!AM42</f>
        <v>43546.25</v>
      </c>
      <c r="AN28" s="12">
        <f>'Base de données indicateurs1'!AN42</f>
        <v>6846.77</v>
      </c>
      <c r="AO28" s="12">
        <f>'Base de données indicateurs1'!AO42</f>
        <v>21251.68</v>
      </c>
      <c r="AP28" s="12">
        <f>'Base de données indicateurs1'!AP42</f>
        <v>43429.84</v>
      </c>
      <c r="AQ28" s="12">
        <f>'Base de données indicateurs1'!AQ42</f>
        <v>20734</v>
      </c>
      <c r="AR28" s="12">
        <f>'Base de données indicateurs1'!AR42</f>
        <v>37646.339999999997</v>
      </c>
      <c r="AS28" s="12">
        <f>'Base de données indicateurs1'!AS42</f>
        <v>24618.9</v>
      </c>
      <c r="AT28" s="12">
        <f>'Base de données indicateurs1'!AT42</f>
        <v>34333.64</v>
      </c>
      <c r="AU28" s="12">
        <f>'Base de données indicateurs1'!AU42</f>
        <v>9603.7900000000009</v>
      </c>
      <c r="AV28" s="12">
        <f>'Base de données indicateurs1'!AV42</f>
        <v>75161.23</v>
      </c>
      <c r="AW28" s="12">
        <f>'Base de données indicateurs1'!AW42</f>
        <v>15309.24</v>
      </c>
      <c r="AX28" s="12">
        <f>'Base de données indicateurs1'!AX42</f>
        <v>3910.43</v>
      </c>
      <c r="AY28" s="12">
        <f>'Base de données indicateurs1'!AY42</f>
        <v>10077.92</v>
      </c>
      <c r="AZ28" s="12">
        <f>'Base de données indicateurs1'!AZ42</f>
        <v>67652.11</v>
      </c>
      <c r="BA28" s="12">
        <f>'Base de données indicateurs1'!BA42</f>
        <v>11732.29</v>
      </c>
      <c r="BB28" s="12">
        <f>'Base de données indicateurs1'!BB42</f>
        <v>53388</v>
      </c>
      <c r="BC28" s="12">
        <f>'Base de données indicateurs1'!BC42</f>
        <v>5670.83</v>
      </c>
      <c r="BD28" s="12">
        <f>'Base de données indicateurs1'!BD42</f>
        <v>356399.74</v>
      </c>
      <c r="BE28" s="12">
        <f>'Base de données indicateurs1'!BE42</f>
        <v>48829.78</v>
      </c>
      <c r="BF28" s="12">
        <f t="shared" si="0"/>
        <v>1586568.1999999997</v>
      </c>
      <c r="BG28" s="12">
        <f t="shared" si="1"/>
        <v>201361.36999999997</v>
      </c>
      <c r="BH28" s="12">
        <f t="shared" si="2"/>
        <v>1020051.34</v>
      </c>
      <c r="BK28" s="12"/>
    </row>
    <row r="29" spans="1:63" x14ac:dyDescent="0.25">
      <c r="A29" s="143" t="s">
        <v>547</v>
      </c>
      <c r="B29" s="144" t="s">
        <v>225</v>
      </c>
      <c r="C29" s="143">
        <v>441</v>
      </c>
      <c r="D29" s="145">
        <f>'Base de données indicateurs1'!BF43</f>
        <v>206953.4</v>
      </c>
      <c r="E29" s="12">
        <f>'Base de données indicateurs1'!E43</f>
        <v>10419.9</v>
      </c>
      <c r="F29" s="12">
        <f>'Base de données indicateurs1'!F43</f>
        <v>0</v>
      </c>
      <c r="G29" s="12">
        <f>'Base de données indicateurs1'!G43</f>
        <v>0</v>
      </c>
      <c r="H29" s="12">
        <f>'Base de données indicateurs1'!H43</f>
        <v>0</v>
      </c>
      <c r="I29" s="12">
        <f>'Base de données indicateurs1'!I43</f>
        <v>0</v>
      </c>
      <c r="J29" s="12">
        <f>'Base de données indicateurs1'!J43</f>
        <v>0</v>
      </c>
      <c r="K29" s="12">
        <f>'Base de données indicateurs1'!K43</f>
        <v>0</v>
      </c>
      <c r="L29" s="12">
        <f>'Base de données indicateurs1'!L43</f>
        <v>0</v>
      </c>
      <c r="M29" s="12">
        <f>'Base de données indicateurs1'!M43</f>
        <v>0</v>
      </c>
      <c r="N29" s="12">
        <f>'Base de données indicateurs1'!N43</f>
        <v>0</v>
      </c>
      <c r="O29" s="12">
        <f>'Base de données indicateurs1'!O43</f>
        <v>0</v>
      </c>
      <c r="P29" s="12">
        <f>'Base de données indicateurs1'!P43</f>
        <v>0</v>
      </c>
      <c r="Q29" s="12">
        <f>'Base de données indicateurs1'!Q43</f>
        <v>0</v>
      </c>
      <c r="R29" s="12">
        <f>'Base de données indicateurs1'!R43</f>
        <v>0</v>
      </c>
      <c r="S29" s="12">
        <f>'Base de données indicateurs1'!S43</f>
        <v>0</v>
      </c>
      <c r="T29" s="12">
        <f>'Base de données indicateurs1'!T43</f>
        <v>0</v>
      </c>
      <c r="U29" s="12">
        <f>'Base de données indicateurs1'!U43</f>
        <v>0</v>
      </c>
      <c r="V29" s="12">
        <f>'Base de données indicateurs1'!V43</f>
        <v>0</v>
      </c>
      <c r="W29" s="12">
        <f>'Base de données indicateurs1'!W43</f>
        <v>12500</v>
      </c>
      <c r="X29" s="12">
        <f>'Base de données indicateurs1'!X43</f>
        <v>-54035</v>
      </c>
      <c r="Y29" s="12">
        <f>'Base de données indicateurs1'!Y43</f>
        <v>0</v>
      </c>
      <c r="Z29" s="12">
        <f>'Base de données indicateurs1'!Z43</f>
        <v>0</v>
      </c>
      <c r="AA29" s="12">
        <f>'Base de données indicateurs1'!AA43</f>
        <v>0</v>
      </c>
      <c r="AB29" s="12">
        <f>'Base de données indicateurs1'!AB43</f>
        <v>0</v>
      </c>
      <c r="AC29" s="12">
        <f>'Base de données indicateurs1'!AC43</f>
        <v>0</v>
      </c>
      <c r="AD29" s="12">
        <f>'Base de données indicateurs1'!AD43</f>
        <v>29136</v>
      </c>
      <c r="AE29" s="12">
        <f>'Base de données indicateurs1'!AE43</f>
        <v>0</v>
      </c>
      <c r="AF29" s="12">
        <f>'Base de données indicateurs1'!AF43</f>
        <v>0</v>
      </c>
      <c r="AG29" s="12">
        <f>'Base de données indicateurs1'!AG43</f>
        <v>8220</v>
      </c>
      <c r="AH29" s="12">
        <f>'Base de données indicateurs1'!AH43</f>
        <v>43</v>
      </c>
      <c r="AI29" s="12">
        <f>'Base de données indicateurs1'!AI43</f>
        <v>0</v>
      </c>
      <c r="AJ29" s="12">
        <f>'Base de données indicateurs1'!AJ43</f>
        <v>184334.5</v>
      </c>
      <c r="AK29" s="12">
        <f>'Base de données indicateurs1'!AK43</f>
        <v>0</v>
      </c>
      <c r="AL29" s="12">
        <f>'Base de données indicateurs1'!AL43</f>
        <v>0</v>
      </c>
      <c r="AM29" s="12">
        <f>'Base de données indicateurs1'!AM43</f>
        <v>0</v>
      </c>
      <c r="AN29" s="12">
        <f>'Base de données indicateurs1'!AN43</f>
        <v>0</v>
      </c>
      <c r="AO29" s="12">
        <f>'Base de données indicateurs1'!AO43</f>
        <v>0</v>
      </c>
      <c r="AP29" s="12">
        <f>'Base de données indicateurs1'!AP43</f>
        <v>0</v>
      </c>
      <c r="AQ29" s="12">
        <f>'Base de données indicateurs1'!AQ43</f>
        <v>0</v>
      </c>
      <c r="AR29" s="12">
        <f>'Base de données indicateurs1'!AR43</f>
        <v>0</v>
      </c>
      <c r="AS29" s="12">
        <f>'Base de données indicateurs1'!AS43</f>
        <v>0</v>
      </c>
      <c r="AT29" s="12">
        <f>'Base de données indicateurs1'!AT43</f>
        <v>0</v>
      </c>
      <c r="AU29" s="12">
        <f>'Base de données indicateurs1'!AU43</f>
        <v>0</v>
      </c>
      <c r="AV29" s="12">
        <f>'Base de données indicateurs1'!AV43</f>
        <v>0</v>
      </c>
      <c r="AW29" s="12">
        <f>'Base de données indicateurs1'!AW43</f>
        <v>0</v>
      </c>
      <c r="AX29" s="12">
        <f>'Base de données indicateurs1'!AX43</f>
        <v>0</v>
      </c>
      <c r="AY29" s="12">
        <f>'Base de données indicateurs1'!AY43</f>
        <v>0</v>
      </c>
      <c r="AZ29" s="12">
        <f>'Base de données indicateurs1'!AZ43</f>
        <v>0</v>
      </c>
      <c r="BA29" s="12">
        <f>'Base de données indicateurs1'!BA43</f>
        <v>0</v>
      </c>
      <c r="BB29" s="12">
        <f>'Base de données indicateurs1'!BB43</f>
        <v>16335</v>
      </c>
      <c r="BC29" s="12">
        <f>'Base de données indicateurs1'!BC43</f>
        <v>0</v>
      </c>
      <c r="BD29" s="12">
        <f>'Base de données indicateurs1'!BD43</f>
        <v>0</v>
      </c>
      <c r="BE29" s="12">
        <f>'Base de données indicateurs1'!BE43</f>
        <v>0</v>
      </c>
      <c r="BF29" s="12">
        <f t="shared" si="0"/>
        <v>22919.9</v>
      </c>
      <c r="BG29" s="12">
        <f t="shared" si="1"/>
        <v>167698.5</v>
      </c>
      <c r="BH29" s="12">
        <f t="shared" si="2"/>
        <v>16335</v>
      </c>
      <c r="BK29" s="12"/>
    </row>
    <row r="30" spans="1:63" x14ac:dyDescent="0.25">
      <c r="A30" s="143" t="s">
        <v>548</v>
      </c>
      <c r="B30" s="144" t="s">
        <v>225</v>
      </c>
      <c r="C30" s="143">
        <v>442</v>
      </c>
      <c r="D30" s="145">
        <f>'Base de données indicateurs1'!BF44</f>
        <v>90788.15</v>
      </c>
      <c r="E30" s="12">
        <f>'Base de données indicateurs1'!E44</f>
        <v>177</v>
      </c>
      <c r="F30" s="12">
        <f>'Base de données indicateurs1'!F44</f>
        <v>0</v>
      </c>
      <c r="G30" s="12">
        <f>'Base de données indicateurs1'!G44</f>
        <v>0</v>
      </c>
      <c r="H30" s="12">
        <f>'Base de données indicateurs1'!H44</f>
        <v>0</v>
      </c>
      <c r="I30" s="12">
        <f>'Base de données indicateurs1'!I44</f>
        <v>6509</v>
      </c>
      <c r="J30" s="12">
        <f>'Base de données indicateurs1'!J44</f>
        <v>36</v>
      </c>
      <c r="K30" s="12">
        <f>'Base de données indicateurs1'!K44</f>
        <v>0</v>
      </c>
      <c r="L30" s="12">
        <f>'Base de données indicateurs1'!L44</f>
        <v>22013.599999999999</v>
      </c>
      <c r="M30" s="12">
        <f>'Base de données indicateurs1'!M44</f>
        <v>0</v>
      </c>
      <c r="N30" s="12">
        <f>'Base de données indicateurs1'!N44</f>
        <v>0</v>
      </c>
      <c r="O30" s="12">
        <f>'Base de données indicateurs1'!O44</f>
        <v>3959</v>
      </c>
      <c r="P30" s="12">
        <f>'Base de données indicateurs1'!P44</f>
        <v>0</v>
      </c>
      <c r="Q30" s="12">
        <f>'Base de données indicateurs1'!Q44</f>
        <v>21</v>
      </c>
      <c r="R30" s="12">
        <f>'Base de données indicateurs1'!R44</f>
        <v>0</v>
      </c>
      <c r="S30" s="12">
        <f>'Base de données indicateurs1'!S44</f>
        <v>3.25</v>
      </c>
      <c r="T30" s="12">
        <f>'Base de données indicateurs1'!T44</f>
        <v>325</v>
      </c>
      <c r="U30" s="12">
        <f>'Base de données indicateurs1'!U44</f>
        <v>0</v>
      </c>
      <c r="V30" s="12">
        <f>'Base de données indicateurs1'!V44</f>
        <v>0</v>
      </c>
      <c r="W30" s="12">
        <f>'Base de données indicateurs1'!W44</f>
        <v>208</v>
      </c>
      <c r="X30" s="12">
        <f>'Base de données indicateurs1'!X44</f>
        <v>5</v>
      </c>
      <c r="Y30" s="12">
        <f>'Base de données indicateurs1'!Y44</f>
        <v>0</v>
      </c>
      <c r="Z30" s="12">
        <f>'Base de données indicateurs1'!Z44</f>
        <v>0</v>
      </c>
      <c r="AA30" s="12">
        <f>'Base de données indicateurs1'!AA44</f>
        <v>0</v>
      </c>
      <c r="AB30" s="12">
        <f>'Base de données indicateurs1'!AB44</f>
        <v>0</v>
      </c>
      <c r="AC30" s="12">
        <f>'Base de données indicateurs1'!AC44</f>
        <v>0</v>
      </c>
      <c r="AD30" s="12">
        <f>'Base de données indicateurs1'!AD44</f>
        <v>16</v>
      </c>
      <c r="AE30" s="12">
        <f>'Base de données indicateurs1'!AE44</f>
        <v>0</v>
      </c>
      <c r="AF30" s="12">
        <f>'Base de données indicateurs1'!AF44</f>
        <v>0</v>
      </c>
      <c r="AG30" s="12">
        <f>'Base de données indicateurs1'!AG44</f>
        <v>8715</v>
      </c>
      <c r="AH30" s="12">
        <f>'Base de données indicateurs1'!AH44</f>
        <v>0</v>
      </c>
      <c r="AI30" s="12">
        <f>'Base de données indicateurs1'!AI44</f>
        <v>0</v>
      </c>
      <c r="AJ30" s="12">
        <f>'Base de données indicateurs1'!AJ44</f>
        <v>0</v>
      </c>
      <c r="AK30" s="12">
        <f>'Base de données indicateurs1'!AK44</f>
        <v>0</v>
      </c>
      <c r="AL30" s="12">
        <f>'Base de données indicateurs1'!AL44</f>
        <v>1014</v>
      </c>
      <c r="AM30" s="12">
        <f>'Base de données indicateurs1'!AM44</f>
        <v>0</v>
      </c>
      <c r="AN30" s="12">
        <f>'Base de données indicateurs1'!AN44</f>
        <v>0</v>
      </c>
      <c r="AO30" s="12">
        <f>'Base de données indicateurs1'!AO44</f>
        <v>0</v>
      </c>
      <c r="AP30" s="12">
        <f>'Base de données indicateurs1'!AP44</f>
        <v>40</v>
      </c>
      <c r="AQ30" s="12">
        <f>'Base de données indicateurs1'!AQ44</f>
        <v>0</v>
      </c>
      <c r="AR30" s="12">
        <f>'Base de données indicateurs1'!AR44</f>
        <v>8074.75</v>
      </c>
      <c r="AS30" s="12">
        <f>'Base de données indicateurs1'!AS44</f>
        <v>0</v>
      </c>
      <c r="AT30" s="12">
        <f>'Base de données indicateurs1'!AT44</f>
        <v>380</v>
      </c>
      <c r="AU30" s="12">
        <f>'Base de données indicateurs1'!AU44</f>
        <v>0</v>
      </c>
      <c r="AV30" s="12">
        <f>'Base de données indicateurs1'!AV44</f>
        <v>1632.5</v>
      </c>
      <c r="AW30" s="12">
        <f>'Base de données indicateurs1'!AW44</f>
        <v>2203.0500000000002</v>
      </c>
      <c r="AX30" s="12">
        <f>'Base de données indicateurs1'!AX44</f>
        <v>0</v>
      </c>
      <c r="AY30" s="12">
        <f>'Base de données indicateurs1'!AY44</f>
        <v>0</v>
      </c>
      <c r="AZ30" s="12">
        <f>'Base de données indicateurs1'!AZ44</f>
        <v>0</v>
      </c>
      <c r="BA30" s="12">
        <f>'Base de données indicateurs1'!BA44</f>
        <v>0</v>
      </c>
      <c r="BB30" s="12">
        <f>'Base de données indicateurs1'!BB44</f>
        <v>109</v>
      </c>
      <c r="BC30" s="12">
        <f>'Base de données indicateurs1'!BC44</f>
        <v>0</v>
      </c>
      <c r="BD30" s="12">
        <f>'Base de données indicateurs1'!BD44</f>
        <v>35327</v>
      </c>
      <c r="BE30" s="12">
        <f>'Base de données indicateurs1'!BE44</f>
        <v>20</v>
      </c>
      <c r="BF30" s="12">
        <f t="shared" si="0"/>
        <v>33251.85</v>
      </c>
      <c r="BG30" s="12">
        <f t="shared" si="1"/>
        <v>8736</v>
      </c>
      <c r="BH30" s="12">
        <f t="shared" si="2"/>
        <v>48800.3</v>
      </c>
      <c r="BK30" s="12"/>
    </row>
    <row r="31" spans="1:63" x14ac:dyDescent="0.25">
      <c r="A31" s="143" t="s">
        <v>549</v>
      </c>
      <c r="B31" s="144" t="s">
        <v>225</v>
      </c>
      <c r="C31" s="143">
        <v>443</v>
      </c>
      <c r="D31" s="145">
        <f>'Base de données indicateurs1'!BF45</f>
        <v>4183375.399999999</v>
      </c>
      <c r="E31" s="12">
        <f>'Base de données indicateurs1'!E45</f>
        <v>23831.5</v>
      </c>
      <c r="F31" s="12">
        <f>'Base de données indicateurs1'!F45</f>
        <v>22320</v>
      </c>
      <c r="G31" s="12">
        <f>'Base de données indicateurs1'!G45</f>
        <v>101852.4</v>
      </c>
      <c r="H31" s="12">
        <f>'Base de données indicateurs1'!H45</f>
        <v>0</v>
      </c>
      <c r="I31" s="12">
        <f>'Base de données indicateurs1'!I45</f>
        <v>390253</v>
      </c>
      <c r="J31" s="12">
        <f>'Base de données indicateurs1'!J45</f>
        <v>131630</v>
      </c>
      <c r="K31" s="12">
        <f>'Base de données indicateurs1'!K45</f>
        <v>125140.2</v>
      </c>
      <c r="L31" s="12">
        <f>'Base de données indicateurs1'!L45</f>
        <v>824370.55</v>
      </c>
      <c r="M31" s="12">
        <f>'Base de données indicateurs1'!M45</f>
        <v>19882.099999999999</v>
      </c>
      <c r="N31" s="12">
        <f>'Base de données indicateurs1'!N45</f>
        <v>21150</v>
      </c>
      <c r="O31" s="12">
        <f>'Base de données indicateurs1'!O45</f>
        <v>108651.25</v>
      </c>
      <c r="P31" s="12">
        <f>'Base de données indicateurs1'!P45</f>
        <v>22790</v>
      </c>
      <c r="Q31" s="12">
        <f>'Base de données indicateurs1'!Q45</f>
        <v>10140</v>
      </c>
      <c r="R31" s="12">
        <f>'Base de données indicateurs1'!R45</f>
        <v>26680</v>
      </c>
      <c r="S31" s="12">
        <f>'Base de données indicateurs1'!S45</f>
        <v>14640</v>
      </c>
      <c r="T31" s="12">
        <f>'Base de données indicateurs1'!T45</f>
        <v>43480</v>
      </c>
      <c r="U31" s="12">
        <f>'Base de données indicateurs1'!U45</f>
        <v>0</v>
      </c>
      <c r="V31" s="12">
        <f>'Base de données indicateurs1'!V45</f>
        <v>20005</v>
      </c>
      <c r="W31" s="12">
        <f>'Base de données indicateurs1'!W45</f>
        <v>155612.29999999999</v>
      </c>
      <c r="X31" s="12">
        <f>'Base de données indicateurs1'!X45</f>
        <v>1490</v>
      </c>
      <c r="Y31" s="12">
        <f>'Base de données indicateurs1'!Y45</f>
        <v>43405</v>
      </c>
      <c r="Z31" s="12">
        <f>'Base de données indicateurs1'!Z45</f>
        <v>8731</v>
      </c>
      <c r="AA31" s="12">
        <f>'Base de données indicateurs1'!AA45</f>
        <v>15034</v>
      </c>
      <c r="AB31" s="12">
        <f>'Base de données indicateurs1'!AB45</f>
        <v>25290</v>
      </c>
      <c r="AC31" s="12">
        <f>'Base de données indicateurs1'!AC45</f>
        <v>41126.6</v>
      </c>
      <c r="AD31" s="12">
        <f>'Base de données indicateurs1'!AD45</f>
        <v>80564.5</v>
      </c>
      <c r="AE31" s="12">
        <f>'Base de données indicateurs1'!AE45</f>
        <v>1810</v>
      </c>
      <c r="AF31" s="12">
        <f>'Base de données indicateurs1'!AF45</f>
        <v>75924.7</v>
      </c>
      <c r="AG31" s="12">
        <f>'Base de données indicateurs1'!AG45</f>
        <v>87356.800000000003</v>
      </c>
      <c r="AH31" s="12">
        <f>'Base de données indicateurs1'!AH45</f>
        <v>39189</v>
      </c>
      <c r="AI31" s="12">
        <f>'Base de données indicateurs1'!AI45</f>
        <v>0</v>
      </c>
      <c r="AJ31" s="12">
        <f>'Base de données indicateurs1'!AJ45</f>
        <v>26770</v>
      </c>
      <c r="AK31" s="12">
        <f>'Base de données indicateurs1'!AK45</f>
        <v>0</v>
      </c>
      <c r="AL31" s="12">
        <f>'Base de données indicateurs1'!AL45</f>
        <v>141519</v>
      </c>
      <c r="AM31" s="12">
        <f>'Base de données indicateurs1'!AM45</f>
        <v>71714.75</v>
      </c>
      <c r="AN31" s="12">
        <f>'Base de données indicateurs1'!AN45</f>
        <v>7440</v>
      </c>
      <c r="AO31" s="12">
        <f>'Base de données indicateurs1'!AO45</f>
        <v>212328.05</v>
      </c>
      <c r="AP31" s="12">
        <f>'Base de données indicateurs1'!AP45</f>
        <v>25423.5</v>
      </c>
      <c r="AQ31" s="12">
        <f>'Base de données indicateurs1'!AQ45</f>
        <v>20325</v>
      </c>
      <c r="AR31" s="12">
        <f>'Base de données indicateurs1'!AR45</f>
        <v>423015.3</v>
      </c>
      <c r="AS31" s="12">
        <f>'Base de données indicateurs1'!AS45</f>
        <v>15722.4</v>
      </c>
      <c r="AT31" s="12">
        <f>'Base de données indicateurs1'!AT45</f>
        <v>68498.5</v>
      </c>
      <c r="AU31" s="12">
        <f>'Base de données indicateurs1'!AU45</f>
        <v>31234</v>
      </c>
      <c r="AV31" s="12">
        <f>'Base de données indicateurs1'!AV45</f>
        <v>0</v>
      </c>
      <c r="AW31" s="12">
        <f>'Base de données indicateurs1'!AW45</f>
        <v>28453.55</v>
      </c>
      <c r="AX31" s="12">
        <f>'Base de données indicateurs1'!AX45</f>
        <v>11653.4</v>
      </c>
      <c r="AY31" s="12">
        <f>'Base de données indicateurs1'!AY45</f>
        <v>39891.800000000003</v>
      </c>
      <c r="AZ31" s="12">
        <f>'Base de données indicateurs1'!AZ45</f>
        <v>63599.9</v>
      </c>
      <c r="BA31" s="12">
        <f>'Base de données indicateurs1'!BA45</f>
        <v>33410.15</v>
      </c>
      <c r="BB31" s="12">
        <f>'Base de données indicateurs1'!BB45</f>
        <v>98207</v>
      </c>
      <c r="BC31" s="12">
        <f>'Base de données indicateurs1'!BC45</f>
        <v>42360</v>
      </c>
      <c r="BD31" s="12">
        <f>'Base de données indicateurs1'!BD45</f>
        <v>295146.59999999998</v>
      </c>
      <c r="BE31" s="12">
        <f>'Base de données indicateurs1'!BE45</f>
        <v>44312.6</v>
      </c>
      <c r="BF31" s="12">
        <f t="shared" si="0"/>
        <v>2062428.3</v>
      </c>
      <c r="BG31" s="12">
        <f t="shared" si="1"/>
        <v>446691.6</v>
      </c>
      <c r="BH31" s="12">
        <f t="shared" si="2"/>
        <v>1674255.5</v>
      </c>
      <c r="BK31" s="12"/>
    </row>
    <row r="32" spans="1:63" x14ac:dyDescent="0.25">
      <c r="A32" s="143" t="s">
        <v>550</v>
      </c>
      <c r="B32" s="144" t="s">
        <v>225</v>
      </c>
      <c r="C32" s="143">
        <v>444</v>
      </c>
      <c r="D32" s="145">
        <f>'Base de données indicateurs1'!BF46</f>
        <v>1157700.74</v>
      </c>
      <c r="E32" s="12">
        <f>'Base de données indicateurs1'!E46</f>
        <v>0</v>
      </c>
      <c r="F32" s="12">
        <f>'Base de données indicateurs1'!F46</f>
        <v>0</v>
      </c>
      <c r="G32" s="12">
        <f>'Base de données indicateurs1'!G46</f>
        <v>129798.25</v>
      </c>
      <c r="H32" s="12">
        <f>'Base de données indicateurs1'!H46</f>
        <v>0</v>
      </c>
      <c r="I32" s="12">
        <f>'Base de données indicateurs1'!I46</f>
        <v>18080</v>
      </c>
      <c r="J32" s="12">
        <f>'Base de données indicateurs1'!J46</f>
        <v>40</v>
      </c>
      <c r="K32" s="12">
        <f>'Base de données indicateurs1'!K46</f>
        <v>0</v>
      </c>
      <c r="L32" s="12">
        <f>'Base de données indicateurs1'!L46</f>
        <v>0</v>
      </c>
      <c r="M32" s="12">
        <f>'Base de données indicateurs1'!M46</f>
        <v>40</v>
      </c>
      <c r="N32" s="12">
        <f>'Base de données indicateurs1'!N46</f>
        <v>0</v>
      </c>
      <c r="O32" s="12">
        <f>'Base de données indicateurs1'!O46</f>
        <v>9351</v>
      </c>
      <c r="P32" s="12">
        <f>'Base de données indicateurs1'!P46</f>
        <v>0</v>
      </c>
      <c r="Q32" s="12">
        <f>'Base de données indicateurs1'!Q46</f>
        <v>20</v>
      </c>
      <c r="R32" s="12">
        <f>'Base de données indicateurs1'!R46</f>
        <v>0</v>
      </c>
      <c r="S32" s="12">
        <f>'Base de données indicateurs1'!S46</f>
        <v>0</v>
      </c>
      <c r="T32" s="12">
        <f>'Base de données indicateurs1'!T46</f>
        <v>0</v>
      </c>
      <c r="U32" s="12">
        <f>'Base de données indicateurs1'!U46</f>
        <v>0</v>
      </c>
      <c r="V32" s="12">
        <f>'Base de données indicateurs1'!V46</f>
        <v>0</v>
      </c>
      <c r="W32" s="12">
        <f>'Base de données indicateurs1'!W46</f>
        <v>2399</v>
      </c>
      <c r="X32" s="12">
        <f>'Base de données indicateurs1'!X46</f>
        <v>1</v>
      </c>
      <c r="Y32" s="12">
        <f>'Base de données indicateurs1'!Y46</f>
        <v>0</v>
      </c>
      <c r="Z32" s="12">
        <f>'Base de données indicateurs1'!Z46</f>
        <v>0</v>
      </c>
      <c r="AA32" s="12">
        <f>'Base de données indicateurs1'!AA46</f>
        <v>10.4</v>
      </c>
      <c r="AB32" s="12">
        <f>'Base de données indicateurs1'!AB46</f>
        <v>2416</v>
      </c>
      <c r="AC32" s="12">
        <f>'Base de données indicateurs1'!AC46</f>
        <v>3160</v>
      </c>
      <c r="AD32" s="12">
        <f>'Base de données indicateurs1'!AD46</f>
        <v>20</v>
      </c>
      <c r="AE32" s="12">
        <f>'Base de données indicateurs1'!AE46</f>
        <v>100</v>
      </c>
      <c r="AF32" s="12">
        <f>'Base de données indicateurs1'!AF46</f>
        <v>0</v>
      </c>
      <c r="AG32" s="12">
        <f>'Base de données indicateurs1'!AG46</f>
        <v>25280</v>
      </c>
      <c r="AH32" s="12">
        <f>'Base de données indicateurs1'!AH46</f>
        <v>8200</v>
      </c>
      <c r="AI32" s="12">
        <f>'Base de données indicateurs1'!AI46</f>
        <v>0</v>
      </c>
      <c r="AJ32" s="12">
        <f>'Base de données indicateurs1'!AJ46</f>
        <v>60</v>
      </c>
      <c r="AK32" s="12">
        <f>'Base de données indicateurs1'!AK46</f>
        <v>0</v>
      </c>
      <c r="AL32" s="12">
        <f>'Base de données indicateurs1'!AL46</f>
        <v>4740</v>
      </c>
      <c r="AM32" s="12">
        <f>'Base de données indicateurs1'!AM46</f>
        <v>0</v>
      </c>
      <c r="AN32" s="12">
        <f>'Base de données indicateurs1'!AN46</f>
        <v>0</v>
      </c>
      <c r="AO32" s="12">
        <f>'Base de données indicateurs1'!AO46</f>
        <v>0</v>
      </c>
      <c r="AP32" s="12">
        <f>'Base de données indicateurs1'!AP46</f>
        <v>0</v>
      </c>
      <c r="AQ32" s="12">
        <f>'Base de données indicateurs1'!AQ46</f>
        <v>6000</v>
      </c>
      <c r="AR32" s="12">
        <f>'Base de données indicateurs1'!AR46</f>
        <v>0</v>
      </c>
      <c r="AS32" s="12">
        <f>'Base de données indicateurs1'!AS46</f>
        <v>19750</v>
      </c>
      <c r="AT32" s="12">
        <f>'Base de données indicateurs1'!AT46</f>
        <v>20</v>
      </c>
      <c r="AU32" s="12">
        <f>'Base de données indicateurs1'!AU46</f>
        <v>0</v>
      </c>
      <c r="AV32" s="12">
        <f>'Base de données indicateurs1'!AV46</f>
        <v>0</v>
      </c>
      <c r="AW32" s="12">
        <f>'Base de données indicateurs1'!AW46</f>
        <v>6320</v>
      </c>
      <c r="AX32" s="12">
        <f>'Base de données indicateurs1'!AX46</f>
        <v>0</v>
      </c>
      <c r="AY32" s="12">
        <f>'Base de données indicateurs1'!AY46</f>
        <v>0</v>
      </c>
      <c r="AZ32" s="12">
        <f>'Base de données indicateurs1'!AZ46</f>
        <v>8800</v>
      </c>
      <c r="BA32" s="12">
        <f>'Base de données indicateurs1'!BA46</f>
        <v>40</v>
      </c>
      <c r="BB32" s="12">
        <f>'Base de données indicateurs1'!BB46</f>
        <v>3700</v>
      </c>
      <c r="BC32" s="12">
        <f>'Base de données indicateurs1'!BC46</f>
        <v>0</v>
      </c>
      <c r="BD32" s="12">
        <f>'Base de données indicateurs1'!BD46</f>
        <v>909355.09</v>
      </c>
      <c r="BE32" s="12">
        <f>'Base de données indicateurs1'!BE46</f>
        <v>0</v>
      </c>
      <c r="BF32" s="12">
        <f t="shared" si="0"/>
        <v>159728.25</v>
      </c>
      <c r="BG32" s="12">
        <f t="shared" si="1"/>
        <v>39247.4</v>
      </c>
      <c r="BH32" s="12">
        <f t="shared" si="2"/>
        <v>958725.09</v>
      </c>
      <c r="BK32" s="12"/>
    </row>
    <row r="33" spans="1:63" ht="14.4" thickBot="1" x14ac:dyDescent="0.3">
      <c r="B33" s="146"/>
      <c r="D33" s="12"/>
      <c r="BF33" s="12"/>
      <c r="BG33" s="12"/>
      <c r="BH33" s="12"/>
      <c r="BK33" s="12"/>
    </row>
    <row r="34" spans="1:63" ht="14.4" thickBot="1" x14ac:dyDescent="0.3">
      <c r="A34" s="6" t="s">
        <v>551</v>
      </c>
      <c r="B34" s="97"/>
      <c r="C34" s="6"/>
      <c r="D34" s="147">
        <f>D27-D28-D29-D30-D31-D32</f>
        <v>-185767.01999999979</v>
      </c>
      <c r="E34" s="152">
        <f>E27-E28-E29-E30-E31-E32</f>
        <v>-797.79999999999563</v>
      </c>
      <c r="F34" s="12">
        <f t="shared" ref="F34:BE34" si="7">F27-F28-F29-F30-F31-F32</f>
        <v>98855.989999999991</v>
      </c>
      <c r="G34" s="12">
        <f t="shared" si="7"/>
        <v>-165634.04999999999</v>
      </c>
      <c r="H34" s="12">
        <f t="shared" si="7"/>
        <v>72999.25</v>
      </c>
      <c r="I34" s="12">
        <f t="shared" si="7"/>
        <v>-49737</v>
      </c>
      <c r="J34" s="12">
        <f t="shared" si="7"/>
        <v>-7191.8000000000029</v>
      </c>
      <c r="K34" s="12">
        <f t="shared" si="7"/>
        <v>29029.62000000001</v>
      </c>
      <c r="L34" s="12">
        <f t="shared" si="7"/>
        <v>394513.7899999998</v>
      </c>
      <c r="M34" s="12">
        <f t="shared" si="7"/>
        <v>-3425.739999999998</v>
      </c>
      <c r="N34" s="12">
        <f t="shared" si="7"/>
        <v>-16432.87</v>
      </c>
      <c r="O34" s="12">
        <f t="shared" si="7"/>
        <v>45203.820000000007</v>
      </c>
      <c r="P34" s="12">
        <f t="shared" si="7"/>
        <v>10909.509999999995</v>
      </c>
      <c r="Q34" s="12">
        <f t="shared" si="7"/>
        <v>-2840.4800000000005</v>
      </c>
      <c r="R34" s="12">
        <f t="shared" si="7"/>
        <v>135319.26</v>
      </c>
      <c r="S34" s="12">
        <f t="shared" si="7"/>
        <v>51220.72</v>
      </c>
      <c r="T34" s="12">
        <f t="shared" si="7"/>
        <v>-9671.8099999999977</v>
      </c>
      <c r="U34" s="12">
        <f t="shared" si="7"/>
        <v>5185.8900000000012</v>
      </c>
      <c r="V34" s="12">
        <f t="shared" si="7"/>
        <v>11891.54</v>
      </c>
      <c r="W34" s="12">
        <f t="shared" si="7"/>
        <v>-82206.23</v>
      </c>
      <c r="X34" s="12">
        <f t="shared" si="7"/>
        <v>59747.86</v>
      </c>
      <c r="Y34" s="12">
        <f t="shared" si="7"/>
        <v>42842.31</v>
      </c>
      <c r="Z34" s="12">
        <f t="shared" si="7"/>
        <v>-25121.56</v>
      </c>
      <c r="AA34" s="12">
        <f t="shared" si="7"/>
        <v>-11564.08</v>
      </c>
      <c r="AB34" s="12">
        <f t="shared" si="7"/>
        <v>-16077.9</v>
      </c>
      <c r="AC34" s="12">
        <f t="shared" si="7"/>
        <v>28388.060000000005</v>
      </c>
      <c r="AD34" s="12">
        <f t="shared" si="7"/>
        <v>-52384.62999999999</v>
      </c>
      <c r="AE34" s="12">
        <f t="shared" si="7"/>
        <v>18315.659999999996</v>
      </c>
      <c r="AF34" s="12">
        <f t="shared" si="7"/>
        <v>12577.87000000001</v>
      </c>
      <c r="AG34" s="12">
        <f t="shared" si="7"/>
        <v>-67948.180000000008</v>
      </c>
      <c r="AH34" s="12">
        <f t="shared" si="7"/>
        <v>55636.570000000007</v>
      </c>
      <c r="AI34" s="12">
        <f t="shared" si="7"/>
        <v>0</v>
      </c>
      <c r="AJ34" s="12">
        <f t="shared" si="7"/>
        <v>-178644.73</v>
      </c>
      <c r="AK34" s="12">
        <f t="shared" si="7"/>
        <v>124939.04000000001</v>
      </c>
      <c r="AL34" s="12">
        <f t="shared" si="7"/>
        <v>-40650</v>
      </c>
      <c r="AM34" s="12">
        <f t="shared" si="7"/>
        <v>36354.209999999992</v>
      </c>
      <c r="AN34" s="12">
        <f t="shared" si="7"/>
        <v>6135.25</v>
      </c>
      <c r="AO34" s="12">
        <f t="shared" si="7"/>
        <v>-23300.449999999983</v>
      </c>
      <c r="AP34" s="12">
        <f t="shared" si="7"/>
        <v>13990.98000000001</v>
      </c>
      <c r="AQ34" s="12">
        <f t="shared" si="7"/>
        <v>12991</v>
      </c>
      <c r="AR34" s="12">
        <f t="shared" si="7"/>
        <v>-210997.68</v>
      </c>
      <c r="AS34" s="12">
        <f t="shared" si="7"/>
        <v>16151.119999999995</v>
      </c>
      <c r="AT34" s="12">
        <f t="shared" si="7"/>
        <v>49399.729999999996</v>
      </c>
      <c r="AU34" s="12">
        <f t="shared" si="7"/>
        <v>-18571.14</v>
      </c>
      <c r="AV34" s="12">
        <f t="shared" si="7"/>
        <v>113517.92</v>
      </c>
      <c r="AW34" s="12">
        <f t="shared" si="7"/>
        <v>23077.570000000003</v>
      </c>
      <c r="AX34" s="12">
        <f t="shared" si="7"/>
        <v>-7379.68</v>
      </c>
      <c r="AY34" s="12">
        <f t="shared" si="7"/>
        <v>-35484.880000000005</v>
      </c>
      <c r="AZ34" s="12">
        <f t="shared" si="7"/>
        <v>153282.28</v>
      </c>
      <c r="BA34" s="12">
        <f t="shared" si="7"/>
        <v>-21255.680000000004</v>
      </c>
      <c r="BB34" s="12">
        <f t="shared" si="7"/>
        <v>-61471</v>
      </c>
      <c r="BC34" s="12">
        <f t="shared" si="7"/>
        <v>-47400.93</v>
      </c>
      <c r="BD34" s="12">
        <f t="shared" si="7"/>
        <v>-617184.82999999996</v>
      </c>
      <c r="BE34" s="12">
        <f t="shared" si="7"/>
        <v>-34868.71</v>
      </c>
      <c r="BF34" s="12">
        <f t="shared" si="0"/>
        <v>517191.61</v>
      </c>
      <c r="BG34" s="12">
        <f t="shared" si="1"/>
        <v>-134232.75</v>
      </c>
      <c r="BH34" s="12">
        <f t="shared" si="2"/>
        <v>-568725.87999999989</v>
      </c>
      <c r="BK34" s="12"/>
    </row>
    <row r="35" spans="1:63" x14ac:dyDescent="0.25">
      <c r="A35" s="6"/>
      <c r="B35" s="97"/>
      <c r="C35" s="6"/>
      <c r="D35" s="12"/>
      <c r="BF35" s="12"/>
      <c r="BG35" s="12"/>
      <c r="BH35" s="12"/>
      <c r="BK35" s="12"/>
    </row>
    <row r="36" spans="1:63" x14ac:dyDescent="0.25">
      <c r="A36" s="140" t="s">
        <v>552</v>
      </c>
      <c r="B36" s="141" t="s">
        <v>224</v>
      </c>
      <c r="C36" s="140">
        <v>400</v>
      </c>
      <c r="D36" s="142">
        <f>'Base de données indicateurs1'!BF39</f>
        <v>170790423.49000001</v>
      </c>
      <c r="E36" s="12">
        <f>'Base de données indicateurs1'!E39</f>
        <v>2262700.1</v>
      </c>
      <c r="F36" s="12">
        <f>'Base de données indicateurs1'!F39</f>
        <v>394584.4</v>
      </c>
      <c r="G36" s="12">
        <f>'Base de données indicateurs1'!G39</f>
        <v>1139128.03</v>
      </c>
      <c r="H36" s="12">
        <f>'Base de données indicateurs1'!H39</f>
        <v>950656.41</v>
      </c>
      <c r="I36" s="12">
        <f>'Base de données indicateurs1'!I39</f>
        <v>7671731</v>
      </c>
      <c r="J36" s="12">
        <f>'Base de données indicateurs1'!J39</f>
        <v>7674815.9800000004</v>
      </c>
      <c r="K36" s="12">
        <f>'Base de données indicateurs1'!K39</f>
        <v>6509152.8200000003</v>
      </c>
      <c r="L36" s="12">
        <f>'Base de données indicateurs1'!L39</f>
        <v>29188230.370000001</v>
      </c>
      <c r="M36" s="12">
        <f>'Base de données indicateurs1'!M39</f>
        <v>3029773.01</v>
      </c>
      <c r="N36" s="12">
        <f>'Base de données indicateurs1'!N39</f>
        <v>191379.45</v>
      </c>
      <c r="O36" s="12">
        <f>'Base de données indicateurs1'!O39</f>
        <v>14939845.5</v>
      </c>
      <c r="P36" s="12">
        <f>'Base de données indicateurs1'!P39</f>
        <v>1017923.84</v>
      </c>
      <c r="Q36" s="12">
        <f>'Base de données indicateurs1'!Q39</f>
        <v>207778.13</v>
      </c>
      <c r="R36" s="12">
        <f>'Base de données indicateurs1'!R39</f>
        <v>999136.44</v>
      </c>
      <c r="S36" s="12">
        <f>'Base de données indicateurs1'!S39</f>
        <v>640644.31000000006</v>
      </c>
      <c r="T36" s="12">
        <f>'Base de données indicateurs1'!T39</f>
        <v>2080807.3</v>
      </c>
      <c r="U36" s="12">
        <f>'Base de données indicateurs1'!U39</f>
        <v>447890.85</v>
      </c>
      <c r="V36" s="12">
        <f>'Base de données indicateurs1'!V39</f>
        <v>1095422.74</v>
      </c>
      <c r="W36" s="12">
        <f>'Base de données indicateurs1'!W39</f>
        <v>6728443.8799999999</v>
      </c>
      <c r="X36" s="12">
        <f>'Base de données indicateurs1'!X39</f>
        <v>746834.75</v>
      </c>
      <c r="Y36" s="12">
        <f>'Base de données indicateurs1'!Y39</f>
        <v>4344563.7</v>
      </c>
      <c r="Z36" s="12">
        <f>'Base de données indicateurs1'!Z39</f>
        <v>3016734.59</v>
      </c>
      <c r="AA36" s="12">
        <f>'Base de données indicateurs1'!AA39</f>
        <v>162980.45000000001</v>
      </c>
      <c r="AB36" s="12">
        <f>'Base de données indicateurs1'!AB39</f>
        <v>290960.59000000003</v>
      </c>
      <c r="AC36" s="12">
        <f>'Base de données indicateurs1'!AC39</f>
        <v>1263965.1499999999</v>
      </c>
      <c r="AD36" s="12">
        <f>'Base de données indicateurs1'!AD39</f>
        <v>1550453.62</v>
      </c>
      <c r="AE36" s="12">
        <f>'Base de données indicateurs1'!AE39</f>
        <v>1150391.33</v>
      </c>
      <c r="AF36" s="12">
        <f>'Base de données indicateurs1'!AF39</f>
        <v>1344189.14</v>
      </c>
      <c r="AG36" s="12">
        <f>'Base de données indicateurs1'!AG39</f>
        <v>4697662.17</v>
      </c>
      <c r="AH36" s="12">
        <f>'Base de données indicateurs1'!AH39</f>
        <v>6280726.4000000004</v>
      </c>
      <c r="AI36" s="12">
        <f>'Base de données indicateurs1'!AI39</f>
        <v>561108</v>
      </c>
      <c r="AJ36" s="12">
        <f>'Base de données indicateurs1'!AJ39</f>
        <v>246941.98</v>
      </c>
      <c r="AK36" s="12">
        <f>'Base de données indicateurs1'!AK39</f>
        <v>4913883.17</v>
      </c>
      <c r="AL36" s="12">
        <f>'Base de données indicateurs1'!AL39</f>
        <v>2112923</v>
      </c>
      <c r="AM36" s="12">
        <f>'Base de données indicateurs1'!AM39</f>
        <v>2384568.14</v>
      </c>
      <c r="AN36" s="12">
        <f>'Base de données indicateurs1'!AN39</f>
        <v>269179</v>
      </c>
      <c r="AO36" s="12">
        <f>'Base de données indicateurs1'!AO39</f>
        <v>3543365.99</v>
      </c>
      <c r="AP36" s="12">
        <f>'Base de données indicateurs1'!AP39</f>
        <v>1427538.26</v>
      </c>
      <c r="AQ36" s="12">
        <f>'Base de données indicateurs1'!AQ39</f>
        <v>1396588</v>
      </c>
      <c r="AR36" s="12">
        <f>'Base de données indicateurs1'!AR39</f>
        <v>2314628.2999999998</v>
      </c>
      <c r="AS36" s="12">
        <f>'Base de données indicateurs1'!AS39</f>
        <v>1555418.93</v>
      </c>
      <c r="AT36" s="12">
        <f>'Base de données indicateurs1'!AT39</f>
        <v>2260301.69</v>
      </c>
      <c r="AU36" s="12">
        <f>'Base de données indicateurs1'!AU39</f>
        <v>665145.5</v>
      </c>
      <c r="AV36" s="12">
        <f>'Base de données indicateurs1'!AV39</f>
        <v>5397412.5199999996</v>
      </c>
      <c r="AW36" s="12">
        <f>'Base de données indicateurs1'!AW39</f>
        <v>1851760.6</v>
      </c>
      <c r="AX36" s="12">
        <f>'Base de données indicateurs1'!AX39</f>
        <v>313766.09999999998</v>
      </c>
      <c r="AY36" s="12">
        <f>'Base de données indicateurs1'!AY39</f>
        <v>678698.3</v>
      </c>
      <c r="AZ36" s="12">
        <f>'Base de données indicateurs1'!AZ39</f>
        <v>4101354</v>
      </c>
      <c r="BA36" s="12">
        <f>'Base de données indicateurs1'!BA39</f>
        <v>693667.73</v>
      </c>
      <c r="BB36" s="12">
        <f>'Base de données indicateurs1'!BB39</f>
        <v>2709050</v>
      </c>
      <c r="BC36" s="12">
        <f>'Base de données indicateurs1'!BC39</f>
        <v>301178.40000000002</v>
      </c>
      <c r="BD36" s="12">
        <f>'Base de données indicateurs1'!BD39</f>
        <v>17855510.039999999</v>
      </c>
      <c r="BE36" s="12">
        <f>'Base de données indicateurs1'!BE39</f>
        <v>1216929.3899999999</v>
      </c>
      <c r="BF36" s="12">
        <f t="shared" si="0"/>
        <v>87170044.559999973</v>
      </c>
      <c r="BG36" s="12">
        <f t="shared" si="1"/>
        <v>25657511.870000001</v>
      </c>
      <c r="BH36" s="12">
        <f t="shared" si="2"/>
        <v>57962867.059999995</v>
      </c>
      <c r="BK36" s="12"/>
    </row>
    <row r="37" spans="1:63" x14ac:dyDescent="0.25">
      <c r="A37" s="143" t="s">
        <v>553</v>
      </c>
      <c r="B37" s="144" t="s">
        <v>224</v>
      </c>
      <c r="C37" s="143">
        <v>401</v>
      </c>
      <c r="D37" s="145">
        <f>'Base de données indicateurs1'!BF40</f>
        <v>26325477.629999988</v>
      </c>
      <c r="E37" s="12">
        <f>'Base de données indicateurs1'!E40</f>
        <v>104082.17</v>
      </c>
      <c r="F37" s="12">
        <f>'Base de données indicateurs1'!F40</f>
        <v>4199.7</v>
      </c>
      <c r="G37" s="12">
        <f>'Base de données indicateurs1'!G40</f>
        <v>-8741.4500000000007</v>
      </c>
      <c r="H37" s="12">
        <f>'Base de données indicateurs1'!H40</f>
        <v>-15810.9</v>
      </c>
      <c r="I37" s="12">
        <f>'Base de données indicateurs1'!I40</f>
        <v>410566</v>
      </c>
      <c r="J37" s="12">
        <f>'Base de données indicateurs1'!J40</f>
        <v>435109.2</v>
      </c>
      <c r="K37" s="12">
        <f>'Base de données indicateurs1'!K40</f>
        <v>1158851.46</v>
      </c>
      <c r="L37" s="12">
        <f>'Base de données indicateurs1'!L40</f>
        <v>4132816.72</v>
      </c>
      <c r="M37" s="12">
        <f>'Base de données indicateurs1'!M40</f>
        <v>169303.3</v>
      </c>
      <c r="N37" s="12">
        <f>'Base de données indicateurs1'!N40</f>
        <v>10437.31</v>
      </c>
      <c r="O37" s="12">
        <f>'Base de données indicateurs1'!O40</f>
        <v>1422894.55</v>
      </c>
      <c r="P37" s="12">
        <f>'Base de données indicateurs1'!P40</f>
        <v>1536.15</v>
      </c>
      <c r="Q37" s="12">
        <f>'Base de données indicateurs1'!Q40</f>
        <v>400.65</v>
      </c>
      <c r="R37" s="12">
        <f>'Base de données indicateurs1'!R40</f>
        <v>634.11</v>
      </c>
      <c r="S37" s="12">
        <f>'Base de données indicateurs1'!S40</f>
        <v>2644.55</v>
      </c>
      <c r="T37" s="12">
        <f>'Base de données indicateurs1'!T40</f>
        <v>-10344.4</v>
      </c>
      <c r="U37" s="12">
        <f>'Base de données indicateurs1'!U40</f>
        <v>4057.45</v>
      </c>
      <c r="V37" s="12">
        <f>'Base de données indicateurs1'!V40</f>
        <v>242179.35</v>
      </c>
      <c r="W37" s="12">
        <f>'Base de données indicateurs1'!W40</f>
        <v>414822.18</v>
      </c>
      <c r="X37" s="12">
        <f>'Base de données indicateurs1'!X40</f>
        <v>4574.2</v>
      </c>
      <c r="Y37" s="12">
        <f>'Base de données indicateurs1'!Y40</f>
        <v>112507.6</v>
      </c>
      <c r="Z37" s="12">
        <f>'Base de données indicateurs1'!Z40</f>
        <v>6938409.75</v>
      </c>
      <c r="AA37" s="12">
        <f>'Base de données indicateurs1'!AA40</f>
        <v>102.2</v>
      </c>
      <c r="AB37" s="12">
        <f>'Base de données indicateurs1'!AB40</f>
        <v>-5685.3</v>
      </c>
      <c r="AC37" s="12">
        <f>'Base de données indicateurs1'!AC40</f>
        <v>72681.350000000006</v>
      </c>
      <c r="AD37" s="12">
        <f>'Base de données indicateurs1'!AD40</f>
        <v>74341.350000000006</v>
      </c>
      <c r="AE37" s="12">
        <f>'Base de données indicateurs1'!AE40</f>
        <v>23967.7</v>
      </c>
      <c r="AF37" s="12">
        <f>'Base de données indicateurs1'!AF40</f>
        <v>48888.36</v>
      </c>
      <c r="AG37" s="12">
        <f>'Base de données indicateurs1'!AG40</f>
        <v>1308463.1000000001</v>
      </c>
      <c r="AH37" s="12">
        <f>'Base de données indicateurs1'!AH40</f>
        <v>480060.95</v>
      </c>
      <c r="AI37" s="12">
        <f>'Base de données indicateurs1'!AI40</f>
        <v>0</v>
      </c>
      <c r="AJ37" s="12">
        <f>'Base de données indicateurs1'!AJ40</f>
        <v>-559.15</v>
      </c>
      <c r="AK37" s="12">
        <f>'Base de données indicateurs1'!AK40</f>
        <v>381200.4</v>
      </c>
      <c r="AL37" s="12">
        <f>'Base de données indicateurs1'!AL40</f>
        <v>15337</v>
      </c>
      <c r="AM37" s="12">
        <f>'Base de données indicateurs1'!AM40</f>
        <v>70712.149999999994</v>
      </c>
      <c r="AN37" s="12">
        <f>'Base de données indicateurs1'!AN40</f>
        <v>41575</v>
      </c>
      <c r="AO37" s="12">
        <f>'Base de données indicateurs1'!AO40</f>
        <v>4126565.45</v>
      </c>
      <c r="AP37" s="12">
        <f>'Base de données indicateurs1'!AP40</f>
        <v>-20679.21</v>
      </c>
      <c r="AQ37" s="12">
        <f>'Base de données indicateurs1'!AQ40</f>
        <v>126130</v>
      </c>
      <c r="AR37" s="12">
        <f>'Base de données indicateurs1'!AR40</f>
        <v>21170.65</v>
      </c>
      <c r="AS37" s="12">
        <f>'Base de données indicateurs1'!AS40</f>
        <v>24447.4</v>
      </c>
      <c r="AT37" s="12">
        <f>'Base de données indicateurs1'!AT40</f>
        <v>18304.88</v>
      </c>
      <c r="AU37" s="12">
        <f>'Base de données indicateurs1'!AU40</f>
        <v>124189.1</v>
      </c>
      <c r="AV37" s="12">
        <f>'Base de données indicateurs1'!AV40</f>
        <v>395818.19</v>
      </c>
      <c r="AW37" s="12">
        <f>'Base de données indicateurs1'!AW40</f>
        <v>374940.27</v>
      </c>
      <c r="AX37" s="12">
        <f>'Base de données indicateurs1'!AX40</f>
        <v>7008.05</v>
      </c>
      <c r="AY37" s="12">
        <f>'Base de données indicateurs1'!AY40</f>
        <v>11008.4</v>
      </c>
      <c r="AZ37" s="12">
        <f>'Base de données indicateurs1'!AZ40</f>
        <v>49702.400000000001</v>
      </c>
      <c r="BA37" s="12">
        <f>'Base de données indicateurs1'!BA40</f>
        <v>16074.4</v>
      </c>
      <c r="BB37" s="12">
        <f>'Base de données indicateurs1'!BB40</f>
        <v>302844</v>
      </c>
      <c r="BC37" s="12">
        <f>'Base de données indicateurs1'!BC40</f>
        <v>10835.15</v>
      </c>
      <c r="BD37" s="12">
        <f>'Base de données indicateurs1'!BD40</f>
        <v>2575460.19</v>
      </c>
      <c r="BE37" s="12">
        <f>'Base de données indicateurs1'!BE40</f>
        <v>115443.55</v>
      </c>
      <c r="BF37" s="12">
        <f t="shared" si="0"/>
        <v>8479638.0999999996</v>
      </c>
      <c r="BG37" s="12">
        <f t="shared" si="1"/>
        <v>9057752.1099999994</v>
      </c>
      <c r="BH37" s="12">
        <f t="shared" si="2"/>
        <v>8788087.4200000037</v>
      </c>
      <c r="BK37" s="12"/>
    </row>
    <row r="38" spans="1:63" x14ac:dyDescent="0.25">
      <c r="A38" s="143" t="s">
        <v>139</v>
      </c>
      <c r="B38" s="144" t="s">
        <v>224</v>
      </c>
      <c r="C38" s="143">
        <v>402</v>
      </c>
      <c r="D38" s="145">
        <f>'Base de données indicateurs1'!BF41</f>
        <v>25936532.199999999</v>
      </c>
      <c r="E38" s="12">
        <f>'Base de données indicateurs1'!E41</f>
        <v>232616.5</v>
      </c>
      <c r="F38" s="12">
        <f>'Base de données indicateurs1'!F41</f>
        <v>134798.39999999999</v>
      </c>
      <c r="G38" s="12">
        <f>'Base de données indicateurs1'!G41</f>
        <v>185978.35</v>
      </c>
      <c r="H38" s="12">
        <f>'Base de données indicateurs1'!H41</f>
        <v>123590.03</v>
      </c>
      <c r="I38" s="12">
        <f>'Base de données indicateurs1'!I41</f>
        <v>1290471</v>
      </c>
      <c r="J38" s="12">
        <f>'Base de données indicateurs1'!J41</f>
        <v>1014914.21</v>
      </c>
      <c r="K38" s="12">
        <f>'Base de données indicateurs1'!K41</f>
        <v>583017.75</v>
      </c>
      <c r="L38" s="12">
        <f>'Base de données indicateurs1'!L41</f>
        <v>4520498.41</v>
      </c>
      <c r="M38" s="12">
        <f>'Base de données indicateurs1'!M41</f>
        <v>380573.95</v>
      </c>
      <c r="N38" s="12">
        <f>'Base de données indicateurs1'!N41</f>
        <v>27755.9</v>
      </c>
      <c r="O38" s="12">
        <f>'Base de données indicateurs1'!O41</f>
        <v>2239996.15</v>
      </c>
      <c r="P38" s="12">
        <f>'Base de données indicateurs1'!P41</f>
        <v>199185.77</v>
      </c>
      <c r="Q38" s="12">
        <f>'Base de données indicateurs1'!Q41</f>
        <v>63778.1</v>
      </c>
      <c r="R38" s="12">
        <f>'Base de données indicateurs1'!R41</f>
        <v>105021.25</v>
      </c>
      <c r="S38" s="12">
        <f>'Base de données indicateurs1'!S41</f>
        <v>136211.6</v>
      </c>
      <c r="T38" s="12">
        <f>'Base de données indicateurs1'!T41</f>
        <v>234255.15</v>
      </c>
      <c r="U38" s="12">
        <f>'Base de données indicateurs1'!U41</f>
        <v>56002</v>
      </c>
      <c r="V38" s="12">
        <f>'Base de données indicateurs1'!V41</f>
        <v>132074.25</v>
      </c>
      <c r="W38" s="12">
        <f>'Base de données indicateurs1'!W41</f>
        <v>1053641.1000000001</v>
      </c>
      <c r="X38" s="12">
        <f>'Base de données indicateurs1'!X41</f>
        <v>137531.1</v>
      </c>
      <c r="Y38" s="12">
        <f>'Base de données indicateurs1'!Y41</f>
        <v>363171.6</v>
      </c>
      <c r="Z38" s="12">
        <f>'Base de données indicateurs1'!Z41</f>
        <v>441259.63</v>
      </c>
      <c r="AA38" s="12">
        <f>'Base de données indicateurs1'!AA41</f>
        <v>67345.600000000006</v>
      </c>
      <c r="AB38" s="12">
        <f>'Base de données indicateurs1'!AB41</f>
        <v>50604.15</v>
      </c>
      <c r="AC38" s="12">
        <f>'Base de données indicateurs1'!AC41</f>
        <v>179387.8</v>
      </c>
      <c r="AD38" s="12">
        <f>'Base de données indicateurs1'!AD41</f>
        <v>244804.55</v>
      </c>
      <c r="AE38" s="12">
        <f>'Base de données indicateurs1'!AE41</f>
        <v>216397.45</v>
      </c>
      <c r="AF38" s="12">
        <f>'Base de données indicateurs1'!AF41</f>
        <v>205025.8</v>
      </c>
      <c r="AG38" s="12">
        <f>'Base de données indicateurs1'!AG41</f>
        <v>680175</v>
      </c>
      <c r="AH38" s="12">
        <f>'Base de données indicateurs1'!AH41</f>
        <v>860106.65</v>
      </c>
      <c r="AI38" s="12">
        <f>'Base de données indicateurs1'!AI41</f>
        <v>0</v>
      </c>
      <c r="AJ38" s="12">
        <f>'Base de données indicateurs1'!AJ41</f>
        <v>69457.649999999994</v>
      </c>
      <c r="AK38" s="12">
        <f>'Base de données indicateurs1'!AK41</f>
        <v>692041.56</v>
      </c>
      <c r="AL38" s="12">
        <f>'Base de données indicateurs1'!AL41</f>
        <v>451447</v>
      </c>
      <c r="AM38" s="12">
        <f>'Base de données indicateurs1'!AM41</f>
        <v>465405.75</v>
      </c>
      <c r="AN38" s="12">
        <f>'Base de données indicateurs1'!AN41</f>
        <v>35824</v>
      </c>
      <c r="AO38" s="12">
        <f>'Base de données indicateurs1'!AO41</f>
        <v>486190.75</v>
      </c>
      <c r="AP38" s="12">
        <f>'Base de données indicateurs1'!AP41</f>
        <v>188734.8</v>
      </c>
      <c r="AQ38" s="12">
        <f>'Base de données indicateurs1'!AQ41</f>
        <v>166180</v>
      </c>
      <c r="AR38" s="12">
        <f>'Base de données indicateurs1'!AR41</f>
        <v>609945.18000000005</v>
      </c>
      <c r="AS38" s="12">
        <f>'Base de données indicateurs1'!AS41</f>
        <v>261776.1</v>
      </c>
      <c r="AT38" s="12">
        <f>'Base de données indicateurs1'!AT41</f>
        <v>248060.15</v>
      </c>
      <c r="AU38" s="12">
        <f>'Base de données indicateurs1'!AU41</f>
        <v>88152</v>
      </c>
      <c r="AV38" s="12">
        <f>'Base de données indicateurs1'!AV41</f>
        <v>1001432.95</v>
      </c>
      <c r="AW38" s="12">
        <f>'Base de données indicateurs1'!AW41</f>
        <v>303470.05</v>
      </c>
      <c r="AX38" s="12">
        <f>'Base de données indicateurs1'!AX41</f>
        <v>78838</v>
      </c>
      <c r="AY38" s="12">
        <f>'Base de données indicateurs1'!AY41</f>
        <v>146578.96</v>
      </c>
      <c r="AZ38" s="12">
        <f>'Base de données indicateurs1'!AZ41</f>
        <v>652921.75</v>
      </c>
      <c r="BA38" s="12">
        <f>'Base de données indicateurs1'!BA41</f>
        <v>134055</v>
      </c>
      <c r="BB38" s="12">
        <f>'Base de données indicateurs1'!BB41</f>
        <v>488431</v>
      </c>
      <c r="BC38" s="12">
        <f>'Base de données indicateurs1'!BC41</f>
        <v>69493.05</v>
      </c>
      <c r="BD38" s="12">
        <f>'Base de données indicateurs1'!BD41</f>
        <v>2935619.56</v>
      </c>
      <c r="BE38" s="12">
        <f>'Base de données indicateurs1'!BE41</f>
        <v>202287.74</v>
      </c>
      <c r="BF38" s="12">
        <f t="shared" si="0"/>
        <v>12714379.869999999</v>
      </c>
      <c r="BG38" s="12">
        <f t="shared" si="1"/>
        <v>3515266.9799999995</v>
      </c>
      <c r="BH38" s="12">
        <f t="shared" si="2"/>
        <v>9706885.3499999996</v>
      </c>
      <c r="BK38" s="12"/>
    </row>
    <row r="39" spans="1:63" ht="14.4" thickBot="1" x14ac:dyDescent="0.3">
      <c r="A39" s="6"/>
      <c r="B39" s="97"/>
      <c r="C39" s="6"/>
      <c r="D39" s="12"/>
      <c r="BF39" s="12"/>
      <c r="BG39" s="12"/>
      <c r="BH39" s="12"/>
      <c r="BK39" s="12"/>
    </row>
    <row r="40" spans="1:63" ht="14.4" thickBot="1" x14ac:dyDescent="0.3">
      <c r="A40" s="6" t="s">
        <v>554</v>
      </c>
      <c r="B40" s="97"/>
      <c r="C40" s="6"/>
      <c r="D40" s="147">
        <f>SUM(D36:D38)</f>
        <v>223052433.31999999</v>
      </c>
      <c r="E40" s="152">
        <f>SUM(E36:E38)</f>
        <v>2599398.77</v>
      </c>
      <c r="F40" s="12">
        <f t="shared" ref="F40:BE40" si="8">SUM(F36:F38)</f>
        <v>533582.5</v>
      </c>
      <c r="G40" s="12">
        <f t="shared" si="8"/>
        <v>1316364.9300000002</v>
      </c>
      <c r="H40" s="12">
        <f t="shared" si="8"/>
        <v>1058435.54</v>
      </c>
      <c r="I40" s="12">
        <f t="shared" si="8"/>
        <v>9372768</v>
      </c>
      <c r="J40" s="12">
        <f t="shared" si="8"/>
        <v>9124839.3900000006</v>
      </c>
      <c r="K40" s="12">
        <f t="shared" si="8"/>
        <v>8251022.0300000003</v>
      </c>
      <c r="L40" s="12">
        <f t="shared" si="8"/>
        <v>37841545.5</v>
      </c>
      <c r="M40" s="12">
        <f t="shared" si="8"/>
        <v>3579650.26</v>
      </c>
      <c r="N40" s="12">
        <f t="shared" si="8"/>
        <v>229572.66</v>
      </c>
      <c r="O40" s="12">
        <f t="shared" si="8"/>
        <v>18602736.199999999</v>
      </c>
      <c r="P40" s="12">
        <f t="shared" si="8"/>
        <v>1218645.76</v>
      </c>
      <c r="Q40" s="12">
        <f t="shared" si="8"/>
        <v>271956.88</v>
      </c>
      <c r="R40" s="12">
        <f t="shared" si="8"/>
        <v>1104791.7999999998</v>
      </c>
      <c r="S40" s="12">
        <f t="shared" si="8"/>
        <v>779500.46000000008</v>
      </c>
      <c r="T40" s="12">
        <f t="shared" si="8"/>
        <v>2304718.0500000003</v>
      </c>
      <c r="U40" s="12">
        <f t="shared" si="8"/>
        <v>507950.3</v>
      </c>
      <c r="V40" s="12">
        <f t="shared" si="8"/>
        <v>1469676.34</v>
      </c>
      <c r="W40" s="12">
        <f t="shared" si="8"/>
        <v>8196907.1600000001</v>
      </c>
      <c r="X40" s="12">
        <f t="shared" si="8"/>
        <v>888940.04999999993</v>
      </c>
      <c r="Y40" s="12">
        <f t="shared" si="8"/>
        <v>4820242.8999999994</v>
      </c>
      <c r="Z40" s="12">
        <f t="shared" si="8"/>
        <v>10396403.970000001</v>
      </c>
      <c r="AA40" s="12">
        <f t="shared" si="8"/>
        <v>230428.25000000003</v>
      </c>
      <c r="AB40" s="12">
        <f t="shared" si="8"/>
        <v>335879.44000000006</v>
      </c>
      <c r="AC40" s="12">
        <f t="shared" si="8"/>
        <v>1516034.3</v>
      </c>
      <c r="AD40" s="12">
        <f t="shared" si="8"/>
        <v>1869599.5200000003</v>
      </c>
      <c r="AE40" s="12">
        <f t="shared" si="8"/>
        <v>1390756.48</v>
      </c>
      <c r="AF40" s="12">
        <f t="shared" si="8"/>
        <v>1598103.3</v>
      </c>
      <c r="AG40" s="12">
        <f t="shared" si="8"/>
        <v>6686300.2699999996</v>
      </c>
      <c r="AH40" s="12">
        <f t="shared" si="8"/>
        <v>7620894.0000000009</v>
      </c>
      <c r="AI40" s="12">
        <f t="shared" si="8"/>
        <v>561108</v>
      </c>
      <c r="AJ40" s="12">
        <f t="shared" si="8"/>
        <v>315840.48</v>
      </c>
      <c r="AK40" s="12">
        <f t="shared" si="8"/>
        <v>5987125.1300000008</v>
      </c>
      <c r="AL40" s="12">
        <f t="shared" si="8"/>
        <v>2579707</v>
      </c>
      <c r="AM40" s="12">
        <f t="shared" si="8"/>
        <v>2920686.04</v>
      </c>
      <c r="AN40" s="12">
        <f t="shared" si="8"/>
        <v>346578</v>
      </c>
      <c r="AO40" s="12">
        <f t="shared" si="8"/>
        <v>8156122.1900000004</v>
      </c>
      <c r="AP40" s="12">
        <f t="shared" si="8"/>
        <v>1595593.85</v>
      </c>
      <c r="AQ40" s="12">
        <f t="shared" si="8"/>
        <v>1688898</v>
      </c>
      <c r="AR40" s="12">
        <f t="shared" si="8"/>
        <v>2945744.13</v>
      </c>
      <c r="AS40" s="12">
        <f t="shared" si="8"/>
        <v>1841642.43</v>
      </c>
      <c r="AT40" s="12">
        <f t="shared" si="8"/>
        <v>2526666.7199999997</v>
      </c>
      <c r="AU40" s="12">
        <f t="shared" si="8"/>
        <v>877486.6</v>
      </c>
      <c r="AV40" s="12">
        <f t="shared" si="8"/>
        <v>6794663.6600000001</v>
      </c>
      <c r="AW40" s="12">
        <f t="shared" si="8"/>
        <v>2530170.92</v>
      </c>
      <c r="AX40" s="12">
        <f t="shared" si="8"/>
        <v>399612.14999999997</v>
      </c>
      <c r="AY40" s="12">
        <f t="shared" si="8"/>
        <v>836285.66</v>
      </c>
      <c r="AZ40" s="12">
        <f t="shared" si="8"/>
        <v>4803978.1500000004</v>
      </c>
      <c r="BA40" s="12">
        <f t="shared" si="8"/>
        <v>843797.13</v>
      </c>
      <c r="BB40" s="12">
        <f t="shared" si="8"/>
        <v>3500325</v>
      </c>
      <c r="BC40" s="12">
        <f t="shared" si="8"/>
        <v>381506.60000000003</v>
      </c>
      <c r="BD40" s="12">
        <f t="shared" si="8"/>
        <v>23366589.789999999</v>
      </c>
      <c r="BE40" s="12">
        <f t="shared" si="8"/>
        <v>1534660.68</v>
      </c>
      <c r="BF40" s="12">
        <f t="shared" si="0"/>
        <v>108364062.52999999</v>
      </c>
      <c r="BG40" s="12">
        <f t="shared" si="1"/>
        <v>38230530.960000001</v>
      </c>
      <c r="BH40" s="12">
        <f t="shared" si="2"/>
        <v>76457839.830000013</v>
      </c>
      <c r="BK40" s="12"/>
    </row>
    <row r="41" spans="1:63" ht="14.4" thickBot="1" x14ac:dyDescent="0.3">
      <c r="B41" s="146"/>
      <c r="D41" s="12"/>
      <c r="BF41" s="12"/>
      <c r="BG41" s="12"/>
      <c r="BH41" s="12"/>
      <c r="BK41" s="12"/>
    </row>
    <row r="42" spans="1:63" ht="14.4" thickBot="1" x14ac:dyDescent="0.3">
      <c r="A42" s="6" t="s">
        <v>555</v>
      </c>
      <c r="B42" s="146"/>
      <c r="D42" s="147">
        <f>IF(D40&lt;&gt;0,D34/D40,"")*100</f>
        <v>-8.3284014092547889E-2</v>
      </c>
      <c r="E42" s="152">
        <f>IF(E40&lt;&gt;0,E34/E40,"")*100</f>
        <v>-3.0691712607065502E-2</v>
      </c>
      <c r="F42" s="12">
        <f t="shared" ref="F42:BH42" si="9">IF(F40&lt;&gt;0,F34/F40,"")*100</f>
        <v>18.52684261571547</v>
      </c>
      <c r="G42" s="12">
        <f t="shared" si="9"/>
        <v>-12.58268480306597</v>
      </c>
      <c r="H42" s="12">
        <f t="shared" si="9"/>
        <v>6.896900873150952</v>
      </c>
      <c r="I42" s="12">
        <f t="shared" si="9"/>
        <v>-0.53065433818483498</v>
      </c>
      <c r="J42" s="12">
        <f t="shared" si="9"/>
        <v>-7.881563381687097E-2</v>
      </c>
      <c r="K42" s="12">
        <f t="shared" si="9"/>
        <v>0.35183059619100315</v>
      </c>
      <c r="L42" s="12">
        <f t="shared" si="9"/>
        <v>1.0425414310839916</v>
      </c>
      <c r="M42" s="12">
        <f t="shared" si="9"/>
        <v>-9.5700410687607179E-2</v>
      </c>
      <c r="N42" s="12">
        <f t="shared" si="9"/>
        <v>-7.1580256987047148</v>
      </c>
      <c r="O42" s="12">
        <f t="shared" si="9"/>
        <v>0.24299554384908176</v>
      </c>
      <c r="P42" s="12">
        <f t="shared" si="9"/>
        <v>0.89521585009248261</v>
      </c>
      <c r="Q42" s="12">
        <f t="shared" si="9"/>
        <v>-1.0444596952281555</v>
      </c>
      <c r="R42" s="12">
        <f t="shared" si="9"/>
        <v>12.248394674906171</v>
      </c>
      <c r="S42" s="12">
        <f t="shared" si="9"/>
        <v>6.5709672576716631</v>
      </c>
      <c r="T42" s="12">
        <f t="shared" si="9"/>
        <v>-0.41965263386556095</v>
      </c>
      <c r="U42" s="12">
        <f t="shared" si="9"/>
        <v>1.0209443719198514</v>
      </c>
      <c r="V42" s="12">
        <f t="shared" si="9"/>
        <v>0.80912645024958352</v>
      </c>
      <c r="W42" s="12">
        <f t="shared" si="9"/>
        <v>-1.0028932668794555</v>
      </c>
      <c r="X42" s="12">
        <f t="shared" si="9"/>
        <v>6.7212474002043221</v>
      </c>
      <c r="Y42" s="12">
        <f t="shared" si="9"/>
        <v>0.88879981546158193</v>
      </c>
      <c r="Z42" s="12">
        <f t="shared" si="9"/>
        <v>-0.2416370128795601</v>
      </c>
      <c r="AA42" s="12">
        <f t="shared" si="9"/>
        <v>-5.0185166098340801</v>
      </c>
      <c r="AB42" s="12">
        <f t="shared" si="9"/>
        <v>-4.7868068375962514</v>
      </c>
      <c r="AC42" s="12">
        <f t="shared" si="9"/>
        <v>1.8725209581339952</v>
      </c>
      <c r="AD42" s="12">
        <f t="shared" si="9"/>
        <v>-2.801917172079718</v>
      </c>
      <c r="AE42" s="12">
        <f t="shared" si="9"/>
        <v>1.3169566536910902</v>
      </c>
      <c r="AF42" s="12">
        <f t="shared" si="9"/>
        <v>0.78704987343433985</v>
      </c>
      <c r="AG42" s="12">
        <f t="shared" si="9"/>
        <v>-1.016229861899397</v>
      </c>
      <c r="AH42" s="12">
        <f t="shared" si="9"/>
        <v>0.73005306201608366</v>
      </c>
      <c r="AI42" s="12">
        <f t="shared" si="9"/>
        <v>0</v>
      </c>
      <c r="AJ42" s="12">
        <f t="shared" si="9"/>
        <v>-56.561695321638325</v>
      </c>
      <c r="AK42" s="12">
        <f t="shared" si="9"/>
        <v>2.0867952028254999</v>
      </c>
      <c r="AL42" s="12">
        <f t="shared" si="9"/>
        <v>-1.5757603479775026</v>
      </c>
      <c r="AM42" s="12">
        <f t="shared" si="9"/>
        <v>1.2447147520176456</v>
      </c>
      <c r="AN42" s="12">
        <f t="shared" si="9"/>
        <v>1.7702364258550745</v>
      </c>
      <c r="AO42" s="12">
        <f t="shared" si="9"/>
        <v>-0.28568049199370787</v>
      </c>
      <c r="AP42" s="12">
        <f t="shared" si="9"/>
        <v>0.87685096053735778</v>
      </c>
      <c r="AQ42" s="12">
        <f t="shared" si="9"/>
        <v>0.76919979773793323</v>
      </c>
      <c r="AR42" s="12">
        <f t="shared" si="9"/>
        <v>-7.1627972657625234</v>
      </c>
      <c r="AS42" s="12">
        <f t="shared" si="9"/>
        <v>0.87699543282134285</v>
      </c>
      <c r="AT42" s="12">
        <f t="shared" si="9"/>
        <v>1.9551343914483506</v>
      </c>
      <c r="AU42" s="12">
        <f t="shared" si="9"/>
        <v>-2.1164015496077089</v>
      </c>
      <c r="AV42" s="12">
        <f t="shared" si="9"/>
        <v>1.6706922620508342</v>
      </c>
      <c r="AW42" s="12">
        <f t="shared" si="9"/>
        <v>0.91209529828917657</v>
      </c>
      <c r="AX42" s="12">
        <f t="shared" si="9"/>
        <v>-1.8467106167817973</v>
      </c>
      <c r="AY42" s="12">
        <f t="shared" si="9"/>
        <v>-4.2431529915268431</v>
      </c>
      <c r="AZ42" s="12">
        <f t="shared" si="9"/>
        <v>3.1907364108223515</v>
      </c>
      <c r="BA42" s="12">
        <f t="shared" si="9"/>
        <v>-2.519050995113008</v>
      </c>
      <c r="BB42" s="12">
        <f t="shared" si="9"/>
        <v>-1.7561512145300793</v>
      </c>
      <c r="BC42" s="12">
        <f t="shared" si="9"/>
        <v>-12.424668406785099</v>
      </c>
      <c r="BD42" s="12">
        <f t="shared" si="9"/>
        <v>-2.6413132406001809</v>
      </c>
      <c r="BE42" s="12">
        <f t="shared" si="9"/>
        <v>-2.2720794540718932</v>
      </c>
      <c r="BF42" s="12">
        <f t="shared" si="9"/>
        <v>0.4772722597556901</v>
      </c>
      <c r="BG42" s="12">
        <f t="shared" si="9"/>
        <v>-0.35111400922065561</v>
      </c>
      <c r="BH42" s="12">
        <f t="shared" si="9"/>
        <v>-0.74384246437583368</v>
      </c>
      <c r="BK42" s="12"/>
    </row>
    <row r="43" spans="1:63" x14ac:dyDescent="0.25">
      <c r="A43" s="150" t="s">
        <v>556</v>
      </c>
      <c r="B43" s="146"/>
      <c r="D43" s="12"/>
      <c r="BK43" s="12"/>
    </row>
  </sheetData>
  <mergeCells count="1">
    <mergeCell ref="A2:D2"/>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5" tint="0.59999389629810485"/>
  </sheetPr>
  <dimension ref="A2:BK14"/>
  <sheetViews>
    <sheetView workbookViewId="0">
      <pane xSplit="4" ySplit="5" topLeftCell="E6" activePane="bottomRight" state="frozen"/>
      <selection pane="topRight" activeCell="E1" sqref="E1"/>
      <selection pane="bottomLeft" activeCell="A12" sqref="A12"/>
      <selection pane="bottomRight" activeCell="E6" sqref="E6"/>
    </sheetView>
  </sheetViews>
  <sheetFormatPr baseColWidth="10" defaultColWidth="11.44140625" defaultRowHeight="13.8" x14ac:dyDescent="0.25"/>
  <cols>
    <col min="1" max="1" width="51.88671875" style="7" customWidth="1"/>
    <col min="2" max="2" width="7.44140625" style="7" customWidth="1"/>
    <col min="3" max="3" width="11.44140625" style="7"/>
    <col min="4" max="4" width="22.88671875" style="7" customWidth="1"/>
    <col min="5" max="60" width="15.6640625" style="7" customWidth="1"/>
    <col min="61" max="62" width="11.44140625" style="7"/>
    <col min="63" max="63" width="17.33203125" style="7" customWidth="1"/>
    <col min="64" max="16384" width="11.44140625" style="7"/>
  </cols>
  <sheetData>
    <row r="2" spans="1:63" ht="17.399999999999999" x14ac:dyDescent="0.3">
      <c r="A2" s="190" t="s">
        <v>491</v>
      </c>
      <c r="B2" s="190"/>
      <c r="C2" s="190"/>
      <c r="D2" s="190"/>
    </row>
    <row r="4" spans="1:63" x14ac:dyDescent="0.25">
      <c r="A4" s="6" t="s">
        <v>557</v>
      </c>
      <c r="B4" s="139"/>
      <c r="C4" s="29" t="s">
        <v>493</v>
      </c>
      <c r="D4" s="29" t="s">
        <v>494</v>
      </c>
      <c r="E4" s="154">
        <f>'MCH2'!E3</f>
        <v>951</v>
      </c>
      <c r="F4" s="154">
        <f>'MCH2'!F3</f>
        <v>258</v>
      </c>
      <c r="G4" s="154">
        <f>'MCH2'!G3</f>
        <v>471</v>
      </c>
      <c r="H4" s="154">
        <f>'MCH2'!H3</f>
        <v>441</v>
      </c>
      <c r="I4" s="154">
        <f>'MCH2'!I3</f>
        <v>3686</v>
      </c>
      <c r="J4" s="154">
        <f>'MCH2'!J3</f>
        <v>3313</v>
      </c>
      <c r="K4" s="154">
        <f>'MCH2'!K3</f>
        <v>2654</v>
      </c>
      <c r="L4" s="154">
        <f>'MCH2'!L3</f>
        <v>12636</v>
      </c>
      <c r="M4" s="154">
        <f>'MCH2'!M3</f>
        <v>1360</v>
      </c>
      <c r="N4" s="154">
        <f>'MCH2'!N3</f>
        <v>112</v>
      </c>
      <c r="O4" s="154">
        <f>'MCH2'!O3</f>
        <v>7319</v>
      </c>
      <c r="P4" s="154">
        <f>'MCH2'!P3</f>
        <v>522</v>
      </c>
      <c r="Q4" s="154">
        <f>'MCH2'!Q3</f>
        <v>106</v>
      </c>
      <c r="R4" s="154">
        <f>'MCH2'!R3</f>
        <v>425</v>
      </c>
      <c r="S4" s="154">
        <f>'MCH2'!S3</f>
        <v>350</v>
      </c>
      <c r="T4" s="154">
        <f>'MCH2'!T3</f>
        <v>733</v>
      </c>
      <c r="U4" s="154">
        <f>'MCH2'!U3</f>
        <v>270</v>
      </c>
      <c r="V4" s="154">
        <f>'MCH2'!V3</f>
        <v>417</v>
      </c>
      <c r="W4" s="154">
        <f>'MCH2'!W3</f>
        <v>3285</v>
      </c>
      <c r="X4" s="154">
        <f>'MCH2'!X3</f>
        <v>308</v>
      </c>
      <c r="Y4" s="154">
        <f>'MCH2'!Y3</f>
        <v>1258</v>
      </c>
      <c r="Z4" s="154">
        <f>'MCH2'!Z3</f>
        <v>1524</v>
      </c>
      <c r="AA4" s="154">
        <f>'MCH2'!AA3</f>
        <v>87</v>
      </c>
      <c r="AB4" s="154">
        <f>'MCH2'!AB3</f>
        <v>156</v>
      </c>
      <c r="AC4" s="154">
        <f>'MCH2'!AC3</f>
        <v>510</v>
      </c>
      <c r="AD4" s="154">
        <f>'MCH2'!AD3</f>
        <v>705</v>
      </c>
      <c r="AE4" s="154">
        <f>'MCH2'!AE3</f>
        <v>551</v>
      </c>
      <c r="AF4" s="154">
        <f>'MCH2'!AF3</f>
        <v>511</v>
      </c>
      <c r="AG4" s="154">
        <f>'MCH2'!AG3</f>
        <v>1902</v>
      </c>
      <c r="AH4" s="154">
        <f>'MCH2'!AH3</f>
        <v>2575</v>
      </c>
      <c r="AI4" s="154">
        <f>'MCH2'!AI3</f>
        <v>228</v>
      </c>
      <c r="AJ4" s="154">
        <f>'MCH2'!AJ3</f>
        <v>118</v>
      </c>
      <c r="AK4" s="154">
        <f>'MCH2'!AK3</f>
        <v>1882</v>
      </c>
      <c r="AL4" s="154">
        <f>'MCH2'!AL3</f>
        <v>1114</v>
      </c>
      <c r="AM4" s="154">
        <f>'MCH2'!AM3</f>
        <v>1217</v>
      </c>
      <c r="AN4" s="154">
        <f>'MCH2'!AN3</f>
        <v>117</v>
      </c>
      <c r="AO4" s="154">
        <f>'MCH2'!AO3</f>
        <v>1205</v>
      </c>
      <c r="AP4" s="154">
        <f>'MCH2'!AP3</f>
        <v>625</v>
      </c>
      <c r="AQ4" s="154">
        <f>'MCH2'!AQ3</f>
        <v>631</v>
      </c>
      <c r="AR4" s="154">
        <f>'MCH2'!AR3</f>
        <v>1275</v>
      </c>
      <c r="AS4" s="154">
        <f>'MCH2'!AS3</f>
        <v>718</v>
      </c>
      <c r="AT4" s="154">
        <f>'MCH2'!AT3</f>
        <v>1018</v>
      </c>
      <c r="AU4" s="154">
        <f>'MCH2'!AU3</f>
        <v>293</v>
      </c>
      <c r="AV4" s="154">
        <f>'MCH2'!AV3</f>
        <v>2435</v>
      </c>
      <c r="AW4" s="154">
        <f>'MCH2'!AW3</f>
        <v>786</v>
      </c>
      <c r="AX4" s="154">
        <f>'MCH2'!AX3</f>
        <v>184</v>
      </c>
      <c r="AY4" s="154">
        <f>'MCH2'!AY3</f>
        <v>333</v>
      </c>
      <c r="AZ4" s="154">
        <f>'MCH2'!AZ3</f>
        <v>1674</v>
      </c>
      <c r="BA4" s="154">
        <f>'MCH2'!BA3</f>
        <v>391</v>
      </c>
      <c r="BB4" s="154">
        <f>'MCH2'!BB3</f>
        <v>1052</v>
      </c>
      <c r="BC4" s="154">
        <f>'MCH2'!BC3</f>
        <v>186</v>
      </c>
      <c r="BD4" s="154">
        <f>'MCH2'!BD3</f>
        <v>6441</v>
      </c>
      <c r="BE4" s="154">
        <f>'MCH2'!BE3</f>
        <v>546</v>
      </c>
      <c r="BF4" s="156">
        <f>'MCH2'!BG3</f>
        <v>39309</v>
      </c>
      <c r="BG4" s="156">
        <f>'MCH2'!BH3</f>
        <v>10433</v>
      </c>
      <c r="BH4" s="156">
        <f>'MCH2'!BI3</f>
        <v>24123</v>
      </c>
    </row>
    <row r="5" spans="1:63" x14ac:dyDescent="0.25">
      <c r="B5" s="139"/>
      <c r="E5" s="81" t="s">
        <v>56</v>
      </c>
      <c r="F5" s="81" t="s">
        <v>18</v>
      </c>
      <c r="G5" s="81" t="s">
        <v>57</v>
      </c>
      <c r="H5" s="81" t="s">
        <v>53</v>
      </c>
      <c r="I5" s="81" t="s">
        <v>33</v>
      </c>
      <c r="J5" s="81" t="s">
        <v>10</v>
      </c>
      <c r="K5" s="81" t="s">
        <v>15</v>
      </c>
      <c r="L5" s="81" t="s">
        <v>28</v>
      </c>
      <c r="M5" s="81" t="s">
        <v>42</v>
      </c>
      <c r="N5" s="81" t="s">
        <v>23</v>
      </c>
      <c r="O5" s="81" t="s">
        <v>22</v>
      </c>
      <c r="P5" s="81" t="s">
        <v>13</v>
      </c>
      <c r="Q5" s="81" t="s">
        <v>17</v>
      </c>
      <c r="R5" s="81" t="s">
        <v>43</v>
      </c>
      <c r="S5" s="81" t="s">
        <v>40</v>
      </c>
      <c r="T5" s="81" t="s">
        <v>31</v>
      </c>
      <c r="U5" s="81" t="s">
        <v>12</v>
      </c>
      <c r="V5" s="81" t="s">
        <v>59</v>
      </c>
      <c r="W5" s="81" t="s">
        <v>27</v>
      </c>
      <c r="X5" s="81" t="s">
        <v>30</v>
      </c>
      <c r="Y5" s="81" t="s">
        <v>20</v>
      </c>
      <c r="Z5" s="81" t="s">
        <v>45</v>
      </c>
      <c r="AA5" s="81" t="s">
        <v>71</v>
      </c>
      <c r="AB5" s="81" t="s">
        <v>39</v>
      </c>
      <c r="AC5" s="81" t="s">
        <v>19</v>
      </c>
      <c r="AD5" s="81" t="s">
        <v>41</v>
      </c>
      <c r="AE5" s="81" t="s">
        <v>36</v>
      </c>
      <c r="AF5" s="81" t="s">
        <v>7</v>
      </c>
      <c r="AG5" s="81" t="s">
        <v>55</v>
      </c>
      <c r="AH5" s="81" t="s">
        <v>21</v>
      </c>
      <c r="AI5" s="81" t="s">
        <v>6</v>
      </c>
      <c r="AJ5" s="81" t="s">
        <v>34</v>
      </c>
      <c r="AK5" s="81" t="s">
        <v>52</v>
      </c>
      <c r="AL5" s="81" t="s">
        <v>14</v>
      </c>
      <c r="AM5" s="81" t="s">
        <v>32</v>
      </c>
      <c r="AN5" s="81" t="s">
        <v>29</v>
      </c>
      <c r="AO5" s="81" t="s">
        <v>26</v>
      </c>
      <c r="AP5" s="81" t="s">
        <v>48</v>
      </c>
      <c r="AQ5" s="81" t="s">
        <v>44</v>
      </c>
      <c r="AR5" s="81" t="s">
        <v>37</v>
      </c>
      <c r="AS5" s="81" t="s">
        <v>51</v>
      </c>
      <c r="AT5" s="81" t="s">
        <v>8</v>
      </c>
      <c r="AU5" s="81" t="s">
        <v>24</v>
      </c>
      <c r="AV5" s="81" t="s">
        <v>9</v>
      </c>
      <c r="AW5" s="81" t="s">
        <v>62</v>
      </c>
      <c r="AX5" s="81" t="s">
        <v>46</v>
      </c>
      <c r="AY5" s="81" t="s">
        <v>35</v>
      </c>
      <c r="AZ5" s="81" t="s">
        <v>49</v>
      </c>
      <c r="BA5" s="81" t="s">
        <v>47</v>
      </c>
      <c r="BB5" s="81" t="s">
        <v>58</v>
      </c>
      <c r="BC5" s="81" t="s">
        <v>50</v>
      </c>
      <c r="BD5" s="81" t="s">
        <v>16</v>
      </c>
      <c r="BE5" s="81" t="s">
        <v>25</v>
      </c>
      <c r="BF5" s="81" t="s">
        <v>28</v>
      </c>
      <c r="BG5" s="81" t="s">
        <v>64</v>
      </c>
      <c r="BH5" s="81" t="s">
        <v>16</v>
      </c>
    </row>
    <row r="6" spans="1:63" x14ac:dyDescent="0.25">
      <c r="A6" s="140" t="s">
        <v>558</v>
      </c>
      <c r="B6" s="141" t="s">
        <v>497</v>
      </c>
      <c r="C6" s="140">
        <v>299</v>
      </c>
      <c r="D6" s="142">
        <f>'Base de données indicateurs1'!BF15</f>
        <v>105170131.44999997</v>
      </c>
      <c r="E6" s="12">
        <f>'Base de données indicateurs1'!E15</f>
        <v>1862930.62</v>
      </c>
      <c r="F6" s="12">
        <f>'Base de données indicateurs1'!F15</f>
        <v>-230931.74</v>
      </c>
      <c r="G6" s="12">
        <f>'Base de données indicateurs1'!G15</f>
        <v>96466.14</v>
      </c>
      <c r="H6" s="12">
        <f>'Base de données indicateurs1'!H15</f>
        <v>1004408.14</v>
      </c>
      <c r="I6" s="12">
        <f>'Base de données indicateurs1'!I15</f>
        <v>5292992.0599999996</v>
      </c>
      <c r="J6" s="12">
        <f>'Base de données indicateurs1'!J15</f>
        <v>2175050.44</v>
      </c>
      <c r="K6" s="12">
        <f>'Base de données indicateurs1'!K15</f>
        <v>6527375.7999999998</v>
      </c>
      <c r="L6" s="12">
        <f>'Base de données indicateurs1'!L15</f>
        <v>-2621239.79</v>
      </c>
      <c r="M6" s="12">
        <f>'Base de données indicateurs1'!M15</f>
        <v>789376.16</v>
      </c>
      <c r="N6" s="12">
        <f>'Base de données indicateurs1'!N15</f>
        <v>543418.85</v>
      </c>
      <c r="O6" s="12">
        <f>'Base de données indicateurs1'!O15</f>
        <v>712012.12</v>
      </c>
      <c r="P6" s="12">
        <f>'Base de données indicateurs1'!P15</f>
        <v>783466.63</v>
      </c>
      <c r="Q6" s="12">
        <f>'Base de données indicateurs1'!Q15</f>
        <v>57451.08</v>
      </c>
      <c r="R6" s="12">
        <f>'Base de données indicateurs1'!R15</f>
        <v>268973.23</v>
      </c>
      <c r="S6" s="12">
        <f>'Base de données indicateurs1'!S15</f>
        <v>570.66</v>
      </c>
      <c r="T6" s="12">
        <f>'Base de données indicateurs1'!T15</f>
        <v>1070328.93</v>
      </c>
      <c r="U6" s="12">
        <f>'Base de données indicateurs1'!U15</f>
        <v>278550.84000000003</v>
      </c>
      <c r="V6" s="12">
        <f>'Base de données indicateurs1'!V15</f>
        <v>146546.4</v>
      </c>
      <c r="W6" s="12">
        <f>'Base de données indicateurs1'!W15</f>
        <v>1980968.51</v>
      </c>
      <c r="X6" s="12">
        <f>'Base de données indicateurs1'!X15</f>
        <v>2453911.27</v>
      </c>
      <c r="Y6" s="12">
        <f>'Base de données indicateurs1'!Y15</f>
        <v>3775778.77</v>
      </c>
      <c r="Z6" s="12">
        <f>'Base de données indicateurs1'!Z15</f>
        <v>13062149.710000001</v>
      </c>
      <c r="AA6" s="12">
        <f>'Base de données indicateurs1'!AA15</f>
        <v>245709.28</v>
      </c>
      <c r="AB6" s="12">
        <f>'Base de données indicateurs1'!AB15</f>
        <v>1099631.74</v>
      </c>
      <c r="AC6" s="12">
        <f>'Base de données indicateurs1'!AC15</f>
        <v>827190.08</v>
      </c>
      <c r="AD6" s="12">
        <f>'Base de données indicateurs1'!AD15</f>
        <v>578576.30000000005</v>
      </c>
      <c r="AE6" s="12">
        <f>'Base de données indicateurs1'!AE15</f>
        <v>1031468.49</v>
      </c>
      <c r="AF6" s="12">
        <f>'Base de données indicateurs1'!AF15</f>
        <v>4469707.03</v>
      </c>
      <c r="AG6" s="12">
        <f>'Base de données indicateurs1'!AG15</f>
        <v>6285987.8300000001</v>
      </c>
      <c r="AH6" s="12">
        <f>'Base de données indicateurs1'!AH15</f>
        <v>1991575.19</v>
      </c>
      <c r="AI6" s="12">
        <f>'Base de données indicateurs1'!AI15</f>
        <v>1141249</v>
      </c>
      <c r="AJ6" s="12">
        <f>'Base de données indicateurs1'!AJ15</f>
        <v>1362795.58</v>
      </c>
      <c r="AK6" s="12">
        <f>'Base de données indicateurs1'!AK15</f>
        <v>1195205.46</v>
      </c>
      <c r="AL6" s="12">
        <f>'Base de données indicateurs1'!AL15</f>
        <v>3431534.53</v>
      </c>
      <c r="AM6" s="12">
        <f>'Base de données indicateurs1'!AM15</f>
        <v>2575283.17</v>
      </c>
      <c r="AN6" s="12">
        <f>'Base de données indicateurs1'!AN15</f>
        <v>1030609.68</v>
      </c>
      <c r="AO6" s="12">
        <f>'Base de données indicateurs1'!AO15</f>
        <v>9330146.8399999999</v>
      </c>
      <c r="AP6" s="12">
        <f>'Base de données indicateurs1'!AP15</f>
        <v>1787887.45</v>
      </c>
      <c r="AQ6" s="12">
        <f>'Base de données indicateurs1'!AQ15</f>
        <v>1144362</v>
      </c>
      <c r="AR6" s="12">
        <f>'Base de données indicateurs1'!AR15</f>
        <v>7569764.6900000004</v>
      </c>
      <c r="AS6" s="12">
        <f>'Base de données indicateurs1'!AS15</f>
        <v>361872.32</v>
      </c>
      <c r="AT6" s="12">
        <f>'Base de données indicateurs1'!AT15</f>
        <v>383366.05</v>
      </c>
      <c r="AU6" s="12">
        <f>'Base de données indicateurs1'!AU15</f>
        <v>2663558.0699999998</v>
      </c>
      <c r="AV6" s="12">
        <f>'Base de données indicateurs1'!AV15</f>
        <v>5033846.8499999996</v>
      </c>
      <c r="AW6" s="12">
        <f>'Base de données indicateurs1'!AW15</f>
        <v>627153.66</v>
      </c>
      <c r="AX6" s="12">
        <f>'Base de données indicateurs1'!AX15</f>
        <v>197366</v>
      </c>
      <c r="AY6" s="12">
        <f>'Base de données indicateurs1'!AY15</f>
        <v>153088.26999999999</v>
      </c>
      <c r="AZ6" s="12">
        <f>'Base de données indicateurs1'!AZ15</f>
        <v>1977618.32</v>
      </c>
      <c r="BA6" s="12">
        <f>'Base de données indicateurs1'!BA15</f>
        <v>1474630.5</v>
      </c>
      <c r="BB6" s="12">
        <f>'Base de données indicateurs1'!BB15</f>
        <v>2885275</v>
      </c>
      <c r="BC6" s="12">
        <f>'Base de données indicateurs1'!BC15</f>
        <v>787104.42</v>
      </c>
      <c r="BD6" s="12">
        <f>'Base de données indicateurs1'!BD15</f>
        <v>756742.26</v>
      </c>
      <c r="BE6" s="12">
        <f>'Base de données indicateurs1'!BE15</f>
        <v>739270.56</v>
      </c>
      <c r="BF6" s="12">
        <f>SUM(E6:W6)</f>
        <v>20738715.079999998</v>
      </c>
      <c r="BG6" s="12">
        <f>SUM(X6:AJ6)</f>
        <v>38325730.269999996</v>
      </c>
      <c r="BH6" s="12">
        <f>SUM(AK6:BE6)</f>
        <v>46105686.100000001</v>
      </c>
      <c r="BK6" s="12"/>
    </row>
    <row r="7" spans="1:63" ht="14.4" thickBot="1" x14ac:dyDescent="0.3">
      <c r="B7" s="146"/>
      <c r="D7" s="12"/>
      <c r="BF7" s="12"/>
      <c r="BG7" s="12"/>
      <c r="BH7" s="12"/>
      <c r="BK7" s="12"/>
    </row>
    <row r="8" spans="1:63" ht="14.4" thickBot="1" x14ac:dyDescent="0.3">
      <c r="A8" s="6" t="s">
        <v>559</v>
      </c>
      <c r="B8" s="97"/>
      <c r="C8" s="6"/>
      <c r="D8" s="147">
        <f>D6</f>
        <v>105170131.44999997</v>
      </c>
      <c r="E8" s="12">
        <f>E6</f>
        <v>1862930.62</v>
      </c>
      <c r="F8" s="12">
        <f t="shared" ref="F8:BE8" si="0">F6</f>
        <v>-230931.74</v>
      </c>
      <c r="G8" s="12">
        <f t="shared" si="0"/>
        <v>96466.14</v>
      </c>
      <c r="H8" s="12">
        <f t="shared" si="0"/>
        <v>1004408.14</v>
      </c>
      <c r="I8" s="12">
        <f t="shared" si="0"/>
        <v>5292992.0599999996</v>
      </c>
      <c r="J8" s="12">
        <f t="shared" si="0"/>
        <v>2175050.44</v>
      </c>
      <c r="K8" s="12">
        <f t="shared" si="0"/>
        <v>6527375.7999999998</v>
      </c>
      <c r="L8" s="12">
        <f t="shared" si="0"/>
        <v>-2621239.79</v>
      </c>
      <c r="M8" s="12">
        <f t="shared" si="0"/>
        <v>789376.16</v>
      </c>
      <c r="N8" s="12">
        <f t="shared" si="0"/>
        <v>543418.85</v>
      </c>
      <c r="O8" s="12">
        <f t="shared" si="0"/>
        <v>712012.12</v>
      </c>
      <c r="P8" s="12">
        <f t="shared" si="0"/>
        <v>783466.63</v>
      </c>
      <c r="Q8" s="12">
        <f t="shared" si="0"/>
        <v>57451.08</v>
      </c>
      <c r="R8" s="12">
        <f t="shared" si="0"/>
        <v>268973.23</v>
      </c>
      <c r="S8" s="12">
        <f t="shared" si="0"/>
        <v>570.66</v>
      </c>
      <c r="T8" s="12">
        <f t="shared" si="0"/>
        <v>1070328.93</v>
      </c>
      <c r="U8" s="12">
        <f t="shared" si="0"/>
        <v>278550.84000000003</v>
      </c>
      <c r="V8" s="12">
        <f t="shared" si="0"/>
        <v>146546.4</v>
      </c>
      <c r="W8" s="12">
        <f t="shared" si="0"/>
        <v>1980968.51</v>
      </c>
      <c r="X8" s="12">
        <f t="shared" si="0"/>
        <v>2453911.27</v>
      </c>
      <c r="Y8" s="12">
        <f t="shared" si="0"/>
        <v>3775778.77</v>
      </c>
      <c r="Z8" s="12">
        <f t="shared" si="0"/>
        <v>13062149.710000001</v>
      </c>
      <c r="AA8" s="12">
        <f t="shared" si="0"/>
        <v>245709.28</v>
      </c>
      <c r="AB8" s="12">
        <f t="shared" si="0"/>
        <v>1099631.74</v>
      </c>
      <c r="AC8" s="12">
        <f t="shared" si="0"/>
        <v>827190.08</v>
      </c>
      <c r="AD8" s="12">
        <f t="shared" si="0"/>
        <v>578576.30000000005</v>
      </c>
      <c r="AE8" s="12">
        <f t="shared" si="0"/>
        <v>1031468.49</v>
      </c>
      <c r="AF8" s="12">
        <f t="shared" si="0"/>
        <v>4469707.03</v>
      </c>
      <c r="AG8" s="12">
        <f t="shared" si="0"/>
        <v>6285987.8300000001</v>
      </c>
      <c r="AH8" s="12">
        <f t="shared" si="0"/>
        <v>1991575.19</v>
      </c>
      <c r="AI8" s="12">
        <f t="shared" si="0"/>
        <v>1141249</v>
      </c>
      <c r="AJ8" s="12">
        <f t="shared" si="0"/>
        <v>1362795.58</v>
      </c>
      <c r="AK8" s="12">
        <f t="shared" si="0"/>
        <v>1195205.46</v>
      </c>
      <c r="AL8" s="12">
        <f t="shared" si="0"/>
        <v>3431534.53</v>
      </c>
      <c r="AM8" s="12">
        <f t="shared" si="0"/>
        <v>2575283.17</v>
      </c>
      <c r="AN8" s="12">
        <f t="shared" si="0"/>
        <v>1030609.68</v>
      </c>
      <c r="AO8" s="12">
        <f t="shared" si="0"/>
        <v>9330146.8399999999</v>
      </c>
      <c r="AP8" s="12">
        <f t="shared" si="0"/>
        <v>1787887.45</v>
      </c>
      <c r="AQ8" s="12">
        <f t="shared" si="0"/>
        <v>1144362</v>
      </c>
      <c r="AR8" s="12">
        <f t="shared" si="0"/>
        <v>7569764.6900000004</v>
      </c>
      <c r="AS8" s="12">
        <f t="shared" si="0"/>
        <v>361872.32</v>
      </c>
      <c r="AT8" s="12">
        <f t="shared" si="0"/>
        <v>383366.05</v>
      </c>
      <c r="AU8" s="12">
        <f t="shared" si="0"/>
        <v>2663558.0699999998</v>
      </c>
      <c r="AV8" s="12">
        <f t="shared" si="0"/>
        <v>5033846.8499999996</v>
      </c>
      <c r="AW8" s="12">
        <f t="shared" si="0"/>
        <v>627153.66</v>
      </c>
      <c r="AX8" s="12">
        <f t="shared" si="0"/>
        <v>197366</v>
      </c>
      <c r="AY8" s="12">
        <f t="shared" si="0"/>
        <v>153088.26999999999</v>
      </c>
      <c r="AZ8" s="12">
        <f t="shared" si="0"/>
        <v>1977618.32</v>
      </c>
      <c r="BA8" s="12">
        <f t="shared" si="0"/>
        <v>1474630.5</v>
      </c>
      <c r="BB8" s="12">
        <f t="shared" si="0"/>
        <v>2885275</v>
      </c>
      <c r="BC8" s="12">
        <f t="shared" si="0"/>
        <v>787104.42</v>
      </c>
      <c r="BD8" s="12">
        <f t="shared" si="0"/>
        <v>756742.26</v>
      </c>
      <c r="BE8" s="12">
        <f t="shared" si="0"/>
        <v>739270.56</v>
      </c>
      <c r="BF8" s="12">
        <f t="shared" ref="BF8:BF10" si="1">SUM(E8:W8)</f>
        <v>20738715.079999998</v>
      </c>
      <c r="BG8" s="12">
        <f t="shared" ref="BG8:BG10" si="2">SUM(X8:AJ8)</f>
        <v>38325730.269999996</v>
      </c>
      <c r="BH8" s="12">
        <f t="shared" ref="BH8:BH10" si="3">SUM(AK8:BE8)</f>
        <v>46105686.100000001</v>
      </c>
      <c r="BK8" s="12"/>
    </row>
    <row r="9" spans="1:63" ht="14.4" thickBot="1" x14ac:dyDescent="0.3">
      <c r="B9" s="146"/>
      <c r="D9" s="12"/>
      <c r="BF9" s="12"/>
      <c r="BG9" s="12"/>
      <c r="BH9" s="12"/>
      <c r="BK9" s="12"/>
    </row>
    <row r="10" spans="1:63" ht="14.4" thickBot="1" x14ac:dyDescent="0.3">
      <c r="A10" s="6" t="s">
        <v>500</v>
      </c>
      <c r="B10" s="146"/>
      <c r="D10" s="147">
        <f>'Endett. net + degré d''auto.'!D16</f>
        <v>206128108.77000001</v>
      </c>
      <c r="E10" s="12">
        <f>'Endett. net + degré d''auto.'!E16</f>
        <v>2350164.27</v>
      </c>
      <c r="F10" s="12">
        <f>'Endett. net + degré d''auto.'!F16</f>
        <v>526347.10000000009</v>
      </c>
      <c r="G10" s="12">
        <f>'Endett. net + degré d''auto.'!G16</f>
        <v>1195618.58</v>
      </c>
      <c r="H10" s="12">
        <f>'Endett. net + degré d''auto.'!H16</f>
        <v>1072019.51</v>
      </c>
      <c r="I10" s="12">
        <f>'Endett. net + degré d''auto.'!I16</f>
        <v>9433081</v>
      </c>
      <c r="J10" s="12">
        <f>'Endett. net + degré d''auto.'!J16</f>
        <v>8125024.1800000006</v>
      </c>
      <c r="K10" s="12">
        <f>'Endett. net + degré d''auto.'!K16</f>
        <v>7455059.2800000003</v>
      </c>
      <c r="L10" s="12">
        <f>'Endett. net + degré d''auto.'!L16</f>
        <v>33795565.890000001</v>
      </c>
      <c r="M10" s="12">
        <f>'Endett. net + degré d''auto.'!M16</f>
        <v>3255552.3099999996</v>
      </c>
      <c r="N10" s="12">
        <f>'Endett. net + degré d''auto.'!N16</f>
        <v>329060.76</v>
      </c>
      <c r="O10" s="12">
        <f>'Endett. net + degré d''auto.'!O16</f>
        <v>18784765.050000001</v>
      </c>
      <c r="P10" s="12">
        <f>'Endett. net + degré d''auto.'!P16</f>
        <v>1321429.99</v>
      </c>
      <c r="Q10" s="12">
        <f>'Endett. net + degré d''auto.'!Q16</f>
        <v>276927.78000000003</v>
      </c>
      <c r="R10" s="12">
        <f>'Endett. net + degré d''auto.'!R16</f>
        <v>1142074.5499999998</v>
      </c>
      <c r="S10" s="12">
        <f>'Endett. net + degré d''auto.'!S16</f>
        <v>866558.8600000001</v>
      </c>
      <c r="T10" s="12">
        <f>'Endett. net + degré d''auto.'!T16</f>
        <v>2042900.9000000001</v>
      </c>
      <c r="U10" s="12">
        <f>'Endett. net + degré d''auto.'!U16</f>
        <v>562770.30000000005</v>
      </c>
      <c r="V10" s="12">
        <f>'Endett. net + degré d''auto.'!V16</f>
        <v>1320110.0900000001</v>
      </c>
      <c r="W10" s="12">
        <f>'Endett. net + degré d''auto.'!W16</f>
        <v>8285118.0599999996</v>
      </c>
      <c r="X10" s="12">
        <f>'Endett. net + degré d''auto.'!X16</f>
        <v>786372.95</v>
      </c>
      <c r="Y10" s="12">
        <f>'Endett. net + degré d''auto.'!Y16</f>
        <v>4479873.3</v>
      </c>
      <c r="Z10" s="12">
        <f>'Endett. net + degré d''auto.'!Z16</f>
        <v>9983106.3399999999</v>
      </c>
      <c r="AA10" s="12">
        <f>'Endett. net + degré d''auto.'!AA16</f>
        <v>207584.65000000002</v>
      </c>
      <c r="AB10" s="12">
        <f>'Endett. net + degré d''auto.'!AB16</f>
        <v>369075.29000000004</v>
      </c>
      <c r="AC10" s="12">
        <f>'Endett. net + degré d''auto.'!AC16</f>
        <v>1429264.5</v>
      </c>
      <c r="AD10" s="12">
        <f>'Endett. net + degré d''auto.'!AD16</f>
        <v>1914233.9700000002</v>
      </c>
      <c r="AE10" s="12">
        <f>'Endett. net + degré d''auto.'!AE16</f>
        <v>1435867.03</v>
      </c>
      <c r="AF10" s="12">
        <f>'Endett. net + degré d''auto.'!AF16</f>
        <v>1275287.5</v>
      </c>
      <c r="AG10" s="12">
        <f>'Endett. net + degré d''auto.'!AG16</f>
        <v>5691965.2699999996</v>
      </c>
      <c r="AH10" s="12">
        <f>'Endett. net + degré d''auto.'!AH16</f>
        <v>7064739.3500000006</v>
      </c>
      <c r="AI10" s="12">
        <f>'Endett. net + degré d''auto.'!AI16</f>
        <v>595512</v>
      </c>
      <c r="AJ10" s="12">
        <f>'Endett. net + degré d''auto.'!AJ16</f>
        <v>331110.83</v>
      </c>
      <c r="AK10" s="12">
        <f>'Endett. net + degré d''auto.'!AK16</f>
        <v>5550455.5700000003</v>
      </c>
      <c r="AL10" s="12">
        <f>'Endett. net + degré d''auto.'!AL16</f>
        <v>2669699</v>
      </c>
      <c r="AM10" s="12">
        <f>'Endett. net + degré d''auto.'!AM16</f>
        <v>3009524.29</v>
      </c>
      <c r="AN10" s="12">
        <f>'Endett. net + degré d''auto.'!AN16</f>
        <v>330814</v>
      </c>
      <c r="AO10" s="12">
        <f>'Endett. net + degré d''auto.'!AO16</f>
        <v>6227633.4400000004</v>
      </c>
      <c r="AP10" s="12">
        <f>'Endett. net + degré d''auto.'!AP16</f>
        <v>1406859.05</v>
      </c>
      <c r="AQ10" s="12">
        <f>'Endett. net + degré d''auto.'!AQ16</f>
        <v>1564320</v>
      </c>
      <c r="AR10" s="12">
        <f>'Endett. net + degré d''auto.'!AR16</f>
        <v>2691704.9499999997</v>
      </c>
      <c r="AS10" s="12">
        <f>'Endett. net + degré d''auto.'!AS16</f>
        <v>1917150.3299999998</v>
      </c>
      <c r="AT10" s="12">
        <f>'Endett. net + degré d''auto.'!AT16</f>
        <v>2585608.5699999998</v>
      </c>
      <c r="AU10" s="12">
        <f>'Endett. net + degré d''auto.'!AU16</f>
        <v>447660.6</v>
      </c>
      <c r="AV10" s="12">
        <f>'Endett. net + degré d''auto.'!AV16</f>
        <v>6145524.71</v>
      </c>
      <c r="AW10" s="12">
        <f>'Endett. net + degré d''auto.'!AW16</f>
        <v>2256264.87</v>
      </c>
      <c r="AX10" s="12">
        <f>'Endett. net + degré d''auto.'!AX16</f>
        <v>396728.14999999997</v>
      </c>
      <c r="AY10" s="12">
        <f>'Endett. net + degré d''auto.'!AY16</f>
        <v>827536.70000000007</v>
      </c>
      <c r="AZ10" s="12">
        <f>'Endett. net + degré d''auto.'!AZ16</f>
        <v>4378410.4000000004</v>
      </c>
      <c r="BA10" s="12">
        <f>'Endett. net + degré d''auto.'!BA16</f>
        <v>857136.13</v>
      </c>
      <c r="BB10" s="12">
        <f>'Endett. net + degré d''auto.'!BB16</f>
        <v>3003801</v>
      </c>
      <c r="BC10" s="12">
        <f>'Endett. net + degré d''auto.'!BC16</f>
        <v>450541.55000000005</v>
      </c>
      <c r="BD10" s="12">
        <f>'Endett. net + degré d''auto.'!BD16</f>
        <v>20169327.080000002</v>
      </c>
      <c r="BE10" s="12">
        <f>'Endett. net + degré d''auto.'!BE16</f>
        <v>1537266.94</v>
      </c>
      <c r="BF10" s="12">
        <f t="shared" si="1"/>
        <v>102140148.46000001</v>
      </c>
      <c r="BG10" s="12">
        <f t="shared" si="2"/>
        <v>35563992.979999997</v>
      </c>
      <c r="BH10" s="12">
        <f t="shared" si="3"/>
        <v>68423967.329999998</v>
      </c>
      <c r="BK10" s="12"/>
    </row>
    <row r="11" spans="1:63" ht="14.4" thickBot="1" x14ac:dyDescent="0.3">
      <c r="A11" s="150"/>
      <c r="B11" s="146"/>
      <c r="D11" s="12"/>
      <c r="BF11" s="12"/>
      <c r="BG11" s="12"/>
      <c r="BH11" s="12"/>
      <c r="BK11" s="12"/>
    </row>
    <row r="12" spans="1:63" ht="14.4" thickBot="1" x14ac:dyDescent="0.3">
      <c r="A12" s="6" t="s">
        <v>560</v>
      </c>
      <c r="B12" s="146"/>
      <c r="D12" s="147">
        <f>IF(D10&lt;&gt;0,D8/D10,"")*100</f>
        <v>51.0217321051298</v>
      </c>
      <c r="E12" s="152">
        <f>IF(E10&lt;&gt;0,E8/E10,"")*100</f>
        <v>79.268102395242352</v>
      </c>
      <c r="F12" s="12">
        <f t="shared" ref="F12:BH12" si="4">IF(F10&lt;&gt;0,F8/F10,"")*100</f>
        <v>-43.874420510723802</v>
      </c>
      <c r="G12" s="12">
        <f t="shared" si="4"/>
        <v>8.0683038565693739</v>
      </c>
      <c r="H12" s="12">
        <f t="shared" si="4"/>
        <v>93.693083999935794</v>
      </c>
      <c r="I12" s="12">
        <f t="shared" si="4"/>
        <v>56.110957384973162</v>
      </c>
      <c r="J12" s="12">
        <f t="shared" si="4"/>
        <v>26.769771902389582</v>
      </c>
      <c r="K12" s="12">
        <f t="shared" si="4"/>
        <v>87.556323227519655</v>
      </c>
      <c r="L12" s="12">
        <f t="shared" si="4"/>
        <v>-7.7561648132532568</v>
      </c>
      <c r="M12" s="12">
        <f t="shared" si="4"/>
        <v>24.247073455870847</v>
      </c>
      <c r="N12" s="12">
        <f t="shared" si="4"/>
        <v>165.14240409582715</v>
      </c>
      <c r="O12" s="12">
        <f t="shared" si="4"/>
        <v>3.7903701116559878</v>
      </c>
      <c r="P12" s="12">
        <f t="shared" si="4"/>
        <v>59.289302946726671</v>
      </c>
      <c r="Q12" s="12">
        <f t="shared" si="4"/>
        <v>20.745870999290862</v>
      </c>
      <c r="R12" s="12">
        <f t="shared" si="4"/>
        <v>23.55128480885946</v>
      </c>
      <c r="S12" s="12">
        <f t="shared" si="4"/>
        <v>6.5853576293709568E-2</v>
      </c>
      <c r="T12" s="12">
        <f t="shared" si="4"/>
        <v>52.39260161861008</v>
      </c>
      <c r="U12" s="12">
        <f t="shared" si="4"/>
        <v>49.49636468022566</v>
      </c>
      <c r="V12" s="12">
        <f t="shared" si="4"/>
        <v>11.10107415359578</v>
      </c>
      <c r="W12" s="12">
        <f t="shared" si="4"/>
        <v>23.909961157511859</v>
      </c>
      <c r="X12" s="12">
        <f t="shared" si="4"/>
        <v>312.05438462754859</v>
      </c>
      <c r="Y12" s="12">
        <f t="shared" si="4"/>
        <v>84.283159749183085</v>
      </c>
      <c r="Z12" s="12">
        <f t="shared" si="4"/>
        <v>130.84253803511024</v>
      </c>
      <c r="AA12" s="12">
        <f t="shared" si="4"/>
        <v>118.36582329184743</v>
      </c>
      <c r="AB12" s="12">
        <f t="shared" si="4"/>
        <v>297.94239002020424</v>
      </c>
      <c r="AC12" s="12">
        <f t="shared" si="4"/>
        <v>57.875227433410679</v>
      </c>
      <c r="AD12" s="12">
        <f t="shared" si="4"/>
        <v>30.224952073126151</v>
      </c>
      <c r="AE12" s="12">
        <f t="shared" si="4"/>
        <v>71.835933860811608</v>
      </c>
      <c r="AF12" s="12">
        <f t="shared" si="4"/>
        <v>350.48622604706787</v>
      </c>
      <c r="AG12" s="12">
        <f t="shared" si="4"/>
        <v>110.4361592494397</v>
      </c>
      <c r="AH12" s="12">
        <f t="shared" si="4"/>
        <v>28.190356237275761</v>
      </c>
      <c r="AI12" s="12">
        <f t="shared" si="4"/>
        <v>191.64164618009377</v>
      </c>
      <c r="AJ12" s="12">
        <f t="shared" si="4"/>
        <v>411.58290714924669</v>
      </c>
      <c r="AK12" s="12">
        <f t="shared" si="4"/>
        <v>21.533465945751189</v>
      </c>
      <c r="AL12" s="12">
        <f t="shared" si="4"/>
        <v>128.53638294054872</v>
      </c>
      <c r="AM12" s="12">
        <f t="shared" si="4"/>
        <v>85.571104328917045</v>
      </c>
      <c r="AN12" s="12">
        <f t="shared" si="4"/>
        <v>311.53750445869883</v>
      </c>
      <c r="AO12" s="12">
        <f t="shared" si="4"/>
        <v>149.81849734559842</v>
      </c>
      <c r="AP12" s="12">
        <f t="shared" si="4"/>
        <v>127.08362291162003</v>
      </c>
      <c r="AQ12" s="12">
        <f t="shared" si="4"/>
        <v>73.153958269407795</v>
      </c>
      <c r="AR12" s="12">
        <f t="shared" si="4"/>
        <v>281.22564807855338</v>
      </c>
      <c r="AS12" s="12">
        <f t="shared" si="4"/>
        <v>18.875531789935327</v>
      </c>
      <c r="AT12" s="12">
        <f t="shared" si="4"/>
        <v>14.826917517526638</v>
      </c>
      <c r="AU12" s="12">
        <f t="shared" si="4"/>
        <v>594.99497387082988</v>
      </c>
      <c r="AV12" s="12">
        <f t="shared" si="4"/>
        <v>81.91077389712423</v>
      </c>
      <c r="AW12" s="12">
        <f t="shared" si="4"/>
        <v>27.79610090724854</v>
      </c>
      <c r="AX12" s="12">
        <f t="shared" si="4"/>
        <v>49.748423448147058</v>
      </c>
      <c r="AY12" s="12">
        <f t="shared" si="4"/>
        <v>18.499272600236338</v>
      </c>
      <c r="AZ12" s="12">
        <f t="shared" si="4"/>
        <v>45.167495491057664</v>
      </c>
      <c r="BA12" s="12">
        <f t="shared" si="4"/>
        <v>172.04157523962965</v>
      </c>
      <c r="BB12" s="12">
        <f t="shared" si="4"/>
        <v>96.054132747142702</v>
      </c>
      <c r="BC12" s="12">
        <f t="shared" si="4"/>
        <v>174.70184936328289</v>
      </c>
      <c r="BD12" s="12">
        <f t="shared" si="4"/>
        <v>3.7519459970005102</v>
      </c>
      <c r="BE12" s="12">
        <f t="shared" si="4"/>
        <v>48.089927699869747</v>
      </c>
      <c r="BF12" s="12">
        <f t="shared" si="4"/>
        <v>20.304175579029696</v>
      </c>
      <c r="BG12" s="12">
        <f t="shared" si="4"/>
        <v>107.76554334479007</v>
      </c>
      <c r="BH12" s="12">
        <f t="shared" si="4"/>
        <v>67.382363079939822</v>
      </c>
      <c r="BK12" s="12"/>
    </row>
    <row r="13" spans="1:63" x14ac:dyDescent="0.25">
      <c r="A13" s="150" t="s">
        <v>561</v>
      </c>
      <c r="B13" s="146"/>
    </row>
    <row r="14" spans="1:63" x14ac:dyDescent="0.25">
      <c r="A14" s="150"/>
      <c r="B14" s="146"/>
    </row>
  </sheetData>
  <mergeCells count="1">
    <mergeCell ref="A2:D2"/>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5" tint="0.59999389629810485"/>
    <pageSetUpPr fitToPage="1"/>
  </sheetPr>
  <dimension ref="A2:BH41"/>
  <sheetViews>
    <sheetView zoomScaleNormal="100" workbookViewId="0">
      <pane xSplit="4" ySplit="8" topLeftCell="E9" activePane="bottomRight" state="frozen"/>
      <selection pane="topRight" activeCell="E1" sqref="E1"/>
      <selection pane="bottomLeft" activeCell="A11" sqref="A11"/>
      <selection pane="bottomRight" activeCell="E9" sqref="E9"/>
    </sheetView>
  </sheetViews>
  <sheetFormatPr baseColWidth="10" defaultColWidth="11.44140625" defaultRowHeight="13.8" x14ac:dyDescent="0.25"/>
  <cols>
    <col min="1" max="1" width="51.88671875" style="7" customWidth="1"/>
    <col min="2" max="2" width="7.44140625" style="7" customWidth="1"/>
    <col min="3" max="3" width="11.44140625" style="7"/>
    <col min="4" max="4" width="22.88671875" style="7" customWidth="1"/>
    <col min="5" max="60" width="15.6640625" style="7" customWidth="1"/>
    <col min="61" max="16384" width="11.44140625" style="7"/>
  </cols>
  <sheetData>
    <row r="2" spans="1:60" x14ac:dyDescent="0.25">
      <c r="A2" s="6" t="s">
        <v>729</v>
      </c>
    </row>
    <row r="3" spans="1:60" x14ac:dyDescent="0.25">
      <c r="A3" s="6"/>
    </row>
    <row r="4" spans="1:60" x14ac:dyDescent="0.25">
      <c r="A4" s="6" t="s">
        <v>832</v>
      </c>
    </row>
    <row r="6" spans="1:60" ht="17.399999999999999" x14ac:dyDescent="0.3">
      <c r="A6" s="190" t="s">
        <v>491</v>
      </c>
      <c r="B6" s="190"/>
      <c r="C6" s="190"/>
      <c r="D6" s="190"/>
    </row>
    <row r="7" spans="1:60" ht="14.4" thickBot="1" x14ac:dyDescent="0.3"/>
    <row r="8" spans="1:60" ht="14.4" thickBot="1" x14ac:dyDescent="0.3">
      <c r="A8" s="191" t="s">
        <v>562</v>
      </c>
      <c r="B8" s="192"/>
      <c r="C8" s="192"/>
      <c r="D8" s="193"/>
      <c r="E8" s="81" t="s">
        <v>56</v>
      </c>
      <c r="F8" s="81" t="s">
        <v>18</v>
      </c>
      <c r="G8" s="81" t="s">
        <v>57</v>
      </c>
      <c r="H8" s="81" t="s">
        <v>53</v>
      </c>
      <c r="I8" s="81" t="s">
        <v>33</v>
      </c>
      <c r="J8" s="81" t="s">
        <v>10</v>
      </c>
      <c r="K8" s="81" t="s">
        <v>15</v>
      </c>
      <c r="L8" s="81" t="s">
        <v>28</v>
      </c>
      <c r="M8" s="81" t="s">
        <v>42</v>
      </c>
      <c r="N8" s="81" t="s">
        <v>23</v>
      </c>
      <c r="O8" s="81" t="s">
        <v>22</v>
      </c>
      <c r="P8" s="81" t="s">
        <v>13</v>
      </c>
      <c r="Q8" s="81" t="s">
        <v>17</v>
      </c>
      <c r="R8" s="81" t="s">
        <v>43</v>
      </c>
      <c r="S8" s="81" t="s">
        <v>40</v>
      </c>
      <c r="T8" s="81" t="s">
        <v>31</v>
      </c>
      <c r="U8" s="81" t="s">
        <v>12</v>
      </c>
      <c r="V8" s="81" t="s">
        <v>59</v>
      </c>
      <c r="W8" s="81" t="s">
        <v>27</v>
      </c>
      <c r="X8" s="81" t="s">
        <v>30</v>
      </c>
      <c r="Y8" s="81" t="s">
        <v>20</v>
      </c>
      <c r="Z8" s="81" t="s">
        <v>45</v>
      </c>
      <c r="AA8" s="81" t="s">
        <v>71</v>
      </c>
      <c r="AB8" s="81" t="s">
        <v>39</v>
      </c>
      <c r="AC8" s="81" t="s">
        <v>19</v>
      </c>
      <c r="AD8" s="81" t="s">
        <v>41</v>
      </c>
      <c r="AE8" s="81" t="s">
        <v>36</v>
      </c>
      <c r="AF8" s="81" t="s">
        <v>7</v>
      </c>
      <c r="AG8" s="81" t="s">
        <v>55</v>
      </c>
      <c r="AH8" s="81" t="s">
        <v>21</v>
      </c>
      <c r="AI8" s="81" t="s">
        <v>6</v>
      </c>
      <c r="AJ8" s="81" t="s">
        <v>34</v>
      </c>
      <c r="AK8" s="81" t="s">
        <v>52</v>
      </c>
      <c r="AL8" s="81" t="s">
        <v>14</v>
      </c>
      <c r="AM8" s="81" t="s">
        <v>32</v>
      </c>
      <c r="AN8" s="81" t="s">
        <v>29</v>
      </c>
      <c r="AO8" s="81" t="s">
        <v>26</v>
      </c>
      <c r="AP8" s="81" t="s">
        <v>48</v>
      </c>
      <c r="AQ8" s="81" t="s">
        <v>44</v>
      </c>
      <c r="AR8" s="81" t="s">
        <v>37</v>
      </c>
      <c r="AS8" s="81" t="s">
        <v>51</v>
      </c>
      <c r="AT8" s="81" t="s">
        <v>8</v>
      </c>
      <c r="AU8" s="81" t="s">
        <v>24</v>
      </c>
      <c r="AV8" s="81" t="s">
        <v>9</v>
      </c>
      <c r="AW8" s="81" t="s">
        <v>62</v>
      </c>
      <c r="AX8" s="81" t="s">
        <v>46</v>
      </c>
      <c r="AY8" s="81" t="s">
        <v>35</v>
      </c>
      <c r="AZ8" s="81" t="s">
        <v>49</v>
      </c>
      <c r="BA8" s="81" t="s">
        <v>47</v>
      </c>
      <c r="BB8" s="81" t="s">
        <v>58</v>
      </c>
      <c r="BC8" s="81" t="s">
        <v>50</v>
      </c>
      <c r="BD8" s="81" t="s">
        <v>16</v>
      </c>
      <c r="BE8" s="81" t="s">
        <v>25</v>
      </c>
      <c r="BF8" s="81" t="s">
        <v>28</v>
      </c>
      <c r="BG8" s="81" t="s">
        <v>64</v>
      </c>
      <c r="BH8" s="81" t="s">
        <v>16</v>
      </c>
    </row>
    <row r="9" spans="1:60" x14ac:dyDescent="0.25">
      <c r="B9" s="139"/>
      <c r="E9" s="154">
        <f>'MCH2'!E3</f>
        <v>951</v>
      </c>
      <c r="F9" s="154">
        <f>'MCH2'!F3</f>
        <v>258</v>
      </c>
      <c r="G9" s="154">
        <f>'MCH2'!G3</f>
        <v>471</v>
      </c>
      <c r="H9" s="154">
        <f>'MCH2'!H3</f>
        <v>441</v>
      </c>
      <c r="I9" s="154">
        <f>'MCH2'!I3</f>
        <v>3686</v>
      </c>
      <c r="J9" s="154">
        <f>'MCH2'!J3</f>
        <v>3313</v>
      </c>
      <c r="K9" s="154">
        <f>'MCH2'!K3</f>
        <v>2654</v>
      </c>
      <c r="L9" s="154">
        <f>'MCH2'!L3</f>
        <v>12636</v>
      </c>
      <c r="M9" s="154">
        <f>'MCH2'!M3</f>
        <v>1360</v>
      </c>
      <c r="N9" s="154">
        <f>'MCH2'!N3</f>
        <v>112</v>
      </c>
      <c r="O9" s="154">
        <f>'MCH2'!O3</f>
        <v>7319</v>
      </c>
      <c r="P9" s="154">
        <f>'MCH2'!P3</f>
        <v>522</v>
      </c>
      <c r="Q9" s="154">
        <f>'MCH2'!Q3</f>
        <v>106</v>
      </c>
      <c r="R9" s="154">
        <f>'MCH2'!R3</f>
        <v>425</v>
      </c>
      <c r="S9" s="154">
        <f>'MCH2'!S3</f>
        <v>350</v>
      </c>
      <c r="T9" s="154">
        <f>'MCH2'!T3</f>
        <v>733</v>
      </c>
      <c r="U9" s="154">
        <f>'MCH2'!U3</f>
        <v>270</v>
      </c>
      <c r="V9" s="154">
        <f>'MCH2'!V3</f>
        <v>417</v>
      </c>
      <c r="W9" s="154">
        <f>'MCH2'!W3</f>
        <v>3285</v>
      </c>
      <c r="X9" s="154">
        <f>'MCH2'!X3</f>
        <v>308</v>
      </c>
      <c r="Y9" s="154">
        <f>'MCH2'!Y3</f>
        <v>1258</v>
      </c>
      <c r="Z9" s="154">
        <f>'MCH2'!Z3</f>
        <v>1524</v>
      </c>
      <c r="AA9" s="154">
        <f>'MCH2'!AA3</f>
        <v>87</v>
      </c>
      <c r="AB9" s="154">
        <f>'MCH2'!AB3</f>
        <v>156</v>
      </c>
      <c r="AC9" s="154">
        <f>'MCH2'!AC3</f>
        <v>510</v>
      </c>
      <c r="AD9" s="154">
        <f>'MCH2'!AD3</f>
        <v>705</v>
      </c>
      <c r="AE9" s="154">
        <f>'MCH2'!AE3</f>
        <v>551</v>
      </c>
      <c r="AF9" s="154">
        <f>'MCH2'!AF3</f>
        <v>511</v>
      </c>
      <c r="AG9" s="154">
        <f>'MCH2'!AG3</f>
        <v>1902</v>
      </c>
      <c r="AH9" s="154">
        <f>'MCH2'!AH3</f>
        <v>2575</v>
      </c>
      <c r="AI9" s="154">
        <f>'MCH2'!AI3</f>
        <v>228</v>
      </c>
      <c r="AJ9" s="154">
        <f>'MCH2'!AJ3</f>
        <v>118</v>
      </c>
      <c r="AK9" s="154">
        <f>'MCH2'!AK3</f>
        <v>1882</v>
      </c>
      <c r="AL9" s="154">
        <f>'MCH2'!AL3</f>
        <v>1114</v>
      </c>
      <c r="AM9" s="154">
        <f>'MCH2'!AM3</f>
        <v>1217</v>
      </c>
      <c r="AN9" s="154">
        <f>'MCH2'!AN3</f>
        <v>117</v>
      </c>
      <c r="AO9" s="154">
        <f>'MCH2'!AO3</f>
        <v>1205</v>
      </c>
      <c r="AP9" s="154">
        <f>'MCH2'!AP3</f>
        <v>625</v>
      </c>
      <c r="AQ9" s="154">
        <f>'MCH2'!AQ3</f>
        <v>631</v>
      </c>
      <c r="AR9" s="154">
        <f>'MCH2'!AR3</f>
        <v>1275</v>
      </c>
      <c r="AS9" s="154">
        <f>'MCH2'!AS3</f>
        <v>718</v>
      </c>
      <c r="AT9" s="154">
        <f>'MCH2'!AT3</f>
        <v>1018</v>
      </c>
      <c r="AU9" s="154">
        <f>'MCH2'!AU3</f>
        <v>293</v>
      </c>
      <c r="AV9" s="154">
        <f>'MCH2'!AV3</f>
        <v>2435</v>
      </c>
      <c r="AW9" s="154">
        <f>'MCH2'!AW3</f>
        <v>786</v>
      </c>
      <c r="AX9" s="154">
        <f>'MCH2'!AX3</f>
        <v>184</v>
      </c>
      <c r="AY9" s="154">
        <f>'MCH2'!AY3</f>
        <v>333</v>
      </c>
      <c r="AZ9" s="154">
        <f>'MCH2'!AZ3</f>
        <v>1674</v>
      </c>
      <c r="BA9" s="154">
        <f>'MCH2'!BA3</f>
        <v>391</v>
      </c>
      <c r="BB9" s="154">
        <f>'MCH2'!BB3</f>
        <v>1052</v>
      </c>
      <c r="BC9" s="154">
        <f>'MCH2'!BC3</f>
        <v>186</v>
      </c>
      <c r="BD9" s="154">
        <f>'MCH2'!BD3</f>
        <v>6441</v>
      </c>
      <c r="BE9" s="154">
        <f>'MCH2'!BE3</f>
        <v>546</v>
      </c>
      <c r="BF9" s="156">
        <f>'MCH2'!BG3</f>
        <v>39309</v>
      </c>
      <c r="BG9" s="156">
        <f>'MCH2'!BH3</f>
        <v>10433</v>
      </c>
      <c r="BH9" s="156">
        <f>'MCH2'!BI3</f>
        <v>24123</v>
      </c>
    </row>
    <row r="11" spans="1:60" x14ac:dyDescent="0.25">
      <c r="A11" s="6" t="s">
        <v>492</v>
      </c>
    </row>
    <row r="12" spans="1:60" ht="14.4" thickBot="1" x14ac:dyDescent="0.3"/>
    <row r="13" spans="1:60" ht="14.4" thickBot="1" x14ac:dyDescent="0.3">
      <c r="A13" s="7" t="s">
        <v>563</v>
      </c>
      <c r="D13" s="162">
        <f>'Quotité d''intéret + revenus det'!D30</f>
        <v>613230091.44000006</v>
      </c>
      <c r="E13" s="15">
        <f>'Quotité d''intéret + revenus det'!E30</f>
        <v>10231693.5</v>
      </c>
      <c r="F13" s="15">
        <f>'Quotité d''intéret + revenus det'!F30</f>
        <v>2396649.5500000003</v>
      </c>
      <c r="G13" s="15">
        <f>'Quotité d''intéret + revenus det'!G30</f>
        <v>5213780.8499999996</v>
      </c>
      <c r="H13" s="15">
        <f>'Quotité d''intéret + revenus det'!H30</f>
        <v>4171946.5700000003</v>
      </c>
      <c r="I13" s="15">
        <f>'Quotité d''intéret + revenus det'!I30</f>
        <v>26026874</v>
      </c>
      <c r="J13" s="15">
        <f>'Quotité d''intéret + revenus det'!J30</f>
        <v>23189435.620000001</v>
      </c>
      <c r="K13" s="15">
        <f>'Quotité d''intéret + revenus det'!K30</f>
        <v>10340912.189999999</v>
      </c>
      <c r="L13" s="15">
        <f>'Quotité d''intéret + revenus det'!L30</f>
        <v>166457137.63999999</v>
      </c>
      <c r="M13" s="15">
        <f>'Quotité d''intéret + revenus det'!M30</f>
        <v>7684406.9900000002</v>
      </c>
      <c r="N13" s="15">
        <f>'Quotité d''intéret + revenus det'!N30</f>
        <v>962560.33000000007</v>
      </c>
      <c r="O13" s="15">
        <f>'Quotité d''intéret + revenus det'!O30</f>
        <v>45615798.689999998</v>
      </c>
      <c r="P13" s="15">
        <f>'Quotité d''intéret + revenus det'!P30</f>
        <v>2811349.0100000002</v>
      </c>
      <c r="Q13" s="15">
        <f>'Quotité d''intéret + revenus det'!Q30</f>
        <v>472998.96</v>
      </c>
      <c r="R13" s="15">
        <f>'Quotité d''intéret + revenus det'!R30</f>
        <v>3177943.3000000003</v>
      </c>
      <c r="S13" s="15">
        <f>'Quotité d''intéret + revenus det'!S30</f>
        <v>4143084.9</v>
      </c>
      <c r="T13" s="15">
        <f>'Quotité d''intéret + revenus det'!T30</f>
        <v>5163639.42</v>
      </c>
      <c r="U13" s="15">
        <f>'Quotité d''intéret + revenus det'!U30</f>
        <v>1238569.5</v>
      </c>
      <c r="V13" s="15">
        <f>'Quotité d''intéret + revenus det'!V30</f>
        <v>3504832.67</v>
      </c>
      <c r="W13" s="15">
        <f>'Quotité d''intéret + revenus det'!W30</f>
        <v>15800389.75</v>
      </c>
      <c r="X13" s="15">
        <f>'Quotité d''intéret + revenus det'!X30</f>
        <v>484046.2</v>
      </c>
      <c r="Y13" s="15">
        <f>'Quotité d''intéret + revenus det'!Y30</f>
        <v>9591959.379999999</v>
      </c>
      <c r="Z13" s="15">
        <f>'Quotité d''intéret + revenus det'!Z30</f>
        <v>4910683.17</v>
      </c>
      <c r="AA13" s="15">
        <f>'Quotité d''intéret + revenus det'!AA30</f>
        <v>1134572.45</v>
      </c>
      <c r="AB13" s="15">
        <f>'Quotité d''intéret + revenus det'!AB30</f>
        <v>1304927.81</v>
      </c>
      <c r="AC13" s="15">
        <f>'Quotité d''intéret + revenus det'!AC30</f>
        <v>4608813.3499999996</v>
      </c>
      <c r="AD13" s="15">
        <f>'Quotité d''intéret + revenus det'!AD30</f>
        <v>7610270.8499999996</v>
      </c>
      <c r="AE13" s="15">
        <f>'Quotité d''intéret + revenus det'!AE30</f>
        <v>3693005.05</v>
      </c>
      <c r="AF13" s="15">
        <f>'Quotité d''intéret + revenus det'!AF30</f>
        <v>972078.66999999993</v>
      </c>
      <c r="AG13" s="15">
        <f>'Quotité d''intéret + revenus det'!AG30</f>
        <v>5453381.3700000001</v>
      </c>
      <c r="AH13" s="15">
        <f>'Quotité d''intéret + revenus det'!AH30</f>
        <v>16154715.800000001</v>
      </c>
      <c r="AI13" s="15">
        <f>'Quotité d''intéret + revenus det'!AI30</f>
        <v>1609646</v>
      </c>
      <c r="AJ13" s="15">
        <f>'Quotité d''intéret + revenus det'!AJ30</f>
        <v>863363.16</v>
      </c>
      <c r="AK13" s="15">
        <f>'Quotité d''intéret + revenus det'!AK30</f>
        <v>17609687.100000001</v>
      </c>
      <c r="AL13" s="15">
        <f>'Quotité d''intéret + revenus det'!AL30</f>
        <v>9727418.6000000015</v>
      </c>
      <c r="AM13" s="15">
        <f>'Quotité d''intéret + revenus det'!AM30</f>
        <v>11587493.5</v>
      </c>
      <c r="AN13" s="15">
        <f>'Quotité d''intéret + revenus det'!AN30</f>
        <v>1403451.52</v>
      </c>
      <c r="AO13" s="15">
        <f>'Quotité d''intéret + revenus det'!AO30</f>
        <v>8994469.7599999998</v>
      </c>
      <c r="AP13" s="15">
        <f>'Quotité d''intéret + revenus det'!AP30</f>
        <v>5282352.57</v>
      </c>
      <c r="AQ13" s="15">
        <f>'Quotité d''intéret + revenus det'!AQ30</f>
        <v>4714241</v>
      </c>
      <c r="AR13" s="15">
        <f>'Quotité d''intéret + revenus det'!AR30</f>
        <v>10428523.609999999</v>
      </c>
      <c r="AS13" s="15">
        <f>'Quotité d''intéret + revenus det'!AS30</f>
        <v>5676255.4600000009</v>
      </c>
      <c r="AT13" s="15">
        <f>'Quotité d''intéret + revenus det'!AT30</f>
        <v>9570422.3900000006</v>
      </c>
      <c r="AU13" s="15">
        <f>'Quotité d''intéret + revenus det'!AU30</f>
        <v>1892477.35</v>
      </c>
      <c r="AV13" s="15">
        <f>'Quotité d''intéret + revenus det'!AV30</f>
        <v>13471968.370000001</v>
      </c>
      <c r="AW13" s="15">
        <f>'Quotité d''intéret + revenus det'!AW30</f>
        <v>6026726</v>
      </c>
      <c r="AX13" s="15">
        <f>'Quotité d''intéret + revenus det'!AX30</f>
        <v>691813</v>
      </c>
      <c r="AY13" s="15">
        <f>'Quotité d''intéret + revenus det'!AY30</f>
        <v>2001322.59</v>
      </c>
      <c r="AZ13" s="15">
        <f>'Quotité d''intéret + revenus det'!AZ30</f>
        <v>19520581.41</v>
      </c>
      <c r="BA13" s="15">
        <f>'Quotité d''intéret + revenus det'!BA30</f>
        <v>3023471.06</v>
      </c>
      <c r="BB13" s="15">
        <f>'Quotité d''intéret + revenus det'!BB30</f>
        <v>10935066</v>
      </c>
      <c r="BC13" s="15">
        <f>'Quotité d''intéret + revenus det'!BC30</f>
        <v>142500</v>
      </c>
      <c r="BD13" s="15">
        <f>'Quotité d''intéret + revenus det'!BD30</f>
        <v>69546558.280000001</v>
      </c>
      <c r="BE13" s="15">
        <f>'Quotité d''intéret + revenus det'!BE30</f>
        <v>3987825.17</v>
      </c>
      <c r="BF13" s="15">
        <f>SUM(E13:W13)</f>
        <v>338604003.44</v>
      </c>
      <c r="BG13" s="15">
        <f>SUM(X13:AJ13)</f>
        <v>58391463.25999999</v>
      </c>
      <c r="BH13" s="15">
        <f>SUM(AK13:BE13)</f>
        <v>216234624.74000001</v>
      </c>
    </row>
    <row r="14" spans="1:60" ht="14.4" thickBot="1" x14ac:dyDescent="0.3">
      <c r="D14" s="163"/>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row>
    <row r="15" spans="1:60" ht="14.4" thickBot="1" x14ac:dyDescent="0.3">
      <c r="A15" s="7" t="s">
        <v>495</v>
      </c>
      <c r="D15" s="162">
        <f>'Endett. net + degré d''auto.'!D9</f>
        <v>300302277.88999999</v>
      </c>
      <c r="E15" s="15">
        <f>'Endett. net + degré d''auto.'!E9</f>
        <v>4350117.6100000003</v>
      </c>
      <c r="F15" s="15">
        <f>'Endett. net + degré d''auto.'!F9</f>
        <v>1350274.5500000003</v>
      </c>
      <c r="G15" s="15">
        <f>'Endett. net + degré d''auto.'!G9</f>
        <v>2310199.3900000006</v>
      </c>
      <c r="H15" s="15">
        <f>'Endett. net + degré d''auto.'!H9</f>
        <v>29580.799999999814</v>
      </c>
      <c r="I15" s="15">
        <f>'Endett. net + degré d''auto.'!I9</f>
        <v>10596402</v>
      </c>
      <c r="J15" s="15">
        <f>'Endett. net + degré d''auto.'!J9</f>
        <v>16567735.970000003</v>
      </c>
      <c r="K15" s="15">
        <f>'Endett. net + degré d''auto.'!K9</f>
        <v>-429317.41000000015</v>
      </c>
      <c r="L15" s="15">
        <f>'Endett. net + degré d''auto.'!L9</f>
        <v>103469664.55000001</v>
      </c>
      <c r="M15" s="15">
        <f>'Endett. net + degré d''auto.'!M9</f>
        <v>4117624.07</v>
      </c>
      <c r="N15" s="15">
        <f>'Endett. net + degré d''auto.'!N9</f>
        <v>779330.56999999983</v>
      </c>
      <c r="O15" s="15">
        <f>'Endett. net + degré d''auto.'!O9</f>
        <v>29090469.220000003</v>
      </c>
      <c r="P15" s="15">
        <f>'Endett. net + degré d''auto.'!P9</f>
        <v>1290983.73</v>
      </c>
      <c r="Q15" s="15">
        <f>'Endett. net + degré d''auto.'!Q9</f>
        <v>-17354.150000000081</v>
      </c>
      <c r="R15" s="15">
        <f>'Endett. net + degré d''auto.'!R9</f>
        <v>1642738.42</v>
      </c>
      <c r="S15" s="15">
        <f>'Endett. net + degré d''auto.'!S9</f>
        <v>1514124.1099999999</v>
      </c>
      <c r="T15" s="15">
        <f>'Endett. net + degré d''auto.'!T9</f>
        <v>-451715.3599999994</v>
      </c>
      <c r="U15" s="15">
        <f>'Endett. net + degré d''auto.'!U9</f>
        <v>448146.76</v>
      </c>
      <c r="V15" s="15">
        <f>'Endett. net + degré d''auto.'!V9</f>
        <v>1914576.7700000003</v>
      </c>
      <c r="W15" s="15">
        <f>'Endett. net + degré d''auto.'!W9</f>
        <v>11431295.439999999</v>
      </c>
      <c r="X15" s="15">
        <f>'Endett. net + degré d''auto.'!X9</f>
        <v>-1095128.52</v>
      </c>
      <c r="Y15" s="15">
        <f>'Endett. net + degré d''auto.'!Y9</f>
        <v>5704163.3600000003</v>
      </c>
      <c r="Z15" s="15">
        <f>'Endett. net + degré d''auto.'!Z9</f>
        <v>-13726562.160000002</v>
      </c>
      <c r="AA15" s="15">
        <f>'Endett. net + degré d''auto.'!AA9</f>
        <v>89722.54999999993</v>
      </c>
      <c r="AB15" s="15">
        <f>'Endett. net + degré d''auto.'!AB9</f>
        <v>-211024.80999999982</v>
      </c>
      <c r="AC15" s="15">
        <f>'Endett. net + degré d''auto.'!AC9</f>
        <v>1427041.88</v>
      </c>
      <c r="AD15" s="15">
        <f>'Endett. net + degré d''auto.'!AD9</f>
        <v>5732641.0899999999</v>
      </c>
      <c r="AE15" s="15">
        <f>'Endett. net + degré d''auto.'!AE9</f>
        <v>2011074.1099999999</v>
      </c>
      <c r="AF15" s="15">
        <f>'Endett. net + degré d''auto.'!AF9</f>
        <v>-2267097.36</v>
      </c>
      <c r="AG15" s="15">
        <f>'Endett. net + degré d''auto.'!AG9</f>
        <v>-2397710.830000001</v>
      </c>
      <c r="AH15" s="15">
        <f>'Endett. net + degré d''auto.'!AH9</f>
        <v>7074721.7599999998</v>
      </c>
      <c r="AI15" s="15">
        <f>'Endett. net + degré d''auto.'!AI9</f>
        <v>-234773.05000000005</v>
      </c>
      <c r="AJ15" s="15">
        <f>'Endett. net + degré d''auto.'!AJ9</f>
        <v>-1178728.1100000001</v>
      </c>
      <c r="AK15" s="15">
        <f>'Endett. net + degré d''auto.'!AK9</f>
        <v>11642148.41</v>
      </c>
      <c r="AL15" s="15">
        <f>'Endett. net + degré d''auto.'!AL9</f>
        <v>3685340.0500000007</v>
      </c>
      <c r="AM15" s="15">
        <f>'Endett. net + degré d''auto.'!AM9</f>
        <v>6512358.3300000001</v>
      </c>
      <c r="AN15" s="15">
        <f>'Endett. net + degré d''auto.'!AN9</f>
        <v>881755.3600000001</v>
      </c>
      <c r="AO15" s="15">
        <f>'Endett. net + degré d''auto.'!AO9</f>
        <v>-5341469.129999999</v>
      </c>
      <c r="AP15" s="15">
        <f>'Endett. net + degré d''auto.'!AP9</f>
        <v>1986975.6799999997</v>
      </c>
      <c r="AQ15" s="15">
        <f>'Endett. net + degré d''auto.'!AQ9</f>
        <v>2313638</v>
      </c>
      <c r="AR15" s="15">
        <f>'Endett. net + degré d''auto.'!AR9</f>
        <v>474934.75</v>
      </c>
      <c r="AS15" s="15">
        <f>'Endett. net + degré d''auto.'!AS9</f>
        <v>3086864.3400000003</v>
      </c>
      <c r="AT15" s="15">
        <f>'Endett. net + degré d''auto.'!AT9</f>
        <v>5842658.7400000002</v>
      </c>
      <c r="AU15" s="15">
        <f>'Endett. net + degré d''auto.'!AU9</f>
        <v>-735043.0700000003</v>
      </c>
      <c r="AV15" s="15">
        <f>'Endett. net + degré d''auto.'!AV9</f>
        <v>8692321.1499999985</v>
      </c>
      <c r="AW15" s="15">
        <f>'Endett. net + degré d''auto.'!AW9</f>
        <v>2759687.7100000004</v>
      </c>
      <c r="AX15" s="15">
        <f>'Endett. net + degré d''auto.'!AX9</f>
        <v>197541</v>
      </c>
      <c r="AY15" s="15">
        <f>'Endett. net + degré d''auto.'!AY9</f>
        <v>-156279.87000000011</v>
      </c>
      <c r="AZ15" s="15">
        <f>'Endett. net + degré d''auto.'!AZ9</f>
        <v>15130371.18</v>
      </c>
      <c r="BA15" s="15">
        <f>'Endett. net + degré d''auto.'!BA9</f>
        <v>51593.350000000093</v>
      </c>
      <c r="BB15" s="15">
        <f>'Endett. net + degré d''auto.'!BB9</f>
        <v>5751415</v>
      </c>
      <c r="BC15" s="15">
        <f>'Endett. net + degré d''auto.'!BC9</f>
        <v>-341679.30999999994</v>
      </c>
      <c r="BD15" s="15">
        <f>'Endett. net + degré d''auto.'!BD9</f>
        <v>45122415.25</v>
      </c>
      <c r="BE15" s="15">
        <f>'Endett. net + degré d''auto.'!BE9</f>
        <v>1811514.0200000005</v>
      </c>
      <c r="BF15" s="15">
        <f t="shared" ref="BF15:BF41" si="0">SUM(E15:W15)</f>
        <v>190004877.03999999</v>
      </c>
      <c r="BG15" s="15">
        <f t="shared" ref="BG15:BG41" si="1">SUM(X15:AJ15)</f>
        <v>928339.90999999666</v>
      </c>
      <c r="BH15" s="15">
        <f t="shared" ref="BH15:BH41" si="2">SUM(AK15:BE15)</f>
        <v>109369060.94</v>
      </c>
    </row>
    <row r="16" spans="1:60" ht="14.4" thickBot="1" x14ac:dyDescent="0.3">
      <c r="D16" s="163"/>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row>
    <row r="17" spans="1:60" ht="14.4" thickBot="1" x14ac:dyDescent="0.3">
      <c r="A17" s="7" t="s">
        <v>501</v>
      </c>
      <c r="D17" s="162">
        <f>'Endett. net + degré d''auto.'!D18</f>
        <v>145.68720378892164</v>
      </c>
      <c r="E17" s="15">
        <f>'Endett. net + degré d''auto.'!E18</f>
        <v>185.09844888417101</v>
      </c>
      <c r="F17" s="15">
        <f>'Endett. net + degré d''auto.'!F18</f>
        <v>256.53690311963345</v>
      </c>
      <c r="G17" s="15">
        <f>'Endett. net + degré d''auto.'!G18</f>
        <v>193.22210516333735</v>
      </c>
      <c r="H17" s="15">
        <f>'Endett. net + degré d''auto.'!H18</f>
        <v>2.7593527658838797</v>
      </c>
      <c r="I17" s="15">
        <f>'Endett. net + degré d''auto.'!I18</f>
        <v>112.33235461457396</v>
      </c>
      <c r="J17" s="15">
        <f>'Endett. net + degré d''auto.'!J18</f>
        <v>203.9099897177168</v>
      </c>
      <c r="K17" s="15">
        <f>'Endett. net + degré d''auto.'!K18</f>
        <v>-5.7587390505632596</v>
      </c>
      <c r="L17" s="15">
        <f>'Endett. net + degré d''auto.'!L18</f>
        <v>306.1634324656074</v>
      </c>
      <c r="M17" s="15">
        <f>'Endett. net + degré d''auto.'!M18</f>
        <v>126.48004633044894</v>
      </c>
      <c r="N17" s="15">
        <f>'Endett. net + degré d''auto.'!N18</f>
        <v>236.83485384279783</v>
      </c>
      <c r="O17" s="15">
        <f>'Endett. net + degré d''auto.'!O18</f>
        <v>154.86203390124382</v>
      </c>
      <c r="P17" s="15">
        <f>'Endett. net + degré d''auto.'!P18</f>
        <v>97.695961176119511</v>
      </c>
      <c r="Q17" s="15">
        <f>'Endett. net + degré d''auto.'!Q18</f>
        <v>-6.2666699599440978</v>
      </c>
      <c r="R17" s="15">
        <f>'Endett. net + degré d''auto.'!R18</f>
        <v>143.83810759113757</v>
      </c>
      <c r="S17" s="15">
        <f>'Endett. net + degré d''auto.'!S18</f>
        <v>174.72836294120859</v>
      </c>
      <c r="T17" s="15">
        <f>'Endett. net + degré d''auto.'!T18</f>
        <v>-22.111467080953336</v>
      </c>
      <c r="U17" s="15">
        <f>'Endett. net + degré d''auto.'!U18</f>
        <v>79.632269151374899</v>
      </c>
      <c r="V17" s="15">
        <f>'Endett. net + degré d''auto.'!V18</f>
        <v>145.03159884188145</v>
      </c>
      <c r="W17" s="15">
        <f>'Endett. net + degré d''auto.'!W18</f>
        <v>137.97383884231579</v>
      </c>
      <c r="X17" s="15">
        <f>'Endett. net + degré d''auto.'!X18</f>
        <v>-139.26324907284771</v>
      </c>
      <c r="Y17" s="15">
        <f>'Endett. net + degré d''auto.'!Y18</f>
        <v>127.32867601411854</v>
      </c>
      <c r="Z17" s="15">
        <f>'Endett. net + degré d''auto.'!Z18</f>
        <v>-137.4979058872772</v>
      </c>
      <c r="AA17" s="15">
        <f>'Endett. net + degré d''auto.'!AA18</f>
        <v>43.222150578089433</v>
      </c>
      <c r="AB17" s="15">
        <f>'Endett. net + degré d''auto.'!AB18</f>
        <v>-57.176629191295845</v>
      </c>
      <c r="AC17" s="15">
        <f>'Endett. net + degré d''auto.'!AC18</f>
        <v>99.844492044684515</v>
      </c>
      <c r="AD17" s="15">
        <f>'Endett. net + degré d''auto.'!AD18</f>
        <v>299.4744205693936</v>
      </c>
      <c r="AE17" s="15">
        <f>'Endett. net + degré d''auto.'!AE18</f>
        <v>140.05991279011397</v>
      </c>
      <c r="AF17" s="15">
        <f>'Endett. net + degré d''auto.'!AF18</f>
        <v>-177.77147192299773</v>
      </c>
      <c r="AG17" s="15">
        <f>'Endett. net + degré d''auto.'!AG18</f>
        <v>-42.124481023054472</v>
      </c>
      <c r="AH17" s="15">
        <f>'Endett. net + degré d''auto.'!AH18</f>
        <v>100.14129905585263</v>
      </c>
      <c r="AI17" s="15">
        <f>'Endett. net + degré d''auto.'!AI18</f>
        <v>-39.423731175862123</v>
      </c>
      <c r="AJ17" s="15">
        <f>'Endett. net + degré d''auto.'!AJ18</f>
        <v>-355.9920133086556</v>
      </c>
      <c r="AK17" s="15">
        <f>'Endett. net + degré d''auto.'!AK18</f>
        <v>209.75122245686219</v>
      </c>
      <c r="AL17" s="15">
        <f>'Endett. net + degré d''auto.'!AL18</f>
        <v>138.04327941089991</v>
      </c>
      <c r="AM17" s="15">
        <f>'Endett. net + degré d''auto.'!AM18</f>
        <v>216.39161882292032</v>
      </c>
      <c r="AN17" s="15">
        <f>'Endett. net + degré d''auto.'!AN18</f>
        <v>266.54112582901575</v>
      </c>
      <c r="AO17" s="15">
        <f>'Endett. net + degré d''auto.'!AO18</f>
        <v>-85.770448461077038</v>
      </c>
      <c r="AP17" s="15">
        <f>'Endett. net + degré d''auto.'!AP18</f>
        <v>141.23487921551202</v>
      </c>
      <c r="AQ17" s="15">
        <f>'Endett. net + degré d''auto.'!AQ18</f>
        <v>147.90055743070471</v>
      </c>
      <c r="AR17" s="15">
        <f>'Endett. net + degré d''auto.'!AR18</f>
        <v>17.644383720437119</v>
      </c>
      <c r="AS17" s="15">
        <f>'Endett. net + degré d''auto.'!AS18</f>
        <v>161.01316061114522</v>
      </c>
      <c r="AT17" s="15">
        <f>'Endett. net + degré d''auto.'!AT18</f>
        <v>225.96841640264213</v>
      </c>
      <c r="AU17" s="15">
        <f>'Endett. net + degré d''auto.'!AU18</f>
        <v>-164.1965073540089</v>
      </c>
      <c r="AV17" s="15">
        <f>'Endett. net + degré d''auto.'!AV18</f>
        <v>141.44148075518842</v>
      </c>
      <c r="AW17" s="15">
        <f>'Endett. net + degré d''auto.'!AW18</f>
        <v>122.31222258936295</v>
      </c>
      <c r="AX17" s="15">
        <f>'Endett. net + degré d''auto.'!AX18</f>
        <v>49.792534258030344</v>
      </c>
      <c r="AY17" s="15">
        <f>'Endett. net + degré d''auto.'!AY18</f>
        <v>-18.884947338287244</v>
      </c>
      <c r="AZ17" s="15">
        <f>'Endett. net + degré d''auto.'!AZ18</f>
        <v>345.56767862601453</v>
      </c>
      <c r="BA17" s="15">
        <f>'Endett. net + degré d''auto.'!BA18</f>
        <v>6.0192714079151104</v>
      </c>
      <c r="BB17" s="15">
        <f>'Endett. net + degré d''auto.'!BB18</f>
        <v>191.47123927317423</v>
      </c>
      <c r="BC17" s="15">
        <f>'Endett. net + degré d''auto.'!BC18</f>
        <v>-75.837469374356232</v>
      </c>
      <c r="BD17" s="15">
        <f>'Endett. net + degré d''auto.'!BD18</f>
        <v>223.7180004619172</v>
      </c>
      <c r="BE17" s="15">
        <f>'Endett. net + degré d''auto.'!BE18</f>
        <v>117.8399126959694</v>
      </c>
      <c r="BF17" s="15">
        <f t="shared" si="0"/>
        <v>2522.9627832579918</v>
      </c>
      <c r="BG17" s="15">
        <f t="shared" si="1"/>
        <v>-139.17853052973797</v>
      </c>
      <c r="BH17" s="15">
        <f t="shared" si="2"/>
        <v>2377.9616114399823</v>
      </c>
    </row>
    <row r="18" spans="1:60" x14ac:dyDescent="0.25">
      <c r="D18" s="163"/>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row>
    <row r="19" spans="1:60" x14ac:dyDescent="0.25">
      <c r="D19" s="163"/>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row>
    <row r="20" spans="1:60" x14ac:dyDescent="0.25">
      <c r="A20" s="6" t="s">
        <v>503</v>
      </c>
      <c r="D20" s="163"/>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row>
    <row r="21" spans="1:60" ht="14.4" thickBot="1" x14ac:dyDescent="0.3">
      <c r="D21" s="163"/>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row>
    <row r="22" spans="1:60" ht="14.4" thickBot="1" x14ac:dyDescent="0.3">
      <c r="A22" s="7" t="s">
        <v>543</v>
      </c>
      <c r="D22" s="162">
        <f>'Endett. net + degré d''auto.'!D35</f>
        <v>30452873.009999998</v>
      </c>
      <c r="E22" s="15">
        <f>'Endett. net + degré d''auto.'!E35</f>
        <v>79219.329999999973</v>
      </c>
      <c r="F22" s="15">
        <f>'Endett. net + degré d''auto.'!F35</f>
        <v>-125472.41999999998</v>
      </c>
      <c r="G22" s="15">
        <f>'Endett. net + degré d''auto.'!G35</f>
        <v>360193.97000000003</v>
      </c>
      <c r="H22" s="15">
        <f>'Endett. net + degré d''auto.'!H35</f>
        <v>38274.29</v>
      </c>
      <c r="I22" s="15">
        <f>'Endett. net + degré d''auto.'!I35</f>
        <v>1324905.95</v>
      </c>
      <c r="J22" s="15">
        <f>'Endett. net + degré d''auto.'!J35</f>
        <v>1125365.67</v>
      </c>
      <c r="K22" s="15">
        <f>'Endett. net + degré d''auto.'!K35</f>
        <v>1180036.82</v>
      </c>
      <c r="L22" s="15">
        <f>'Endett. net + degré d''auto.'!L35</f>
        <v>2391598.3299999996</v>
      </c>
      <c r="M22" s="15">
        <f>'Endett. net + degré d''auto.'!M35</f>
        <v>-98287.840000000026</v>
      </c>
      <c r="N22" s="15">
        <f>'Endett. net + degré d''auto.'!N35</f>
        <v>74900.3</v>
      </c>
      <c r="O22" s="15">
        <f>'Endett. net + degré d''auto.'!O35</f>
        <v>2800717.16</v>
      </c>
      <c r="P22" s="15">
        <f>'Endett. net + degré d''auto.'!P35</f>
        <v>6750.0799999999981</v>
      </c>
      <c r="Q22" s="15">
        <f>'Endett. net + degré d''auto.'!Q35</f>
        <v>39958.61</v>
      </c>
      <c r="R22" s="15">
        <f>'Endett. net + degré d''auto.'!R35</f>
        <v>53775.94</v>
      </c>
      <c r="S22" s="15">
        <f>'Endett. net + degré d''auto.'!S35</f>
        <v>2693.3199999999779</v>
      </c>
      <c r="T22" s="15">
        <f>'Endett. net + degré d''auto.'!T35</f>
        <v>336712.27999999997</v>
      </c>
      <c r="U22" s="15">
        <f>'Endett. net + degré d''auto.'!U35</f>
        <v>-44233.19</v>
      </c>
      <c r="V22" s="15">
        <f>'Endett. net + degré d''auto.'!V35</f>
        <v>104905.87000000001</v>
      </c>
      <c r="W22" s="15">
        <f>'Endett. net + degré d''auto.'!W35</f>
        <v>1940810.4300000002</v>
      </c>
      <c r="X22" s="15">
        <f>'Endett. net + degré d''auto.'!X35</f>
        <v>101563.76999999999</v>
      </c>
      <c r="Y22" s="15">
        <f>'Endett. net + degré d''auto.'!Y35</f>
        <v>1050199.27</v>
      </c>
      <c r="Z22" s="15">
        <f>'Endett. net + degré d''auto.'!Z35</f>
        <v>3351462.38</v>
      </c>
      <c r="AA22" s="15">
        <f>'Endett. net + degré d''auto.'!AA35</f>
        <v>-5526.0000000000091</v>
      </c>
      <c r="AB22" s="15">
        <f>'Endett. net + degré d''auto.'!AB35</f>
        <v>75351.459999999963</v>
      </c>
      <c r="AC22" s="15">
        <f>'Endett. net + degré d''auto.'!AC35</f>
        <v>113794.14</v>
      </c>
      <c r="AD22" s="15">
        <f>'Endett. net + degré d''auto.'!AD35</f>
        <v>252975.03999999998</v>
      </c>
      <c r="AE22" s="15">
        <f>'Endett. net + degré d''auto.'!AE35</f>
        <v>-119609.33999999998</v>
      </c>
      <c r="AF22" s="15">
        <f>'Endett. net + degré d''auto.'!AF35</f>
        <v>-108373.7</v>
      </c>
      <c r="AG22" s="15">
        <f>'Endett. net + degré d''auto.'!AG35</f>
        <v>1155426.28</v>
      </c>
      <c r="AH22" s="15">
        <f>'Endett. net + degré d''auto.'!AH35</f>
        <v>1288993.95</v>
      </c>
      <c r="AI22" s="15">
        <f>'Endett. net + degré d''auto.'!AI35</f>
        <v>112597.11</v>
      </c>
      <c r="AJ22" s="15">
        <f>'Endett. net + degré d''auto.'!AJ35</f>
        <v>131867.22999999998</v>
      </c>
      <c r="AK22" s="15">
        <f>'Endett. net + degré d''auto.'!AK35</f>
        <v>1410963.8900000001</v>
      </c>
      <c r="AL22" s="15">
        <f>'Endett. net + degré d''auto.'!AL35</f>
        <v>439840</v>
      </c>
      <c r="AM22" s="15">
        <f>'Endett. net + degré d''auto.'!AM35</f>
        <v>228942.06</v>
      </c>
      <c r="AN22" s="15">
        <f>'Endett. net + degré d''auto.'!AN35</f>
        <v>40757.96</v>
      </c>
      <c r="AO22" s="15">
        <f>'Endett. net + degré d''auto.'!AO35</f>
        <v>2553182.71</v>
      </c>
      <c r="AP22" s="15">
        <f>'Endett. net + degré d''auto.'!AP35</f>
        <v>82332.509999999995</v>
      </c>
      <c r="AQ22" s="15">
        <f>'Endett. net + degré d''auto.'!AQ35</f>
        <v>-9368</v>
      </c>
      <c r="AR22" s="15">
        <f>'Endett. net + degré d''auto.'!AR35</f>
        <v>387597.95999999996</v>
      </c>
      <c r="AS22" s="15">
        <f>'Endett. net + degré d''auto.'!AS35</f>
        <v>360231.08000000007</v>
      </c>
      <c r="AT22" s="15">
        <f>'Endett. net + degré d''auto.'!AT35</f>
        <v>238050.64999999997</v>
      </c>
      <c r="AU22" s="15">
        <f>'Endett. net + degré d''auto.'!AU35</f>
        <v>-192570.18</v>
      </c>
      <c r="AV22" s="15">
        <f>'Endett. net + degré d''auto.'!AV35</f>
        <v>862700.89999999991</v>
      </c>
      <c r="AW22" s="15">
        <f>'Endett. net + degré d''auto.'!AW35</f>
        <v>372341.33</v>
      </c>
      <c r="AX22" s="15">
        <f>'Endett. net + degré d''auto.'!AX35</f>
        <v>-16147.379999999997</v>
      </c>
      <c r="AY22" s="15">
        <f>'Endett. net + degré d''auto.'!AY35</f>
        <v>87845.56</v>
      </c>
      <c r="AZ22" s="15">
        <f>'Endett. net + degré d''auto.'!AZ35</f>
        <v>381830.6</v>
      </c>
      <c r="BA22" s="15">
        <f>'Endett. net + degré d''auto.'!BA35</f>
        <v>44166.130000000005</v>
      </c>
      <c r="BB22" s="15">
        <f>'Endett. net + degré d''auto.'!BB35</f>
        <v>796357</v>
      </c>
      <c r="BC22" s="15">
        <f>'Endett. net + degré d''auto.'!BC35</f>
        <v>27300.52</v>
      </c>
      <c r="BD22" s="15">
        <f>'Endett. net + degré d''auto.'!BD35</f>
        <v>3262627.7</v>
      </c>
      <c r="BE22" s="15">
        <f>'Endett. net + degré d''auto.'!BE35</f>
        <v>100343.52000000002</v>
      </c>
      <c r="BF22" s="15">
        <f t="shared" si="0"/>
        <v>11592824.899999997</v>
      </c>
      <c r="BG22" s="15">
        <f t="shared" si="1"/>
        <v>7400721.5899999999</v>
      </c>
      <c r="BH22" s="15">
        <f t="shared" si="2"/>
        <v>11459326.52</v>
      </c>
    </row>
    <row r="23" spans="1:60" ht="14.4" thickBot="1" x14ac:dyDescent="0.3">
      <c r="D23" s="163"/>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row>
    <row r="24" spans="1:60" ht="14.4" thickBot="1" x14ac:dyDescent="0.3">
      <c r="A24" s="7" t="s">
        <v>564</v>
      </c>
      <c r="D24" s="162">
        <f>'Endett. net + degré d''auto.'!D42</f>
        <v>67.194329389240536</v>
      </c>
      <c r="E24" s="15">
        <f>'Endett. net + degré d''auto.'!E42</f>
        <v>21.312569445679369</v>
      </c>
      <c r="F24" s="15">
        <f>'Endett. net + degré d''auto.'!F42</f>
        <v>-563.87537188002761</v>
      </c>
      <c r="G24" s="15">
        <f>'Endett. net + degré d''auto.'!G42</f>
        <v>203.28533679785812</v>
      </c>
      <c r="H24" s="15">
        <f>'Endett. net + degré d''auto.'!H42</f>
        <v>-29.030676000647748</v>
      </c>
      <c r="I24" s="15">
        <f>'Endett. net + degré d''auto.'!I42</f>
        <v>61.208832186463255</v>
      </c>
      <c r="J24" s="15">
        <f>'Endett. net + degré d''auto.'!J42</f>
        <v>73.501914710136631</v>
      </c>
      <c r="K24" s="15">
        <f>'Endett. net + degré d''auto.'!K42</f>
        <v>192.09903418549607</v>
      </c>
      <c r="L24" s="15">
        <f>'Endett. net + degré d''auto.'!L42</f>
        <v>22.649256583754063</v>
      </c>
      <c r="M24" s="15">
        <f>'Endett. net + degré d''auto.'!M42</f>
        <v>-10.506847950425319</v>
      </c>
      <c r="N24" s="15">
        <f>'Endett. net + degré d''auto.'!N42</f>
        <v>181.49838554319052</v>
      </c>
      <c r="O24" s="15">
        <f>'Endett. net + degré d''auto.'!O42</f>
        <v>62.174089402804732</v>
      </c>
      <c r="P24" s="15">
        <f>'Endett. net + degré d''auto.'!P42</f>
        <v>-5.1249294950926139</v>
      </c>
      <c r="Q24" s="15">
        <f>'Endett. net + degré d''auto.'!Q42</f>
        <v>1826.136690811873</v>
      </c>
      <c r="R24" s="15">
        <f>'Endett. net + degré d''auto.'!R42</f>
        <v>125.8659849698395</v>
      </c>
      <c r="S24" s="15">
        <f>'Endett. net + degré d''auto.'!S42</f>
        <v>-1.2176458554437644</v>
      </c>
      <c r="T24" s="15">
        <f>'Endett. net + degré d''auto.'!T42</f>
        <v>224.59283943831824</v>
      </c>
      <c r="U24" s="15">
        <f>'Endett. net + degré d''auto.'!U42</f>
        <v>-40.809347000664729</v>
      </c>
      <c r="V24" s="15">
        <f>'Endett. net + degré d''auto.'!V42</f>
        <v>170.60084238600143</v>
      </c>
      <c r="W24" s="15">
        <f>'Endett. net + degré d''auto.'!W42</f>
        <v>76.027378875791925</v>
      </c>
      <c r="X24" s="15">
        <f>'Endett. net + degré d''auto.'!X42</f>
        <v>30.910992823565376</v>
      </c>
      <c r="Y24" s="15">
        <f>'Endett. net + degré d''auto.'!Y42</f>
        <v>239.09338194431641</v>
      </c>
      <c r="Z24" s="15">
        <f>'Endett. net + degré d''auto.'!Z42</f>
        <v>1295.8320947748555</v>
      </c>
      <c r="AA24" s="15">
        <f>'Endett. net + degré d''auto.'!AA42</f>
        <v>-1.6267644256117393</v>
      </c>
      <c r="AB24" s="15">
        <f>'Endett. net + degré d''auto.'!AB42</f>
        <v>42.270596699479249</v>
      </c>
      <c r="AC24" s="15">
        <f>'Endett. net + degré d''auto.'!AC42</f>
        <v>37.348494495900638</v>
      </c>
      <c r="AD24" s="15">
        <f>'Endett. net + degré d''auto.'!AD42</f>
        <v>18.391310523541478</v>
      </c>
      <c r="AE24" s="15">
        <f>'Endett. net + degré d''auto.'!AE42</f>
        <v>-24.766668985772284</v>
      </c>
      <c r="AF24" s="15">
        <f>'Endett. net + degré d''auto.'!AF42</f>
        <v>-19.918783322778165</v>
      </c>
      <c r="AG24" s="15">
        <f>'Endett. net + degré d''auto.'!AG42</f>
        <v>147.00305826583187</v>
      </c>
      <c r="AH24" s="15">
        <f>'Endett. net + degré d''auto.'!AH42</f>
        <v>277.27918916559065</v>
      </c>
      <c r="AI24" s="15">
        <f>'Endett. net + degré d''auto.'!AI42</f>
        <v>539.54630945164683</v>
      </c>
      <c r="AJ24" s="15">
        <f>'Endett. net + degré d''auto.'!AJ42</f>
        <v>229.44264987728982</v>
      </c>
      <c r="AK24" s="15">
        <f>'Endett. net + degré d''auto.'!AK42</f>
        <v>525.89147782045325</v>
      </c>
      <c r="AL24" s="15">
        <f>'Endett. net + degré d''auto.'!AL42</f>
        <v>295.26438460629629</v>
      </c>
      <c r="AM24" s="15">
        <f>'Endett. net + degré d''auto.'!AM42</f>
        <v>62.472854951036993</v>
      </c>
      <c r="AN24" s="15">
        <f>'Endett. net + degré d''auto.'!AN42</f>
        <v>207.3510543586091</v>
      </c>
      <c r="AO24" s="15">
        <f>'Endett. net + degré d''auto.'!AO42</f>
        <v>191.45490523694127</v>
      </c>
      <c r="AP24" s="15">
        <f>'Endett. net + degré d''auto.'!AP42</f>
        <v>24.877011658874139</v>
      </c>
      <c r="AQ24" s="15">
        <f>'Endett. net + degré d''auto.'!AQ42</f>
        <v>-0.89305593244195847</v>
      </c>
      <c r="AR24" s="15">
        <f>'Endett. net + degré d''auto.'!AR42</f>
        <v>31.922465753648044</v>
      </c>
      <c r="AS24" s="15">
        <f>'Endett. net + degré d''auto.'!AS42</f>
        <v>475.11415868393402</v>
      </c>
      <c r="AT24" s="15">
        <f>'Endett. net + degré d''auto.'!AT42</f>
        <v>25.042181311630234</v>
      </c>
      <c r="AU24" s="15">
        <f>'Endett. net + degré d''auto.'!AU42</f>
        <v>-154.43878152510661</v>
      </c>
      <c r="AV24" s="15">
        <f>'Endett. net + degré d''auto.'!AV42</f>
        <v>43.296409636304261</v>
      </c>
      <c r="AW24" s="15">
        <f>'Endett. net + degré d''auto.'!AW42</f>
        <v>113.54476500245332</v>
      </c>
      <c r="AX24" s="15" t="e">
        <f>'Endett. net + degré d''auto.'!AX42</f>
        <v>#VALUE!</v>
      </c>
      <c r="AY24" s="15">
        <f>'Endett. net + degré d''auto.'!AY42</f>
        <v>103.85434357131582</v>
      </c>
      <c r="AZ24" s="15">
        <f>'Endett. net + degré d''auto.'!AZ42</f>
        <v>144.42016621739126</v>
      </c>
      <c r="BA24" s="15">
        <f>'Endett. net + degré d''auto.'!BA42</f>
        <v>4.3823222921746385</v>
      </c>
      <c r="BB24" s="15">
        <f>'Endett. net + degré d''auto.'!BB42</f>
        <v>95.045990170420197</v>
      </c>
      <c r="BC24" s="15">
        <f>'Endett. net + degré d''auto.'!BC42</f>
        <v>10.256202959252656</v>
      </c>
      <c r="BD24" s="15">
        <f>'Endett. net + degré d''auto.'!BD42</f>
        <v>56.743736613665554</v>
      </c>
      <c r="BE24" s="15">
        <f>'Endett. net + degré d''auto.'!BE42</f>
        <v>-358.9966763383195</v>
      </c>
      <c r="BF24" s="15">
        <f t="shared" si="0"/>
        <v>2590.388337154905</v>
      </c>
      <c r="BG24" s="15">
        <f t="shared" si="1"/>
        <v>2810.8058612878558</v>
      </c>
      <c r="BH24" s="15" t="e">
        <f t="shared" si="2"/>
        <v>#VALUE!</v>
      </c>
    </row>
    <row r="25" spans="1:60" x14ac:dyDescent="0.25">
      <c r="D25" s="163"/>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row>
    <row r="26" spans="1:60" ht="14.4" thickBot="1" x14ac:dyDescent="0.3">
      <c r="D26" s="163"/>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row>
    <row r="27" spans="1:60" ht="14.4" thickBot="1" x14ac:dyDescent="0.3">
      <c r="A27" s="6" t="s">
        <v>565</v>
      </c>
      <c r="D27" s="162">
        <f>'Quotité d''intéret + revenus det'!D19</f>
        <v>0.91031203330682231</v>
      </c>
      <c r="E27" s="15">
        <f>'Quotité d''intéret + revenus det'!E19</f>
        <v>1.2908947330016323</v>
      </c>
      <c r="F27" s="15">
        <f>'Quotité d''intéret + revenus det'!F19</f>
        <v>2.3957581975040663</v>
      </c>
      <c r="G27" s="15">
        <f>'Quotité d''intéret + revenus det'!G19</f>
        <v>2.4147212680793815</v>
      </c>
      <c r="H27" s="15">
        <f>'Quotité d''intéret + revenus det'!H19</f>
        <v>2.6231659800971761</v>
      </c>
      <c r="I27" s="15">
        <f>'Quotité d''intéret + revenus det'!I19</f>
        <v>1.7190633935252566</v>
      </c>
      <c r="J27" s="15">
        <f>'Quotité d''intéret + revenus det'!J19</f>
        <v>0.76443847958288491</v>
      </c>
      <c r="K27" s="15">
        <f>'Quotité d''intéret + revenus det'!K19</f>
        <v>0.7893764757558861</v>
      </c>
      <c r="L27" s="15">
        <f>'Quotité d''intéret + revenus det'!L19</f>
        <v>0.88530526966770251</v>
      </c>
      <c r="M27" s="15">
        <f>'Quotité d''intéret + revenus det'!M19</f>
        <v>0.10082281196327897</v>
      </c>
      <c r="N27" s="15">
        <f>'Quotité d''intéret + revenus det'!N19</f>
        <v>1.0311858785160979</v>
      </c>
      <c r="O27" s="15">
        <f>'Quotité d''intéret + revenus det'!O19</f>
        <v>0.31966240251223749</v>
      </c>
      <c r="P27" s="15">
        <f>'Quotité d''intéret + revenus det'!P19</f>
        <v>2.170171703069586</v>
      </c>
      <c r="Q27" s="15">
        <f>'Quotité d''intéret + revenus det'!Q19</f>
        <v>1.1791159550166586</v>
      </c>
      <c r="R27" s="15">
        <f>'Quotité d''intéret + revenus det'!R19</f>
        <v>3.6427835964789845</v>
      </c>
      <c r="S27" s="15">
        <f>'Quotité d''intéret + revenus det'!S19</f>
        <v>4.5308051941676544</v>
      </c>
      <c r="T27" s="15">
        <f>'Quotité d''intéret + revenus det'!T19</f>
        <v>0.7248233460208231</v>
      </c>
      <c r="U27" s="15">
        <f>'Quotité d''intéret + revenus det'!U19</f>
        <v>-2.1163097292421044E-2</v>
      </c>
      <c r="V27" s="15">
        <f>'Quotité d''intéret + revenus det'!V19</f>
        <v>0.94495450904468414</v>
      </c>
      <c r="W27" s="15">
        <f>'Quotité d''intéret + revenus det'!W19</f>
        <v>0.54958071436815803</v>
      </c>
      <c r="X27" s="15">
        <f>'Quotité d''intéret + revenus det'!X19</f>
        <v>0.16399454868450139</v>
      </c>
      <c r="Y27" s="15">
        <f>'Quotité d''intéret + revenus det'!Y19</f>
        <v>1.7794608368789897</v>
      </c>
      <c r="Z27" s="15">
        <f>'Quotité d''intéret + revenus det'!Z19</f>
        <v>-0.23254188116699001</v>
      </c>
      <c r="AA27" s="15">
        <f>'Quotité d''intéret + revenus det'!AA19</f>
        <v>4.7993012675389242</v>
      </c>
      <c r="AB27" s="15">
        <f>'Quotité d''intéret + revenus det'!AB19</f>
        <v>9.7359395104121602E-2</v>
      </c>
      <c r="AC27" s="15">
        <f>'Quotité d''intéret + revenus det'!AC19</f>
        <v>2.1434124801845176</v>
      </c>
      <c r="AD27" s="15">
        <f>'Quotité d''intéret + revenus det'!AD19</f>
        <v>2.485231191684159</v>
      </c>
      <c r="AE27" s="15">
        <f>'Quotité d''intéret + revenus det'!AE19</f>
        <v>0.78396926528344524</v>
      </c>
      <c r="AF27" s="15">
        <f>'Quotité d''intéret + revenus det'!AF19</f>
        <v>0.5218519483662809</v>
      </c>
      <c r="AG27" s="15">
        <f>'Quotité d''intéret + revenus det'!AG19</f>
        <v>0.15040278486034397</v>
      </c>
      <c r="AH27" s="15">
        <f>'Quotité d''intéret + revenus det'!AH19</f>
        <v>0.65591413875337634</v>
      </c>
      <c r="AI27" s="15">
        <f>'Quotité d''intéret + revenus det'!AI19</f>
        <v>0</v>
      </c>
      <c r="AJ27" s="15">
        <f>'Quotité d''intéret + revenus det'!AJ19</f>
        <v>0.22696931685952693</v>
      </c>
      <c r="AK27" s="15">
        <f>'Quotité d''intéret + revenus det'!AK19</f>
        <v>1.2161204573964297</v>
      </c>
      <c r="AL27" s="15">
        <f>'Quotité d''intéret + revenus det'!AL19</f>
        <v>0.73233921445521977</v>
      </c>
      <c r="AM27" s="15">
        <f>'Quotité d''intéret + revenus det'!AM19</f>
        <v>1.6572495346730565</v>
      </c>
      <c r="AN27" s="15">
        <f>'Quotité d''intéret + revenus det'!AN19</f>
        <v>2.135498718440243</v>
      </c>
      <c r="AO27" s="15">
        <f>'Quotité d''intéret + revenus det'!AO19</f>
        <v>0.38550404004778838</v>
      </c>
      <c r="AP27" s="15">
        <f>'Quotité d''intéret + revenus det'!AP19</f>
        <v>0.85546659803510794</v>
      </c>
      <c r="AQ27" s="15">
        <f>'Quotité d''intéret + revenus det'!AQ19</f>
        <v>1.712110582590523</v>
      </c>
      <c r="AR27" s="15">
        <f>'Quotité d''intéret + revenus det'!AR19</f>
        <v>1.3518655734755585</v>
      </c>
      <c r="AS27" s="15">
        <f>'Quotité d''intéret + revenus det'!AS19</f>
        <v>-0.78431147668285472</v>
      </c>
      <c r="AT27" s="15">
        <f>'Quotité d''intéret + revenus det'!AT19</f>
        <v>2.8818919309803337</v>
      </c>
      <c r="AU27" s="15">
        <f>'Quotité d''intéret + revenus det'!AU19</f>
        <v>0.84733302378090547</v>
      </c>
      <c r="AV27" s="15">
        <f>'Quotité d''intéret + revenus det'!AV19</f>
        <v>1.726060413713872</v>
      </c>
      <c r="AW27" s="15">
        <f>'Quotité d''intéret + revenus det'!AW19</f>
        <v>1.3645842236170864</v>
      </c>
      <c r="AX27" s="15">
        <f>'Quotité d''intéret + revenus det'!AX19</f>
        <v>0.41841489508779939</v>
      </c>
      <c r="AY27" s="15">
        <f>'Quotité d''intéret + revenus det'!AY19</f>
        <v>0.33609679263040981</v>
      </c>
      <c r="AZ27" s="15">
        <f>'Quotité d''intéret + revenus det'!AZ19</f>
        <v>4.6681898119600937</v>
      </c>
      <c r="BA27" s="15">
        <f>'Quotité d''intéret + revenus det'!BA19</f>
        <v>0.44423200930526824</v>
      </c>
      <c r="BB27" s="15">
        <f>'Quotité d''intéret + revenus det'!BB19</f>
        <v>0.41263999505168164</v>
      </c>
      <c r="BC27" s="15">
        <f>'Quotité d''intéret + revenus det'!BC19</f>
        <v>-1.4027129665756275</v>
      </c>
      <c r="BD27" s="15">
        <f>'Quotité d''intéret + revenus det'!BD19</f>
        <v>0.94454284375961817</v>
      </c>
      <c r="BE27" s="15">
        <f>'Quotité d''intéret + revenus det'!BE19</f>
        <v>-0.46170322406799336</v>
      </c>
      <c r="BF27" s="15">
        <f t="shared" si="0"/>
        <v>28.055466811079732</v>
      </c>
      <c r="BG27" s="15">
        <f t="shared" si="1"/>
        <v>13.575325293031197</v>
      </c>
      <c r="BH27" s="15">
        <f t="shared" si="2"/>
        <v>21.441412991674515</v>
      </c>
    </row>
    <row r="28" spans="1:60" ht="14.4" thickBot="1" x14ac:dyDescent="0.3">
      <c r="D28" s="163"/>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row>
    <row r="29" spans="1:60" ht="14.4" thickBot="1" x14ac:dyDescent="0.3">
      <c r="A29" s="6" t="s">
        <v>566</v>
      </c>
      <c r="D29" s="162">
        <f>'Quotité d''intéret + revenus det'!D34</f>
        <v>162.25012579612346</v>
      </c>
      <c r="E29" s="15">
        <f>'Quotité d''intéret + revenus det'!E34</f>
        <v>392.7387334402905</v>
      </c>
      <c r="F29" s="15">
        <f>'Quotité d''intéret + revenus det'!F34</f>
        <v>232.7104452321183</v>
      </c>
      <c r="G29" s="15">
        <f>'Quotité d''intéret + revenus det'!G34</f>
        <v>277.48469582830523</v>
      </c>
      <c r="H29" s="15">
        <f>'Quotité d''intéret + revenus det'!H34</f>
        <v>221.4166941632183</v>
      </c>
      <c r="I29" s="15">
        <f>'Quotité d''intéret + revenus det'!I34</f>
        <v>159.02331703581351</v>
      </c>
      <c r="J29" s="15">
        <f>'Quotité d''intéret + revenus det'!J34</f>
        <v>163.45145336118424</v>
      </c>
      <c r="K29" s="15">
        <f>'Quotité d''intéret + revenus det'!K34</f>
        <v>87.584556901860537</v>
      </c>
      <c r="L29" s="15">
        <f>'Quotité d''intéret + revenus det'!L34</f>
        <v>164.97048895484664</v>
      </c>
      <c r="M29" s="15">
        <f>'Quotité d''intéret + revenus det'!M34</f>
        <v>98.422288210247984</v>
      </c>
      <c r="N29" s="15">
        <f>'Quotité d''intéret + revenus det'!N34</f>
        <v>210.42002648131279</v>
      </c>
      <c r="O29" s="15">
        <f>'Quotité d''intéret + revenus det'!O34</f>
        <v>159.62819613428326</v>
      </c>
      <c r="P29" s="15">
        <f>'Quotité d''intéret + revenus det'!P34</f>
        <v>241.65913047673038</v>
      </c>
      <c r="Q29" s="15">
        <f>'Quotité d''intéret + revenus det'!Q34</f>
        <v>110.97438161325479</v>
      </c>
      <c r="R29" s="15">
        <f>'Quotité d''intéret + revenus det'!R34</f>
        <v>298.69165457733391</v>
      </c>
      <c r="S29" s="15">
        <f>'Quotité d''intéret + revenus det'!S34</f>
        <v>289.88950160619493</v>
      </c>
      <c r="T29" s="15">
        <f>'Quotité d''intéret + revenus det'!T34</f>
        <v>151.93619764148482</v>
      </c>
      <c r="U29" s="15">
        <f>'Quotité d''intéret + revenus det'!U34</f>
        <v>133.59819995884524</v>
      </c>
      <c r="V29" s="15">
        <f>'Quotité d''intéret + revenus det'!V34</f>
        <v>155.8090812588531</v>
      </c>
      <c r="W29" s="15">
        <f>'Quotité d''intéret + revenus det'!W34</f>
        <v>125.53878746554095</v>
      </c>
      <c r="X29" s="15">
        <f>'Quotité d''intéret + revenus det'!X34</f>
        <v>24.946947699850689</v>
      </c>
      <c r="Y29" s="15">
        <f>'Quotité d''intéret + revenus det'!Y34</f>
        <v>197.90201069046759</v>
      </c>
      <c r="Z29" s="15">
        <f>'Quotité d''intéret + revenus det'!Z34</f>
        <v>49.624278342064876</v>
      </c>
      <c r="AA29" s="15">
        <f>'Quotité d''intéret + revenus det'!AA34</f>
        <v>1972.0462692987905</v>
      </c>
      <c r="AB29" s="15">
        <f>'Quotité d''intéret + revenus det'!AB34</f>
        <v>141.45408031636822</v>
      </c>
      <c r="AC29" s="15">
        <f>'Quotité d''intéret + revenus det'!AC34</f>
        <v>175.62243412339194</v>
      </c>
      <c r="AD29" s="15">
        <f>'Quotité d''intéret + revenus det'!AD34</f>
        <v>403.30637826951914</v>
      </c>
      <c r="AE29" s="15">
        <f>'Quotité d''intéret + revenus det'!AE34</f>
        <v>143.14501755376847</v>
      </c>
      <c r="AF29" s="15">
        <f>'Quotité d''intéret + revenus det'!AF34</f>
        <v>34.35823621876051</v>
      </c>
      <c r="AG29" s="15">
        <f>'Quotité d''intéret + revenus det'!AG34</f>
        <v>54.892133298098521</v>
      </c>
      <c r="AH29" s="15">
        <f>'Quotité d''intéret + revenus det'!AH34</f>
        <v>129.97080593555052</v>
      </c>
      <c r="AI29" s="15">
        <f>'Quotité d''intéret + revenus det'!AI34</f>
        <v>199.19019422221399</v>
      </c>
      <c r="AJ29" s="15">
        <f>'Quotité d''intéret + revenus det'!AJ34</f>
        <v>85.532621551484709</v>
      </c>
      <c r="AK29" s="15">
        <f>'Quotité d''intéret + revenus det'!AK34</f>
        <v>204.00661656302569</v>
      </c>
      <c r="AL29" s="15">
        <f>'Quotité d''intéret + revenus det'!AL34</f>
        <v>175.59639370457973</v>
      </c>
      <c r="AM29" s="15">
        <f>'Quotité d''intéret + revenus det'!AM34</f>
        <v>224.19473000016654</v>
      </c>
      <c r="AN29" s="15">
        <f>'Quotité d''intéret + revenus det'!AN34</f>
        <v>234.38130641722447</v>
      </c>
      <c r="AO29" s="15">
        <f>'Quotité d''intéret + revenus det'!AO34</f>
        <v>88.995317974666392</v>
      </c>
      <c r="AP29" s="15">
        <f>'Quotité d''intéret + revenus det'!AP34</f>
        <v>147.06948719802685</v>
      </c>
      <c r="AQ29" s="15">
        <f>'Quotité d''intéret + revenus det'!AQ34</f>
        <v>205.29305893229554</v>
      </c>
      <c r="AR29" s="15">
        <f>'Quotité d''intéret + revenus det'!AR34</f>
        <v>346.19911857575312</v>
      </c>
      <c r="AS29" s="15">
        <f>'Quotité d''intéret + revenus det'!AS34</f>
        <v>180.83473680228266</v>
      </c>
      <c r="AT29" s="15">
        <f>'Quotité d''intéret + revenus det'!AT34</f>
        <v>385.56609443864716</v>
      </c>
      <c r="AU29" s="15">
        <f>'Quotité d''intéret + revenus det'!AU34</f>
        <v>126.63478514430193</v>
      </c>
      <c r="AV29" s="15">
        <f>'Quotité d''intéret + revenus det'!AV34</f>
        <v>201.93961340533889</v>
      </c>
      <c r="AW29" s="15">
        <f>'Quotité d''intéret + revenus det'!AW34</f>
        <v>182.99912571510191</v>
      </c>
      <c r="AX29" s="15">
        <f>'Quotité d''intéret + revenus det'!AX34</f>
        <v>91.39542993125589</v>
      </c>
      <c r="AY29" s="15">
        <f>'Quotité d''intéret + revenus det'!AY34</f>
        <v>152.63224735592763</v>
      </c>
      <c r="AZ29" s="15">
        <f>'Quotité d''intéret + revenus det'!AZ34</f>
        <v>417.54497413121766</v>
      </c>
      <c r="BA29" s="15">
        <f>'Quotité d''intéret + revenus det'!BA34</f>
        <v>187.15514261231476</v>
      </c>
      <c r="BB29" s="15">
        <f>'Quotité d''intéret + revenus det'!BB34</f>
        <v>183.79819063665224</v>
      </c>
      <c r="BC29" s="15">
        <f>'Quotité d''intéret + revenus det'!BC34</f>
        <v>37.065938353492001</v>
      </c>
      <c r="BD29" s="15">
        <f>'Quotité d''intéret + revenus det'!BD34</f>
        <v>165.04217999036379</v>
      </c>
      <c r="BE29" s="15">
        <f>'Quotité d''intéret + revenus det'!BE34</f>
        <v>154.22290872215154</v>
      </c>
      <c r="BF29" s="15">
        <f t="shared" si="0"/>
        <v>3675.9478303417191</v>
      </c>
      <c r="BG29" s="15">
        <f t="shared" si="1"/>
        <v>3611.9914075203292</v>
      </c>
      <c r="BH29" s="15">
        <f t="shared" si="2"/>
        <v>4092.5673966047866</v>
      </c>
    </row>
    <row r="30" spans="1:60" ht="14.4" thickBot="1" x14ac:dyDescent="0.3">
      <c r="D30" s="163"/>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row>
    <row r="31" spans="1:60" ht="14.4" thickBot="1" x14ac:dyDescent="0.3">
      <c r="A31" s="6" t="s">
        <v>525</v>
      </c>
      <c r="D31" s="162">
        <f>'Quotité d''invest + fin.'!D20</f>
        <v>13.797218046769338</v>
      </c>
      <c r="E31" s="15">
        <f>'Quotité d''invest + fin.'!E20</f>
        <v>9.7505448655740743</v>
      </c>
      <c r="F31" s="15">
        <f>'Quotité d''invest + fin.'!F20</f>
        <v>2.6409926983838217</v>
      </c>
      <c r="G31" s="15">
        <f>'Quotité d''invest + fin.'!G20</f>
        <v>13.761586149996905</v>
      </c>
      <c r="H31" s="15">
        <f>'Quotité d''invest + fin.'!H20</f>
        <v>3.2902520228469214</v>
      </c>
      <c r="I31" s="15">
        <f>'Quotité d''invest + fin.'!I20</f>
        <v>14.037696959038893</v>
      </c>
      <c r="J31" s="15">
        <f>'Quotité d''invest + fin.'!J20</f>
        <v>14.573239071511567</v>
      </c>
      <c r="K31" s="15">
        <f>'Quotité d''invest + fin.'!K20</f>
        <v>8.8800887335648948</v>
      </c>
      <c r="L31" s="15">
        <f>'Quotité d''invest + fin.'!L20</f>
        <v>10.884123751597309</v>
      </c>
      <c r="M31" s="15">
        <f>'Quotité d''invest + fin.'!M20</f>
        <v>20.801080816594002</v>
      </c>
      <c r="N31" s="15">
        <f>'Quotité d''invest + fin.'!N20</f>
        <v>9.5379508762045848</v>
      </c>
      <c r="O31" s="15">
        <f>'Quotité d''invest + fin.'!O20</f>
        <v>18.014278705230616</v>
      </c>
      <c r="P31" s="15">
        <f>'Quotité d''invest + fin.'!P20</f>
        <v>2.6780980111174268</v>
      </c>
      <c r="Q31" s="15">
        <f>'Quotité d''invest + fin.'!Q20</f>
        <v>0.56394673800567774</v>
      </c>
      <c r="R31" s="15">
        <f>'Quotité d''invest + fin.'!R20</f>
        <v>2.8342129746356326</v>
      </c>
      <c r="S31" s="15">
        <f>'Quotité d''invest + fin.'!S20</f>
        <v>1.5481099297879436E-2</v>
      </c>
      <c r="T31" s="15">
        <f>'Quotité d''invest + fin.'!T20</f>
        <v>6.4838959858789149</v>
      </c>
      <c r="U31" s="15">
        <f>'Quotité d''invest + fin.'!U20</f>
        <v>10.490281425874342</v>
      </c>
      <c r="V31" s="15">
        <f>'Quotité d''invest + fin.'!V20</f>
        <v>2.9805417210258622</v>
      </c>
      <c r="W31" s="15">
        <f>'Quotité d''invest + fin.'!W20</f>
        <v>31.875328997529813</v>
      </c>
      <c r="X31" s="15">
        <f>'Quotité d''invest + fin.'!X20</f>
        <v>19.657985500322585</v>
      </c>
      <c r="Y31" s="15">
        <f>'Quotité d''invest + fin.'!Y20</f>
        <v>8.9501730862460995</v>
      </c>
      <c r="Z31" s="15">
        <f>'Quotité d''invest + fin.'!Z20</f>
        <v>3.0131895696140614</v>
      </c>
      <c r="AA31" s="15">
        <f>'Quotité d''invest + fin.'!AA20</f>
        <v>45.08929285474651</v>
      </c>
      <c r="AB31" s="15">
        <f>'Quotité d''invest + fin.'!AB20</f>
        <v>20.216477427538667</v>
      </c>
      <c r="AC31" s="15">
        <f>'Quotité d''invest + fin.'!AC20</f>
        <v>12.888613291764942</v>
      </c>
      <c r="AD31" s="15">
        <f>'Quotité d''invest + fin.'!AD20</f>
        <v>31.350452333907313</v>
      </c>
      <c r="AE31" s="15">
        <f>'Quotité d''invest + fin.'!AE20</f>
        <v>15.234422335761611</v>
      </c>
      <c r="AF31" s="15">
        <f>'Quotité d''invest + fin.'!AF20</f>
        <v>17.520917825459151</v>
      </c>
      <c r="AG31" s="15">
        <f>'Quotité d''invest + fin.'!AG20</f>
        <v>9.2362019144342415</v>
      </c>
      <c r="AH31" s="15">
        <f>'Quotité d''invest + fin.'!AH20</f>
        <v>9.8531892006598252</v>
      </c>
      <c r="AI31" s="15">
        <f>'Quotité d''invest + fin.'!AI20</f>
        <v>2.6525193275794221</v>
      </c>
      <c r="AJ31" s="15">
        <f>'Quotité d''invest + fin.'!AJ20</f>
        <v>9.6505496065659813</v>
      </c>
      <c r="AK31" s="15">
        <f>'Quotité d''invest + fin.'!AK20</f>
        <v>9.1129531845786609</v>
      </c>
      <c r="AL31" s="15">
        <f>'Quotité d''invest + fin.'!AL20</f>
        <v>4.9168180373904686</v>
      </c>
      <c r="AM31" s="15">
        <f>'Quotité d''invest + fin.'!AM20</f>
        <v>8.6138659825377086</v>
      </c>
      <c r="AN31" s="15">
        <f>'Quotité d''invest + fin.'!AN20</f>
        <v>3.7911921713487318</v>
      </c>
      <c r="AO31" s="15">
        <f>'Quotité d''invest + fin.'!AO20</f>
        <v>16.989752983552982</v>
      </c>
      <c r="AP31" s="15">
        <f>'Quotité d''invest + fin.'!AP20</f>
        <v>8.7252971318021508</v>
      </c>
      <c r="AQ31" s="15">
        <f>'Quotité d''invest + fin.'!AQ20</f>
        <v>32.767007602816065</v>
      </c>
      <c r="AR31" s="15">
        <f>'Quotité d''invest + fin.'!AR20</f>
        <v>24.340325405076214</v>
      </c>
      <c r="AS31" s="15">
        <f>'Quotité d''invest + fin.'!AS20</f>
        <v>4.850430935298113</v>
      </c>
      <c r="AT31" s="15">
        <f>'Quotité d''invest + fin.'!AT20</f>
        <v>20.525497916217624</v>
      </c>
      <c r="AU31" s="15">
        <f>'Quotité d''invest + fin.'!AU20</f>
        <v>9.8575234649209005</v>
      </c>
      <c r="AV31" s="15">
        <f>'Quotité d''invest + fin.'!AV20</f>
        <v>18.773109541245287</v>
      </c>
      <c r="AW31" s="15">
        <f>'Quotité d''invest + fin.'!AW20</f>
        <v>10.663471999836215</v>
      </c>
      <c r="AX31" s="15">
        <f>'Quotité d''invest + fin.'!AX20</f>
        <v>0</v>
      </c>
      <c r="AY31" s="15">
        <f>'Quotité d''invest + fin.'!AY20</f>
        <v>6.6839111941864813</v>
      </c>
      <c r="AZ31" s="15">
        <f>'Quotité d''invest + fin.'!AZ20</f>
        <v>4.1141123088221283</v>
      </c>
      <c r="BA31" s="15">
        <f>'Quotité d''invest + fin.'!BA20</f>
        <v>45.174978113451843</v>
      </c>
      <c r="BB31" s="15">
        <f>'Quotité d''invest + fin.'!BB20</f>
        <v>15.66599431857715</v>
      </c>
      <c r="BC31" s="15">
        <f>'Quotité d''invest + fin.'!BC20</f>
        <v>38.121427791512389</v>
      </c>
      <c r="BD31" s="15">
        <f>'Quotité d''invest + fin.'!BD20</f>
        <v>15.326733637818837</v>
      </c>
      <c r="BE31" s="15">
        <f>'Quotité d''invest + fin.'!BE20</f>
        <v>1.3895599787210284</v>
      </c>
      <c r="BF31" s="15">
        <f t="shared" si="0"/>
        <v>184.09362160390913</v>
      </c>
      <c r="BG31" s="15">
        <f t="shared" si="1"/>
        <v>205.31398427460041</v>
      </c>
      <c r="BH31" s="15">
        <f t="shared" si="2"/>
        <v>300.40396369971097</v>
      </c>
    </row>
    <row r="32" spans="1:60" ht="14.4" thickBot="1" x14ac:dyDescent="0.3">
      <c r="D32" s="163"/>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row>
    <row r="33" spans="1:60" ht="14.4" thickBot="1" x14ac:dyDescent="0.3">
      <c r="A33" s="6" t="s">
        <v>567</v>
      </c>
      <c r="D33" s="162">
        <f>'Quotité d''invest + fin.'!D37</f>
        <v>7.6079357253196065</v>
      </c>
      <c r="E33" s="15">
        <f>'Quotité d''invest + fin.'!E37</f>
        <v>12.090169250054204</v>
      </c>
      <c r="F33" s="15">
        <f>'Quotité d''invest + fin.'!F37</f>
        <v>10.458213181547814</v>
      </c>
      <c r="G33" s="15">
        <f>'Quotité d''invest + fin.'!G37</f>
        <v>6.5934071665600893</v>
      </c>
      <c r="H33" s="15">
        <f>'Quotité d''invest + fin.'!H37</f>
        <v>7.5679703955082998</v>
      </c>
      <c r="I33" s="15">
        <f>'Quotité d''invest + fin.'!I37</f>
        <v>6.9762431688288107</v>
      </c>
      <c r="J33" s="15">
        <f>'Quotité d''invest + fin.'!J37</f>
        <v>8.4408921878720076</v>
      </c>
      <c r="K33" s="15">
        <f>'Quotité d''invest + fin.'!K37</f>
        <v>6.1466167209845297</v>
      </c>
      <c r="L33" s="15">
        <f>'Quotité d''invest + fin.'!L37</f>
        <v>6.7996522677849498</v>
      </c>
      <c r="M33" s="15">
        <f>'Quotité d''invest + fin.'!M37</f>
        <v>8.0913613959889901</v>
      </c>
      <c r="N33" s="15">
        <f>'Quotité d''invest + fin.'!N37</f>
        <v>12.13612651307383</v>
      </c>
      <c r="O33" s="15">
        <f>'Quotité d''invest + fin.'!O37</f>
        <v>5.4099701364197914</v>
      </c>
      <c r="P33" s="15">
        <f>'Quotité d''invest + fin.'!P37</f>
        <v>12.719036784970644</v>
      </c>
      <c r="Q33" s="15">
        <f>'Quotité d''invest + fin.'!Q37</f>
        <v>4.1411765224803627</v>
      </c>
      <c r="R33" s="15">
        <f>'Quotité d''invest + fin.'!R37</f>
        <v>11.880917840001617</v>
      </c>
      <c r="S33" s="15">
        <f>'Quotité d''invest + fin.'!S37</f>
        <v>11.924375333286504</v>
      </c>
      <c r="T33" s="15">
        <f>'Quotité d''invest + fin.'!T37</f>
        <v>5.6937620083107312</v>
      </c>
      <c r="U33" s="15">
        <f>'Quotité d''invest + fin.'!U37</f>
        <v>5.2553083374286942</v>
      </c>
      <c r="V33" s="15">
        <f>'Quotité d''invest + fin.'!V37</f>
        <v>7.1594707974857537</v>
      </c>
      <c r="W33" s="15">
        <f>'Quotité d''invest + fin.'!W37</f>
        <v>10.359433869311674</v>
      </c>
      <c r="X33" s="15">
        <f>'Quotité d''invest + fin.'!X37</f>
        <v>3.2488875573667051</v>
      </c>
      <c r="Y33" s="15">
        <f>'Quotité d''invest + fin.'!Y37</f>
        <v>7.8942286849945784</v>
      </c>
      <c r="Z33" s="15">
        <f>'Quotité d''invest + fin.'!Z37</f>
        <v>4.8078557970583979</v>
      </c>
      <c r="AA33" s="15">
        <f>'Quotité d''invest + fin.'!AA37</f>
        <v>176.47482520825093</v>
      </c>
      <c r="AB33" s="15">
        <f>'Quotité d''invest + fin.'!AB37</f>
        <v>17.779222821081234</v>
      </c>
      <c r="AC33" s="15">
        <f>'Quotité d''invest + fin.'!AC37</f>
        <v>5.716206735600788</v>
      </c>
      <c r="AD33" s="15">
        <f>'Quotité d''invest + fin.'!AD37</f>
        <v>17.455134371709075</v>
      </c>
      <c r="AE33" s="15">
        <f>'Quotité d''invest + fin.'!AE37</f>
        <v>5.6178086515451184</v>
      </c>
      <c r="AF33" s="15">
        <f>'Quotité d''invest + fin.'!AF37</f>
        <v>4.1314701003073626</v>
      </c>
      <c r="AG33" s="15">
        <f>'Quotité d''invest + fin.'!AG37</f>
        <v>6.298659082084761</v>
      </c>
      <c r="AH33" s="15">
        <f>'Quotité d''invest + fin.'!AH37</f>
        <v>6.8957561693522447</v>
      </c>
      <c r="AI33" s="15">
        <f>'Quotité d''invest + fin.'!AI37</f>
        <v>7.7832433067894238</v>
      </c>
      <c r="AJ33" s="15">
        <f>'Quotité d''invest + fin.'!AJ37</f>
        <v>15.882005121179601</v>
      </c>
      <c r="AK33" s="15">
        <f>'Quotité d''invest + fin.'!AK37</f>
        <v>6.1239366804620579</v>
      </c>
      <c r="AL33" s="15">
        <f>'Quotité d''invest + fin.'!AL37</f>
        <v>7.8313848935473498</v>
      </c>
      <c r="AM33" s="15">
        <f>'Quotité d''invest + fin.'!AM37</f>
        <v>6.8992009712753823</v>
      </c>
      <c r="AN33" s="15">
        <f>'Quotité d''invest + fin.'!AN37</f>
        <v>9.3024536303528311</v>
      </c>
      <c r="AO33" s="15">
        <f>'Quotité d''invest + fin.'!AO37</f>
        <v>6.4204969564339951</v>
      </c>
      <c r="AP33" s="15">
        <f>'Quotité d''invest + fin.'!AP37</f>
        <v>3.9793013373771307</v>
      </c>
      <c r="AQ33" s="15">
        <f>'Quotité d''invest + fin.'!AQ37</f>
        <v>11.509149096369146</v>
      </c>
      <c r="AR33" s="15">
        <f>'Quotité d''invest + fin.'!AR37</f>
        <v>33.621762120609198</v>
      </c>
      <c r="AS33" s="15">
        <f>'Quotité d''invest + fin.'!AS37</f>
        <v>4.7598571960487996</v>
      </c>
      <c r="AT33" s="15">
        <f>'Quotité d''invest + fin.'!AT37</f>
        <v>13.542110401458638</v>
      </c>
      <c r="AU33" s="15">
        <f>'Quotité d''invest + fin.'!AU37</f>
        <v>9.5412780842093738</v>
      </c>
      <c r="AV33" s="15">
        <f>'Quotité d''invest + fin.'!AV37</f>
        <v>14.347384836368896</v>
      </c>
      <c r="AW33" s="15">
        <f>'Quotité d''invest + fin.'!AW37</f>
        <v>4.8858879648944411</v>
      </c>
      <c r="AX33" s="15">
        <f>'Quotité d''invest + fin.'!AX37</f>
        <v>4.8595574697416852</v>
      </c>
      <c r="AY33" s="15">
        <f>'Quotité d''invest + fin.'!AY37</f>
        <v>13.756188855842369</v>
      </c>
      <c r="AZ33" s="15">
        <f>'Quotité d''invest + fin.'!AZ37</f>
        <v>17.412238997378605</v>
      </c>
      <c r="BA33" s="15">
        <f>'Quotité d''invest + fin.'!BA37</f>
        <v>3.3330783641217478</v>
      </c>
      <c r="BB33" s="15">
        <f>'Quotité d''invest + fin.'!BB37</f>
        <v>7.0188298302915069</v>
      </c>
      <c r="BC33" s="15">
        <f>'Quotité d''invest + fin.'!BC37</f>
        <v>5.2249369228768359</v>
      </c>
      <c r="BD33" s="15">
        <f>'Quotité d''invest + fin.'!BD37</f>
        <v>7.8534440073206406</v>
      </c>
      <c r="BE33" s="15">
        <f>'Quotité d''invest + fin.'!BE37</f>
        <v>3.1097887579866494</v>
      </c>
      <c r="BF33" s="15">
        <f t="shared" si="0"/>
        <v>159.8441038778993</v>
      </c>
      <c r="BG33" s="15">
        <f t="shared" si="1"/>
        <v>279.98530360732025</v>
      </c>
      <c r="BH33" s="15">
        <f t="shared" si="2"/>
        <v>195.33226737496722</v>
      </c>
    </row>
    <row r="34" spans="1:60" ht="14.4" thickBot="1" x14ac:dyDescent="0.3">
      <c r="D34" s="163"/>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row>
    <row r="35" spans="1:60" ht="14.4" thickBot="1" x14ac:dyDescent="0.3">
      <c r="A35" s="6" t="s">
        <v>538</v>
      </c>
      <c r="D35" s="162">
        <f>'Quotité d''autofinancement'!D13</f>
        <v>4065.5557827117036</v>
      </c>
      <c r="E35" s="15">
        <f>'Quotité d''autofinancement'!E13</f>
        <v>4574.2561619348062</v>
      </c>
      <c r="F35" s="15">
        <f>'Quotité d''autofinancement'!F13</f>
        <v>5233.6222868217064</v>
      </c>
      <c r="G35" s="15">
        <f>'Quotité d''autofinancement'!G13</f>
        <v>4904.8819320594494</v>
      </c>
      <c r="H35" s="15">
        <f>'Quotité d''autofinancement'!H13</f>
        <v>67.076643990929284</v>
      </c>
      <c r="I35" s="15">
        <f>'Quotité d''autofinancement'!I13</f>
        <v>2874.7699403147044</v>
      </c>
      <c r="J35" s="15">
        <f>'Quotité d''autofinancement'!J13</f>
        <v>5000.8258285541815</v>
      </c>
      <c r="K35" s="15">
        <f>'Quotité d''autofinancement'!K13</f>
        <v>-161.76240015071596</v>
      </c>
      <c r="L35" s="15">
        <f>'Quotité d''autofinancement'!L13</f>
        <v>8188.4824746755312</v>
      </c>
      <c r="M35" s="15">
        <f>'Quotité d''autofinancement'!M13</f>
        <v>3027.6647573529413</v>
      </c>
      <c r="N35" s="15">
        <f>'Quotité d''autofinancement'!N13</f>
        <v>6958.3086607142841</v>
      </c>
      <c r="O35" s="15">
        <f>'Quotité d''autofinancement'!O13</f>
        <v>3974.6508020221345</v>
      </c>
      <c r="P35" s="15">
        <f>'Quotité d''autofinancement'!P13</f>
        <v>2473.1489080459769</v>
      </c>
      <c r="Q35" s="15">
        <f>'Quotité d''autofinancement'!Q13</f>
        <v>-163.71839622641588</v>
      </c>
      <c r="R35" s="15">
        <f>'Quotité d''autofinancement'!R13</f>
        <v>3865.2668705882352</v>
      </c>
      <c r="S35" s="15">
        <f>'Quotité d''autofinancement'!S13</f>
        <v>4326.068885714285</v>
      </c>
      <c r="T35" s="15">
        <f>'Quotité d''autofinancement'!T13</f>
        <v>-616.25560709413287</v>
      </c>
      <c r="U35" s="15">
        <f>'Quotité d''autofinancement'!U13</f>
        <v>1659.8028148148148</v>
      </c>
      <c r="V35" s="15">
        <f>'Quotité d''autofinancement'!V13</f>
        <v>4591.3111990407679</v>
      </c>
      <c r="W35" s="15">
        <f>'Quotité d''autofinancement'!W13</f>
        <v>3479.8464048706237</v>
      </c>
      <c r="X35" s="15">
        <f>'Quotité d''autofinancement'!X13</f>
        <v>-3555.6120779220778</v>
      </c>
      <c r="Y35" s="15">
        <f>'Quotité d''autofinancement'!Y13</f>
        <v>4534.3110969793324</v>
      </c>
      <c r="Z35" s="15">
        <f>'Quotité d''autofinancement'!Z13</f>
        <v>-9006.9305511811035</v>
      </c>
      <c r="AA35" s="15">
        <f>'Quotité d''autofinancement'!AA13</f>
        <v>1031.2936781609187</v>
      </c>
      <c r="AB35" s="15">
        <f>'Quotité d''autofinancement'!AB13</f>
        <v>-1352.72314102564</v>
      </c>
      <c r="AC35" s="15">
        <f>'Quotité d''autofinancement'!AC13</f>
        <v>2798.121333333333</v>
      </c>
      <c r="AD35" s="15">
        <f>'Quotité d''autofinancement'!AD13</f>
        <v>8131.4058014184393</v>
      </c>
      <c r="AE35" s="15">
        <f>'Quotité d''autofinancement'!AE13</f>
        <v>3649.8622686025406</v>
      </c>
      <c r="AF35" s="15">
        <f>'Quotité d''autofinancement'!AF13</f>
        <v>-4436.5897455968689</v>
      </c>
      <c r="AG35" s="15">
        <f>'Quotité d''autofinancement'!AG13</f>
        <v>-1260.6260935856999</v>
      </c>
      <c r="AH35" s="15">
        <f>'Quotité d''autofinancement'!AH13</f>
        <v>2747.4647611650485</v>
      </c>
      <c r="AI35" s="15">
        <f>'Quotité d''autofinancement'!AI13</f>
        <v>-1029.706359649123</v>
      </c>
      <c r="AJ35" s="15">
        <f>'Quotité d''autofinancement'!AJ13</f>
        <v>-9989.2212711864413</v>
      </c>
      <c r="AK35" s="15">
        <f>'Quotité d''autofinancement'!AK13</f>
        <v>6186.0512274176408</v>
      </c>
      <c r="AL35" s="15">
        <f>'Quotité d''autofinancement'!AL13</f>
        <v>3308.2047127468591</v>
      </c>
      <c r="AM35" s="15">
        <f>'Quotité d''autofinancement'!AM13</f>
        <v>5351.1572144617912</v>
      </c>
      <c r="AN35" s="15">
        <f>'Quotité d''autofinancement'!AN13</f>
        <v>7536.3705982905994</v>
      </c>
      <c r="AO35" s="15">
        <f>'Quotité d''autofinancement'!AO13</f>
        <v>-4432.7544647302893</v>
      </c>
      <c r="AP35" s="15">
        <f>'Quotité d''autofinancement'!AP13</f>
        <v>3179.1610879999994</v>
      </c>
      <c r="AQ35" s="15">
        <f>'Quotité d''autofinancement'!AQ13</f>
        <v>3666.6212361331222</v>
      </c>
      <c r="AR35" s="15">
        <f>'Quotité d''autofinancement'!AR13</f>
        <v>372.4978431372549</v>
      </c>
      <c r="AS35" s="15">
        <f>'Quotité d''autofinancement'!AS13</f>
        <v>4299.2539554317555</v>
      </c>
      <c r="AT35" s="15">
        <f>'Quotité d''autofinancement'!AT13</f>
        <v>5739.3504322200397</v>
      </c>
      <c r="AU35" s="15">
        <f>'Quotité d''autofinancement'!AU13</f>
        <v>-2508.6794197952227</v>
      </c>
      <c r="AV35" s="15">
        <f>'Quotité d''autofinancement'!AV13</f>
        <v>3569.7417453798762</v>
      </c>
      <c r="AW35" s="15">
        <f>'Quotité d''autofinancement'!AW13</f>
        <v>3511.0530661577614</v>
      </c>
      <c r="AX35" s="15">
        <f>'Quotité d''autofinancement'!AX13</f>
        <v>1073.5923913043478</v>
      </c>
      <c r="AY35" s="15">
        <f>'Quotité d''autofinancement'!AY13</f>
        <v>-469.30891891891923</v>
      </c>
      <c r="AZ35" s="15">
        <f>'Quotité d''autofinancement'!AZ13</f>
        <v>9038.4535125448019</v>
      </c>
      <c r="BA35" s="15">
        <f>'Quotité d''autofinancement'!BA13</f>
        <v>131.95230179028158</v>
      </c>
      <c r="BB35" s="15">
        <f>'Quotité d''autofinancement'!BB13</f>
        <v>5467.124524714829</v>
      </c>
      <c r="BC35" s="15">
        <f>'Quotité d''autofinancement'!BC13</f>
        <v>-1836.9855376344083</v>
      </c>
      <c r="BD35" s="15">
        <f>'Quotité d''autofinancement'!BD13</f>
        <v>7005.4984086322002</v>
      </c>
      <c r="BE35" s="15">
        <f>'Quotité d''autofinancement'!BE13</f>
        <v>3317.7912454212465</v>
      </c>
      <c r="BF35" s="15">
        <f t="shared" si="0"/>
        <v>64258.248168044105</v>
      </c>
      <c r="BG35" s="15">
        <f t="shared" si="1"/>
        <v>-7738.9503004873432</v>
      </c>
      <c r="BH35" s="15">
        <f t="shared" si="2"/>
        <v>63506.147162705565</v>
      </c>
    </row>
    <row r="36" spans="1:60" ht="14.4" thickBot="1" x14ac:dyDescent="0.3">
      <c r="A36" s="6"/>
      <c r="D36" s="163"/>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row>
    <row r="37" spans="1:60" ht="14.4" thickBot="1" x14ac:dyDescent="0.3">
      <c r="A37" s="6" t="s">
        <v>542</v>
      </c>
      <c r="D37" s="162">
        <f>'Quotité d''autofinancement'!D22</f>
        <v>8.0573059699718126</v>
      </c>
      <c r="E37" s="15">
        <f>'Quotité d''autofinancement'!E22</f>
        <v>3.0407966509345101</v>
      </c>
      <c r="F37" s="15">
        <f>'Quotité d''autofinancement'!F22</f>
        <v>-12.183150733302387</v>
      </c>
      <c r="G37" s="15">
        <f>'Quotité d''autofinancement'!G22</f>
        <v>19.170025952402607</v>
      </c>
      <c r="H37" s="15">
        <f>'Quotité d''autofinancement'!H22</f>
        <v>2.0313219790934003</v>
      </c>
      <c r="I37" s="15">
        <f>'Quotité d''autofinancement'!I22</f>
        <v>8.0951303998123496</v>
      </c>
      <c r="J37" s="15">
        <f>'Quotité d''autofinancement'!J22</f>
        <v>7.9321746910321238</v>
      </c>
      <c r="K37" s="15">
        <f>'Quotité d''autofinancement'!K22</f>
        <v>9.9945730230188303</v>
      </c>
      <c r="L37" s="15">
        <f>'Quotité d''autofinancement'!L22</f>
        <v>2.3702386781213347</v>
      </c>
      <c r="M37" s="15">
        <f>'Quotité d''autofinancement'!M22</f>
        <v>-1.2588758154834199</v>
      </c>
      <c r="N37" s="15">
        <f>'Quotité d''autofinancement'!N22</f>
        <v>16.37354316218109</v>
      </c>
      <c r="O37" s="15">
        <f>'Quotité d''autofinancement'!O22</f>
        <v>9.8008462193415742</v>
      </c>
      <c r="P37" s="15">
        <f>'Quotité d''autofinancement'!P22</f>
        <v>0.5802262393057942</v>
      </c>
      <c r="Q37" s="15">
        <f>'Quotité d''autofinancement'!Q22</f>
        <v>9.3750354860721448</v>
      </c>
      <c r="R37" s="15">
        <f>'Quotité d''autofinancement'!R22</f>
        <v>5.05434583903729</v>
      </c>
      <c r="S37" s="15">
        <f>'Quotité d''autofinancement'!S22</f>
        <v>0.18845020348629363</v>
      </c>
      <c r="T37" s="15">
        <f>'Quotité d''autofinancement'!T22</f>
        <v>9.9075050291553808</v>
      </c>
      <c r="U37" s="15">
        <f>'Quotité d''autofinancement'!U22</f>
        <v>-4.7712094980843567</v>
      </c>
      <c r="V37" s="15">
        <f>'Quotité d''autofinancement'!V22</f>
        <v>4.6636426792268741</v>
      </c>
      <c r="W37" s="15">
        <f>'Quotité d''autofinancement'!W22</f>
        <v>15.42031506423284</v>
      </c>
      <c r="X37" s="15">
        <f>'Quotité d''autofinancement'!X22</f>
        <v>5.234430222548311</v>
      </c>
      <c r="Y37" s="15">
        <f>'Quotité d''autofinancement'!Y22</f>
        <v>21.667788501275041</v>
      </c>
      <c r="Z37" s="15">
        <f>'Quotité d''autofinancement'!Z22</f>
        <v>33.86777282112444</v>
      </c>
      <c r="AA37" s="15">
        <f>'Quotité d''autofinancement'!AA22</f>
        <v>-9.6049641291264702</v>
      </c>
      <c r="AB37" s="15">
        <f>'Quotité d''autofinancement'!AB22</f>
        <v>8.1680928194760458</v>
      </c>
      <c r="AC37" s="15">
        <f>'Quotité d''autofinancement'!AC22</f>
        <v>4.3362146257838887</v>
      </c>
      <c r="AD37" s="15">
        <f>'Quotité d''autofinancement'!AD22</f>
        <v>13.40641472372652</v>
      </c>
      <c r="AE37" s="15">
        <f>'Quotité d''autofinancement'!AE22</f>
        <v>-4.63619216385709</v>
      </c>
      <c r="AF37" s="15">
        <f>'Quotité d''autofinancement'!AF22</f>
        <v>-3.8304813174237085</v>
      </c>
      <c r="AG37" s="15">
        <f>'Quotité d''autofinancement'!AG22</f>
        <v>11.630181180210785</v>
      </c>
      <c r="AH37" s="15">
        <f>'Quotité d''autofinancement'!AH22</f>
        <v>10.370444432550691</v>
      </c>
      <c r="AI37" s="15">
        <f>'Quotité d''autofinancement'!AI22</f>
        <v>13.933647652813097</v>
      </c>
      <c r="AJ37" s="15">
        <f>'Quotité d''autofinancement'!AJ22</f>
        <v>13.063969371397071</v>
      </c>
      <c r="AK37" s="15">
        <f>'Quotité d''autofinancement'!AK22</f>
        <v>16.345887786473231</v>
      </c>
      <c r="AL37" s="15">
        <f>'Quotité d''autofinancement'!AL22</f>
        <v>7.9398575288023823</v>
      </c>
      <c r="AM37" s="15">
        <f>'Quotité d''autofinancement'!AM22</f>
        <v>4.4295691149584622</v>
      </c>
      <c r="AN37" s="15">
        <f>'Quotité d''autofinancement'!AN22</f>
        <v>6.8067216968784052</v>
      </c>
      <c r="AO37" s="15">
        <f>'Quotité d''autofinancement'!AO22</f>
        <v>25.262334877633798</v>
      </c>
      <c r="AP37" s="15">
        <f>'Quotité d''autofinancement'!AP22</f>
        <v>2.2922741079788276</v>
      </c>
      <c r="AQ37" s="15">
        <f>'Quotité d''autofinancement'!AQ22</f>
        <v>-0.40795228247298865</v>
      </c>
      <c r="AR37" s="15">
        <f>'Quotité d''autofinancement'!AR22</f>
        <v>12.867216600544285</v>
      </c>
      <c r="AS37" s="15">
        <f>'Quotité d''autofinancement'!AS22</f>
        <v>11.476279212388025</v>
      </c>
      <c r="AT37" s="15">
        <f>'Quotité d''autofinancement'!AT22</f>
        <v>9.5904084123795208</v>
      </c>
      <c r="AU37" s="15">
        <f>'Quotité d''autofinancement'!AU22</f>
        <v>-12.885799330438246</v>
      </c>
      <c r="AV37" s="15">
        <f>'Quotité d''autofinancement'!AV22</f>
        <v>12.931553982741267</v>
      </c>
      <c r="AW37" s="15">
        <f>'Quotité d''autofinancement'!AW22</f>
        <v>11.305995636370103</v>
      </c>
      <c r="AX37" s="15">
        <f>'Quotité d''autofinancement'!AX22</f>
        <v>-2.1332307102690504</v>
      </c>
      <c r="AY37" s="15">
        <f>'Quotité d''autofinancement'!AY22</f>
        <v>6.6996022080777999</v>
      </c>
      <c r="AZ37" s="15">
        <f>'Quotité d''autofinancement'!AZ22</f>
        <v>8.1673514046991329</v>
      </c>
      <c r="BA37" s="15">
        <f>'Quotité d''autofinancement'!BA22</f>
        <v>2.7339168110919623</v>
      </c>
      <c r="BB37" s="15">
        <f>'Quotité d''autofinancement'!BB22</f>
        <v>13.385285072886846</v>
      </c>
      <c r="BC37" s="15">
        <f>'Quotité d''autofinancement'!BC22</f>
        <v>7.1011887111457925</v>
      </c>
      <c r="BD37" s="15">
        <f>'Quotité d''autofinancement'!BD22</f>
        <v>7.7426000857874042</v>
      </c>
      <c r="BE37" s="15">
        <f>'Quotité d''autofinancement'!BE22</f>
        <v>3.8806288806837017</v>
      </c>
      <c r="BF37" s="15">
        <f t="shared" si="0"/>
        <v>105.78493524958428</v>
      </c>
      <c r="BG37" s="15">
        <f t="shared" si="1"/>
        <v>117.60731874049861</v>
      </c>
      <c r="BH37" s="15">
        <f t="shared" si="2"/>
        <v>155.53168980834067</v>
      </c>
    </row>
    <row r="38" spans="1:60" ht="14.4" thickBot="1" x14ac:dyDescent="0.3">
      <c r="D38" s="163"/>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row>
    <row r="39" spans="1:60" ht="14.4" thickBot="1" x14ac:dyDescent="0.3">
      <c r="A39" s="6" t="s">
        <v>546</v>
      </c>
      <c r="D39" s="162">
        <f>'Quotité d''autofinancement'!D42</f>
        <v>-8.3284014092547889E-2</v>
      </c>
      <c r="E39" s="15">
        <f>'Quotité d''autofinancement'!E42</f>
        <v>-3.0691712607065502E-2</v>
      </c>
      <c r="F39" s="15">
        <f>'Quotité d''autofinancement'!F42</f>
        <v>18.52684261571547</v>
      </c>
      <c r="G39" s="15">
        <f>'Quotité d''autofinancement'!G42</f>
        <v>-12.58268480306597</v>
      </c>
      <c r="H39" s="15">
        <f>'Quotité d''autofinancement'!H42</f>
        <v>6.896900873150952</v>
      </c>
      <c r="I39" s="15">
        <f>'Quotité d''autofinancement'!I42</f>
        <v>-0.53065433818483498</v>
      </c>
      <c r="J39" s="15">
        <f>'Quotité d''autofinancement'!J42</f>
        <v>-7.881563381687097E-2</v>
      </c>
      <c r="K39" s="15">
        <f>'Quotité d''autofinancement'!K42</f>
        <v>0.35183059619100315</v>
      </c>
      <c r="L39" s="15">
        <f>'Quotité d''autofinancement'!L42</f>
        <v>1.0425414310839916</v>
      </c>
      <c r="M39" s="15">
        <f>'Quotité d''autofinancement'!M42</f>
        <v>-9.5700410687607179E-2</v>
      </c>
      <c r="N39" s="15">
        <f>'Quotité d''autofinancement'!N42</f>
        <v>-7.1580256987047148</v>
      </c>
      <c r="O39" s="15">
        <f>'Quotité d''autofinancement'!O42</f>
        <v>0.24299554384908176</v>
      </c>
      <c r="P39" s="15">
        <f>'Quotité d''autofinancement'!P42</f>
        <v>0.89521585009248261</v>
      </c>
      <c r="Q39" s="15">
        <f>'Quotité d''autofinancement'!Q42</f>
        <v>-1.0444596952281555</v>
      </c>
      <c r="R39" s="15">
        <f>'Quotité d''autofinancement'!R42</f>
        <v>12.248394674906171</v>
      </c>
      <c r="S39" s="15">
        <f>'Quotité d''autofinancement'!S42</f>
        <v>6.5709672576716631</v>
      </c>
      <c r="T39" s="15">
        <f>'Quotité d''autofinancement'!T42</f>
        <v>-0.41965263386556095</v>
      </c>
      <c r="U39" s="15">
        <f>'Quotité d''autofinancement'!U42</f>
        <v>1.0209443719198514</v>
      </c>
      <c r="V39" s="15">
        <f>'Quotité d''autofinancement'!V42</f>
        <v>0.80912645024958352</v>
      </c>
      <c r="W39" s="15">
        <f>'Quotité d''autofinancement'!W42</f>
        <v>-1.0028932668794555</v>
      </c>
      <c r="X39" s="15">
        <f>'Quotité d''autofinancement'!X42</f>
        <v>6.7212474002043221</v>
      </c>
      <c r="Y39" s="15">
        <f>'Quotité d''autofinancement'!Y42</f>
        <v>0.88879981546158193</v>
      </c>
      <c r="Z39" s="15">
        <f>'Quotité d''autofinancement'!Z42</f>
        <v>-0.2416370128795601</v>
      </c>
      <c r="AA39" s="15">
        <f>'Quotité d''autofinancement'!AA42</f>
        <v>-5.0185166098340801</v>
      </c>
      <c r="AB39" s="15">
        <f>'Quotité d''autofinancement'!AB42</f>
        <v>-4.7868068375962514</v>
      </c>
      <c r="AC39" s="15">
        <f>'Quotité d''autofinancement'!AC42</f>
        <v>1.8725209581339952</v>
      </c>
      <c r="AD39" s="15">
        <f>'Quotité d''autofinancement'!AD42</f>
        <v>-2.801917172079718</v>
      </c>
      <c r="AE39" s="15">
        <f>'Quotité d''autofinancement'!AE42</f>
        <v>1.3169566536910902</v>
      </c>
      <c r="AF39" s="15">
        <f>'Quotité d''autofinancement'!AF42</f>
        <v>0.78704987343433985</v>
      </c>
      <c r="AG39" s="15">
        <f>'Quotité d''autofinancement'!AG42</f>
        <v>-1.016229861899397</v>
      </c>
      <c r="AH39" s="15">
        <f>'Quotité d''autofinancement'!AH42</f>
        <v>0.73005306201608366</v>
      </c>
      <c r="AI39" s="15">
        <f>'Quotité d''autofinancement'!AI42</f>
        <v>0</v>
      </c>
      <c r="AJ39" s="15">
        <f>'Quotité d''autofinancement'!AJ42</f>
        <v>-56.561695321638325</v>
      </c>
      <c r="AK39" s="15">
        <f>'Quotité d''autofinancement'!AK42</f>
        <v>2.0867952028254999</v>
      </c>
      <c r="AL39" s="15">
        <f>'Quotité d''autofinancement'!AL42</f>
        <v>-1.5757603479775026</v>
      </c>
      <c r="AM39" s="15">
        <f>'Quotité d''autofinancement'!AM42</f>
        <v>1.2447147520176456</v>
      </c>
      <c r="AN39" s="15">
        <f>'Quotité d''autofinancement'!AN42</f>
        <v>1.7702364258550745</v>
      </c>
      <c r="AO39" s="15">
        <f>'Quotité d''autofinancement'!AO42</f>
        <v>-0.28568049199370787</v>
      </c>
      <c r="AP39" s="15">
        <f>'Quotité d''autofinancement'!AP42</f>
        <v>0.87685096053735778</v>
      </c>
      <c r="AQ39" s="15">
        <f>'Quotité d''autofinancement'!AQ42</f>
        <v>0.76919979773793323</v>
      </c>
      <c r="AR39" s="15">
        <f>'Quotité d''autofinancement'!AR42</f>
        <v>-7.1627972657625234</v>
      </c>
      <c r="AS39" s="15">
        <f>'Quotité d''autofinancement'!AS42</f>
        <v>0.87699543282134285</v>
      </c>
      <c r="AT39" s="15">
        <f>'Quotité d''autofinancement'!AT42</f>
        <v>1.9551343914483506</v>
      </c>
      <c r="AU39" s="15">
        <f>'Quotité d''autofinancement'!AU42</f>
        <v>-2.1164015496077089</v>
      </c>
      <c r="AV39" s="15">
        <f>'Quotité d''autofinancement'!AV42</f>
        <v>1.6706922620508342</v>
      </c>
      <c r="AW39" s="15">
        <f>'Quotité d''autofinancement'!AW42</f>
        <v>0.91209529828917657</v>
      </c>
      <c r="AX39" s="15">
        <f>'Quotité d''autofinancement'!AX42</f>
        <v>-1.8467106167817973</v>
      </c>
      <c r="AY39" s="15">
        <f>'Quotité d''autofinancement'!AY42</f>
        <v>-4.2431529915268431</v>
      </c>
      <c r="AZ39" s="15">
        <f>'Quotité d''autofinancement'!AZ42</f>
        <v>3.1907364108223515</v>
      </c>
      <c r="BA39" s="15">
        <f>'Quotité d''autofinancement'!BA42</f>
        <v>-2.519050995113008</v>
      </c>
      <c r="BB39" s="15">
        <f>'Quotité d''autofinancement'!BB42</f>
        <v>-1.7561512145300793</v>
      </c>
      <c r="BC39" s="15">
        <f>'Quotité d''autofinancement'!BC42</f>
        <v>-12.424668406785099</v>
      </c>
      <c r="BD39" s="15">
        <f>'Quotité d''autofinancement'!BD42</f>
        <v>-2.6413132406001809</v>
      </c>
      <c r="BE39" s="15">
        <f>'Quotité d''autofinancement'!BE42</f>
        <v>-2.2720794540718932</v>
      </c>
      <c r="BF39" s="15">
        <f t="shared" si="0"/>
        <v>25.662181471790017</v>
      </c>
      <c r="BG39" s="15">
        <f t="shared" si="1"/>
        <v>-58.110175052985916</v>
      </c>
      <c r="BH39" s="15">
        <f t="shared" si="2"/>
        <v>-23.490315640344775</v>
      </c>
    </row>
    <row r="40" spans="1:60" ht="14.4" thickBot="1" x14ac:dyDescent="0.3">
      <c r="D40" s="163"/>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row>
    <row r="41" spans="1:60" ht="14.4" thickBot="1" x14ac:dyDescent="0.3">
      <c r="A41" s="6" t="s">
        <v>568</v>
      </c>
      <c r="D41" s="162">
        <f>'Quotient excédent du bilan'!D12</f>
        <v>51.0217321051298</v>
      </c>
      <c r="E41" s="15">
        <f>'Quotient excédent du bilan'!E12</f>
        <v>79.268102395242352</v>
      </c>
      <c r="F41" s="15">
        <f>'Quotient excédent du bilan'!F12</f>
        <v>-43.874420510723802</v>
      </c>
      <c r="G41" s="15">
        <f>'Quotient excédent du bilan'!G12</f>
        <v>8.0683038565693739</v>
      </c>
      <c r="H41" s="15">
        <f>'Quotient excédent du bilan'!H12</f>
        <v>93.693083999935794</v>
      </c>
      <c r="I41" s="15">
        <f>'Quotient excédent du bilan'!I12</f>
        <v>56.110957384973162</v>
      </c>
      <c r="J41" s="15">
        <f>'Quotient excédent du bilan'!J12</f>
        <v>26.769771902389582</v>
      </c>
      <c r="K41" s="15">
        <f>'Quotient excédent du bilan'!K12</f>
        <v>87.556323227519655</v>
      </c>
      <c r="L41" s="15">
        <f>'Quotient excédent du bilan'!L12</f>
        <v>-7.7561648132532568</v>
      </c>
      <c r="M41" s="15">
        <f>'Quotient excédent du bilan'!M12</f>
        <v>24.247073455870847</v>
      </c>
      <c r="N41" s="15">
        <f>'Quotient excédent du bilan'!N12</f>
        <v>165.14240409582715</v>
      </c>
      <c r="O41" s="15">
        <f>'Quotient excédent du bilan'!O12</f>
        <v>3.7903701116559878</v>
      </c>
      <c r="P41" s="15">
        <f>'Quotient excédent du bilan'!P12</f>
        <v>59.289302946726671</v>
      </c>
      <c r="Q41" s="15">
        <f>'Quotient excédent du bilan'!Q12</f>
        <v>20.745870999290862</v>
      </c>
      <c r="R41" s="15">
        <f>'Quotient excédent du bilan'!R12</f>
        <v>23.55128480885946</v>
      </c>
      <c r="S41" s="15">
        <f>'Quotient excédent du bilan'!S12</f>
        <v>6.5853576293709568E-2</v>
      </c>
      <c r="T41" s="15">
        <f>'Quotient excédent du bilan'!T12</f>
        <v>52.39260161861008</v>
      </c>
      <c r="U41" s="15">
        <f>'Quotient excédent du bilan'!U12</f>
        <v>49.49636468022566</v>
      </c>
      <c r="V41" s="15">
        <f>'Quotient excédent du bilan'!V12</f>
        <v>11.10107415359578</v>
      </c>
      <c r="W41" s="15">
        <f>'Quotient excédent du bilan'!W12</f>
        <v>23.909961157511859</v>
      </c>
      <c r="X41" s="15">
        <f>'Quotient excédent du bilan'!X12</f>
        <v>312.05438462754859</v>
      </c>
      <c r="Y41" s="15">
        <f>'Quotient excédent du bilan'!Y12</f>
        <v>84.283159749183085</v>
      </c>
      <c r="Z41" s="15">
        <f>'Quotient excédent du bilan'!Z12</f>
        <v>130.84253803511024</v>
      </c>
      <c r="AA41" s="15">
        <f>'Quotient excédent du bilan'!AA12</f>
        <v>118.36582329184743</v>
      </c>
      <c r="AB41" s="15">
        <f>'Quotient excédent du bilan'!AB12</f>
        <v>297.94239002020424</v>
      </c>
      <c r="AC41" s="15">
        <f>'Quotient excédent du bilan'!AC12</f>
        <v>57.875227433410679</v>
      </c>
      <c r="AD41" s="15">
        <f>'Quotient excédent du bilan'!AD12</f>
        <v>30.224952073126151</v>
      </c>
      <c r="AE41" s="15">
        <f>'Quotient excédent du bilan'!AE12</f>
        <v>71.835933860811608</v>
      </c>
      <c r="AF41" s="15">
        <f>'Quotient excédent du bilan'!AF12</f>
        <v>350.48622604706787</v>
      </c>
      <c r="AG41" s="15">
        <f>'Quotient excédent du bilan'!AG12</f>
        <v>110.4361592494397</v>
      </c>
      <c r="AH41" s="15">
        <f>'Quotient excédent du bilan'!AH12</f>
        <v>28.190356237275761</v>
      </c>
      <c r="AI41" s="15">
        <f>'Quotient excédent du bilan'!AI12</f>
        <v>191.64164618009377</v>
      </c>
      <c r="AJ41" s="15">
        <f>'Quotient excédent du bilan'!AJ12</f>
        <v>411.58290714924669</v>
      </c>
      <c r="AK41" s="15">
        <f>'Quotient excédent du bilan'!AK12</f>
        <v>21.533465945751189</v>
      </c>
      <c r="AL41" s="15">
        <f>'Quotient excédent du bilan'!AL12</f>
        <v>128.53638294054872</v>
      </c>
      <c r="AM41" s="15">
        <f>'Quotient excédent du bilan'!AM12</f>
        <v>85.571104328917045</v>
      </c>
      <c r="AN41" s="15">
        <f>'Quotient excédent du bilan'!AN12</f>
        <v>311.53750445869883</v>
      </c>
      <c r="AO41" s="15">
        <f>'Quotient excédent du bilan'!AO12</f>
        <v>149.81849734559842</v>
      </c>
      <c r="AP41" s="15">
        <f>'Quotient excédent du bilan'!AP12</f>
        <v>127.08362291162003</v>
      </c>
      <c r="AQ41" s="15">
        <f>'Quotient excédent du bilan'!AQ12</f>
        <v>73.153958269407795</v>
      </c>
      <c r="AR41" s="15">
        <f>'Quotient excédent du bilan'!AR12</f>
        <v>281.22564807855338</v>
      </c>
      <c r="AS41" s="15">
        <f>'Quotient excédent du bilan'!AS12</f>
        <v>18.875531789935327</v>
      </c>
      <c r="AT41" s="15">
        <f>'Quotient excédent du bilan'!AT12</f>
        <v>14.826917517526638</v>
      </c>
      <c r="AU41" s="15">
        <f>'Quotient excédent du bilan'!AU12</f>
        <v>594.99497387082988</v>
      </c>
      <c r="AV41" s="15">
        <f>'Quotient excédent du bilan'!AV12</f>
        <v>81.91077389712423</v>
      </c>
      <c r="AW41" s="15">
        <f>'Quotient excédent du bilan'!AW12</f>
        <v>27.79610090724854</v>
      </c>
      <c r="AX41" s="15">
        <f>'Quotient excédent du bilan'!AX12</f>
        <v>49.748423448147058</v>
      </c>
      <c r="AY41" s="15">
        <f>'Quotient excédent du bilan'!AY12</f>
        <v>18.499272600236338</v>
      </c>
      <c r="AZ41" s="15">
        <f>'Quotient excédent du bilan'!AZ12</f>
        <v>45.167495491057664</v>
      </c>
      <c r="BA41" s="15">
        <f>'Quotient excédent du bilan'!BA12</f>
        <v>172.04157523962965</v>
      </c>
      <c r="BB41" s="15">
        <f>'Quotient excédent du bilan'!BB12</f>
        <v>96.054132747142702</v>
      </c>
      <c r="BC41" s="15">
        <f>'Quotient excédent du bilan'!BC12</f>
        <v>174.70184936328289</v>
      </c>
      <c r="BD41" s="15">
        <f>'Quotient excédent du bilan'!BD12</f>
        <v>3.7519459970005102</v>
      </c>
      <c r="BE41" s="15">
        <f>'Quotient excédent du bilan'!BE12</f>
        <v>48.089927699869747</v>
      </c>
      <c r="BF41" s="15">
        <f t="shared" si="0"/>
        <v>733.56811904712094</v>
      </c>
      <c r="BG41" s="15">
        <f t="shared" si="1"/>
        <v>2195.7617039543661</v>
      </c>
      <c r="BH41" s="15">
        <f t="shared" si="2"/>
        <v>2524.9191048481266</v>
      </c>
    </row>
  </sheetData>
  <mergeCells count="2">
    <mergeCell ref="A6:D6"/>
    <mergeCell ref="A8:D8"/>
  </mergeCells>
  <pageMargins left="0.7" right="0.7" top="0.75" bottom="0.75" header="0.3" footer="0.3"/>
  <pageSetup paperSize="9" scale="93"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5" tint="0.59999389629810485"/>
  </sheetPr>
  <dimension ref="A1:H45"/>
  <sheetViews>
    <sheetView zoomScale="115" zoomScaleNormal="115" workbookViewId="0">
      <selection sqref="A1:D1"/>
    </sheetView>
  </sheetViews>
  <sheetFormatPr baseColWidth="10" defaultColWidth="11.44140625" defaultRowHeight="13.8" x14ac:dyDescent="0.25"/>
  <cols>
    <col min="1" max="1" width="44.109375" style="7" customWidth="1"/>
    <col min="2" max="2" width="11.44140625" style="7"/>
    <col min="3" max="3" width="12.5546875" style="7" customWidth="1"/>
    <col min="4" max="4" width="20.44140625" style="7" customWidth="1"/>
    <col min="5" max="5" width="9.44140625" style="7" customWidth="1"/>
    <col min="6" max="16384" width="11.44140625" style="7"/>
  </cols>
  <sheetData>
    <row r="1" spans="1:8" ht="17.399999999999999" x14ac:dyDescent="0.3">
      <c r="A1" s="190"/>
      <c r="B1" s="190"/>
      <c r="C1" s="190"/>
      <c r="D1" s="190"/>
    </row>
    <row r="2" spans="1:8" ht="17.399999999999999" x14ac:dyDescent="0.3">
      <c r="A2" s="197" t="s">
        <v>831</v>
      </c>
      <c r="B2" s="197"/>
      <c r="C2" s="197"/>
      <c r="D2" s="197"/>
      <c r="E2" s="190"/>
      <c r="F2" s="190"/>
      <c r="G2" s="190"/>
      <c r="H2" s="190"/>
    </row>
    <row r="3" spans="1:8" ht="17.399999999999999" x14ac:dyDescent="0.3">
      <c r="A3" s="164"/>
      <c r="B3" s="164"/>
      <c r="C3" s="164"/>
      <c r="D3" s="164"/>
      <c r="E3" s="164"/>
      <c r="F3" s="164"/>
      <c r="G3" s="164"/>
      <c r="H3" s="164"/>
    </row>
    <row r="4" spans="1:8" ht="14.4" thickBot="1" x14ac:dyDescent="0.3">
      <c r="B4" s="198" t="s">
        <v>782</v>
      </c>
      <c r="C4" s="198"/>
      <c r="D4" s="198"/>
    </row>
    <row r="5" spans="1:8" ht="14.4" thickBot="1" x14ac:dyDescent="0.3">
      <c r="A5" s="28" t="s">
        <v>569</v>
      </c>
      <c r="B5" s="184" t="s">
        <v>49</v>
      </c>
      <c r="C5" s="185"/>
      <c r="D5" s="186"/>
      <c r="F5" s="139"/>
    </row>
    <row r="6" spans="1:8" ht="14.4" thickBot="1" x14ac:dyDescent="0.3">
      <c r="E6" s="6"/>
    </row>
    <row r="7" spans="1:8" ht="14.4" thickBot="1" x14ac:dyDescent="0.3">
      <c r="A7" s="194" t="s">
        <v>562</v>
      </c>
      <c r="B7" s="195"/>
      <c r="C7" s="195"/>
      <c r="D7" s="196"/>
    </row>
    <row r="8" spans="1:8" x14ac:dyDescent="0.25">
      <c r="H8" s="163"/>
    </row>
    <row r="9" spans="1:8" x14ac:dyDescent="0.25">
      <c r="H9" s="163"/>
    </row>
    <row r="10" spans="1:8" x14ac:dyDescent="0.25">
      <c r="A10" s="6" t="s">
        <v>492</v>
      </c>
      <c r="H10" s="163"/>
    </row>
    <row r="11" spans="1:8" ht="14.4" thickBot="1" x14ac:dyDescent="0.3">
      <c r="H11" s="163"/>
    </row>
    <row r="12" spans="1:8" ht="14.4" thickBot="1" x14ac:dyDescent="0.3">
      <c r="A12" s="165" t="s">
        <v>850</v>
      </c>
      <c r="D12" s="162">
        <f>HLOOKUP($B$5,Récapitulatif!E8:BE41,6,0)</f>
        <v>19520581.41</v>
      </c>
      <c r="E12" s="6"/>
      <c r="H12" s="163"/>
    </row>
    <row r="13" spans="1:8" ht="14.4" thickBot="1" x14ac:dyDescent="0.3">
      <c r="A13" s="7" t="s">
        <v>446</v>
      </c>
      <c r="D13" s="162">
        <f>D12/HLOOKUP(B5,Récapitulatif!E8:BE9,2,0)</f>
        <v>11661.040268817205</v>
      </c>
      <c r="E13" s="6"/>
      <c r="H13" s="163"/>
    </row>
    <row r="14" spans="1:8" ht="14.4" thickBot="1" x14ac:dyDescent="0.3">
      <c r="D14" s="12"/>
      <c r="H14" s="163"/>
    </row>
    <row r="15" spans="1:8" ht="14.4" thickBot="1" x14ac:dyDescent="0.3">
      <c r="A15" s="165" t="s">
        <v>851</v>
      </c>
      <c r="D15" s="162">
        <f>HLOOKUP($B$5,Récapitulatif!E8:BE41,8,0)</f>
        <v>15130371.18</v>
      </c>
      <c r="H15" s="163"/>
    </row>
    <row r="16" spans="1:8" ht="14.4" thickBot="1" x14ac:dyDescent="0.3">
      <c r="A16" s="7" t="s">
        <v>446</v>
      </c>
      <c r="D16" s="162">
        <f>D15/HLOOKUP(B5,Récapitulatif!E8:BE9,2,0)</f>
        <v>9038.4535125448019</v>
      </c>
      <c r="H16" s="163"/>
    </row>
    <row r="17" spans="1:8" ht="14.4" thickBot="1" x14ac:dyDescent="0.3">
      <c r="D17" s="12"/>
      <c r="H17" s="163"/>
    </row>
    <row r="18" spans="1:8" ht="14.4" thickBot="1" x14ac:dyDescent="0.3">
      <c r="A18" s="7" t="s">
        <v>501</v>
      </c>
      <c r="D18" s="162">
        <f>HLOOKUP($B$5,Récapitulatif!E8:BE41,10,0)</f>
        <v>345.56767862601453</v>
      </c>
      <c r="H18" s="163"/>
    </row>
    <row r="19" spans="1:8" x14ac:dyDescent="0.25">
      <c r="D19" s="12"/>
      <c r="H19" s="163"/>
    </row>
    <row r="20" spans="1:8" x14ac:dyDescent="0.25">
      <c r="A20" s="6" t="s">
        <v>503</v>
      </c>
      <c r="D20" s="12"/>
      <c r="H20" s="163"/>
    </row>
    <row r="21" spans="1:8" ht="14.4" thickBot="1" x14ac:dyDescent="0.3">
      <c r="D21" s="12"/>
      <c r="H21" s="163"/>
    </row>
    <row r="22" spans="1:8" ht="14.4" thickBot="1" x14ac:dyDescent="0.3">
      <c r="A22" s="7" t="s">
        <v>543</v>
      </c>
      <c r="D22" s="162">
        <f>HLOOKUP($B$5,Récapitulatif!E8:BE41,15,0)</f>
        <v>381830.6</v>
      </c>
      <c r="E22" s="6"/>
      <c r="H22" s="163"/>
    </row>
    <row r="23" spans="1:8" ht="14.4" thickBot="1" x14ac:dyDescent="0.3">
      <c r="D23" s="12"/>
      <c r="H23" s="163"/>
    </row>
    <row r="24" spans="1:8" ht="14.4" thickBot="1" x14ac:dyDescent="0.3">
      <c r="A24" s="7" t="s">
        <v>564</v>
      </c>
      <c r="D24" s="162">
        <f>HLOOKUP($B$5,Récapitulatif!E8:BE41,17,0)</f>
        <v>144.42016621739126</v>
      </c>
      <c r="H24" s="163"/>
    </row>
    <row r="25" spans="1:8" ht="14.4" thickBot="1" x14ac:dyDescent="0.3">
      <c r="D25" s="12"/>
    </row>
    <row r="26" spans="1:8" ht="14.4" thickBot="1" x14ac:dyDescent="0.3">
      <c r="A26" s="6" t="s">
        <v>565</v>
      </c>
      <c r="D26" s="162">
        <f>HLOOKUP($B$5,Récapitulatif!E8:BE41,20,0)</f>
        <v>4.6681898119600937</v>
      </c>
    </row>
    <row r="27" spans="1:8" ht="14.4" thickBot="1" x14ac:dyDescent="0.3">
      <c r="D27" s="12"/>
    </row>
    <row r="28" spans="1:8" ht="14.4" thickBot="1" x14ac:dyDescent="0.3">
      <c r="A28" s="6" t="s">
        <v>566</v>
      </c>
      <c r="D28" s="162">
        <f>HLOOKUP($B$5,Récapitulatif!E8:BE41,22,0)</f>
        <v>417.54497413121766</v>
      </c>
    </row>
    <row r="29" spans="1:8" ht="14.4" thickBot="1" x14ac:dyDescent="0.3">
      <c r="D29" s="12"/>
    </row>
    <row r="30" spans="1:8" ht="14.4" thickBot="1" x14ac:dyDescent="0.3">
      <c r="A30" s="6" t="s">
        <v>525</v>
      </c>
      <c r="D30" s="162">
        <f>HLOOKUP($B$5,Récapitulatif!E8:BE41,24,0)</f>
        <v>4.1141123088221283</v>
      </c>
    </row>
    <row r="31" spans="1:8" ht="14.4" thickBot="1" x14ac:dyDescent="0.3">
      <c r="B31" s="139"/>
      <c r="D31" s="12"/>
    </row>
    <row r="32" spans="1:8" ht="14.4" thickBot="1" x14ac:dyDescent="0.3">
      <c r="A32" s="6" t="s">
        <v>567</v>
      </c>
      <c r="D32" s="162">
        <f>HLOOKUP($B$5,Récapitulatif!E8:BE41,26,0)</f>
        <v>17.412238997378605</v>
      </c>
    </row>
    <row r="33" spans="1:4" ht="14.4" thickBot="1" x14ac:dyDescent="0.3">
      <c r="D33" s="12"/>
    </row>
    <row r="34" spans="1:4" ht="14.4" thickBot="1" x14ac:dyDescent="0.3">
      <c r="A34" s="6" t="s">
        <v>538</v>
      </c>
      <c r="D34" s="162">
        <f>HLOOKUP($B$5,Récapitulatif!E8:BE41,28,0)</f>
        <v>9038.4535125448019</v>
      </c>
    </row>
    <row r="35" spans="1:4" ht="14.4" thickBot="1" x14ac:dyDescent="0.3">
      <c r="D35" s="163"/>
    </row>
    <row r="36" spans="1:4" ht="14.4" thickBot="1" x14ac:dyDescent="0.3">
      <c r="A36" s="6" t="s">
        <v>542</v>
      </c>
      <c r="D36" s="162">
        <f>HLOOKUP($B$5,Récapitulatif!E8:BE41,30,0)</f>
        <v>8.1673514046991329</v>
      </c>
    </row>
    <row r="37" spans="1:4" ht="14.4" thickBot="1" x14ac:dyDescent="0.3">
      <c r="D37" s="163"/>
    </row>
    <row r="38" spans="1:4" ht="14.4" thickBot="1" x14ac:dyDescent="0.3">
      <c r="A38" s="6" t="s">
        <v>546</v>
      </c>
      <c r="D38" s="162">
        <f>HLOOKUP($B$5,Récapitulatif!E8:BE41,32,0)</f>
        <v>3.1907364108223515</v>
      </c>
    </row>
    <row r="39" spans="1:4" ht="14.4" thickBot="1" x14ac:dyDescent="0.3">
      <c r="D39" s="12"/>
    </row>
    <row r="40" spans="1:4" ht="14.4" thickBot="1" x14ac:dyDescent="0.3">
      <c r="A40" s="6" t="s">
        <v>568</v>
      </c>
      <c r="D40" s="162">
        <f>HLOOKUP($B$5,Récapitulatif!E8:BE41,34,0)</f>
        <v>45.167495491057664</v>
      </c>
    </row>
    <row r="42" spans="1:4" x14ac:dyDescent="0.25">
      <c r="A42" s="165"/>
    </row>
    <row r="45" spans="1:4" x14ac:dyDescent="0.25">
      <c r="A45" s="166"/>
      <c r="B45" s="167"/>
      <c r="C45" s="168"/>
    </row>
  </sheetData>
  <dataConsolidate/>
  <mergeCells count="6">
    <mergeCell ref="B5:D5"/>
    <mergeCell ref="A7:D7"/>
    <mergeCell ref="E2:H2"/>
    <mergeCell ref="A1:D1"/>
    <mergeCell ref="A2:D2"/>
    <mergeCell ref="B4:D4"/>
  </mergeCells>
  <pageMargins left="0.23622047244094491" right="0.23622047244094491" top="0.35433070866141736" bottom="0.35433070866141736" header="0.31496062992125984" footer="0.31496062992125984"/>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400-000000000000}">
          <x14:formula1>
            <xm:f>Récapitulatif!$E$8:$BE$8</xm:f>
          </x14:formula1>
          <xm:sqref>B5:D5</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F0"/>
  </sheetPr>
  <dimension ref="A2:S168"/>
  <sheetViews>
    <sheetView zoomScaleNormal="100" workbookViewId="0">
      <pane xSplit="4" ySplit="4" topLeftCell="E5" activePane="bottomRight" state="frozen"/>
      <selection pane="topRight" activeCell="E1" sqref="E1"/>
      <selection pane="bottomLeft" activeCell="A4" sqref="A4"/>
      <selection pane="bottomRight" activeCell="E5" sqref="E5"/>
    </sheetView>
  </sheetViews>
  <sheetFormatPr baseColWidth="10" defaultColWidth="11.44140625" defaultRowHeight="13.8" x14ac:dyDescent="0.25"/>
  <cols>
    <col min="1" max="2" width="5.6640625" style="7" customWidth="1"/>
    <col min="3" max="3" width="9" style="7" customWidth="1"/>
    <col min="4" max="4" width="66" style="7" customWidth="1"/>
    <col min="5" max="16" width="16.33203125" style="7" customWidth="1"/>
    <col min="17" max="17" width="18.44140625" style="7" customWidth="1"/>
    <col min="18" max="18" width="16.33203125" style="7" customWidth="1"/>
    <col min="19" max="16384" width="11.44140625" style="7"/>
  </cols>
  <sheetData>
    <row r="2" spans="1:19" ht="21" x14ac:dyDescent="0.4">
      <c r="A2" s="79" t="s">
        <v>827</v>
      </c>
      <c r="B2" s="6"/>
      <c r="C2" s="6"/>
      <c r="D2" s="6"/>
    </row>
    <row r="3" spans="1:19" ht="21" x14ac:dyDescent="0.4">
      <c r="A3" s="79" t="s">
        <v>731</v>
      </c>
      <c r="E3" s="154">
        <v>1</v>
      </c>
      <c r="F3" s="154">
        <v>2</v>
      </c>
      <c r="G3" s="154">
        <v>3</v>
      </c>
      <c r="H3" s="154">
        <v>4</v>
      </c>
      <c r="I3" s="154">
        <v>5</v>
      </c>
      <c r="J3" s="154">
        <v>6</v>
      </c>
      <c r="K3" s="154">
        <v>7</v>
      </c>
      <c r="L3" s="154">
        <v>8</v>
      </c>
      <c r="M3" s="154">
        <v>9</v>
      </c>
      <c r="N3" s="154">
        <v>10</v>
      </c>
      <c r="O3" s="154">
        <v>11</v>
      </c>
      <c r="P3" s="154">
        <v>12</v>
      </c>
      <c r="Q3" s="154">
        <v>13</v>
      </c>
      <c r="R3" s="154"/>
    </row>
    <row r="4" spans="1:19" x14ac:dyDescent="0.25">
      <c r="E4" s="81" t="s">
        <v>56</v>
      </c>
      <c r="F4" s="81" t="s">
        <v>18</v>
      </c>
      <c r="G4" s="81" t="s">
        <v>57</v>
      </c>
      <c r="H4" s="81" t="s">
        <v>735</v>
      </c>
      <c r="I4" s="81" t="s">
        <v>33</v>
      </c>
      <c r="J4" s="81" t="s">
        <v>28</v>
      </c>
      <c r="K4" s="81" t="s">
        <v>736</v>
      </c>
      <c r="L4" s="81" t="s">
        <v>16</v>
      </c>
      <c r="M4" s="81" t="s">
        <v>737</v>
      </c>
      <c r="N4" s="81" t="s">
        <v>738</v>
      </c>
      <c r="O4" s="81" t="s">
        <v>59</v>
      </c>
      <c r="P4" s="81" t="s">
        <v>739</v>
      </c>
      <c r="Q4" s="81" t="s">
        <v>740</v>
      </c>
      <c r="R4" s="81" t="s">
        <v>65</v>
      </c>
    </row>
    <row r="5" spans="1:19" ht="21" x14ac:dyDescent="0.4">
      <c r="A5" s="10">
        <v>3</v>
      </c>
      <c r="B5" s="10"/>
      <c r="C5" s="10"/>
      <c r="D5" s="10" t="s">
        <v>60</v>
      </c>
      <c r="E5" s="11">
        <f>E6+E16+E28+E32+E40+E44+E54+E57+E65</f>
        <v>913515.04999999993</v>
      </c>
      <c r="F5" s="11">
        <f t="shared" ref="F5:R5" si="0">F6+F16+F28+F32+F40+F44+F54+F57+F65</f>
        <v>128384.42</v>
      </c>
      <c r="G5" s="11">
        <f t="shared" si="0"/>
        <v>154971.55000000002</v>
      </c>
      <c r="H5" s="11">
        <f t="shared" si="0"/>
        <v>43477.710000000006</v>
      </c>
      <c r="I5" s="11">
        <f t="shared" si="0"/>
        <v>295558.54000000004</v>
      </c>
      <c r="J5" s="11">
        <f t="shared" si="0"/>
        <v>0</v>
      </c>
      <c r="K5" s="11">
        <f t="shared" si="0"/>
        <v>79607.59</v>
      </c>
      <c r="L5" s="11">
        <f t="shared" si="0"/>
        <v>190874.18</v>
      </c>
      <c r="M5" s="11">
        <f t="shared" si="0"/>
        <v>0</v>
      </c>
      <c r="N5" s="11">
        <f t="shared" si="0"/>
        <v>40635.29</v>
      </c>
      <c r="O5" s="11">
        <f t="shared" si="0"/>
        <v>236997.82</v>
      </c>
      <c r="P5" s="11">
        <f t="shared" si="0"/>
        <v>194403.89</v>
      </c>
      <c r="Q5" s="11">
        <f t="shared" si="0"/>
        <v>397674.45999999996</v>
      </c>
      <c r="R5" s="11">
        <f t="shared" si="0"/>
        <v>2676100.5</v>
      </c>
      <c r="S5" s="7">
        <v>2</v>
      </c>
    </row>
    <row r="6" spans="1:19" x14ac:dyDescent="0.25">
      <c r="A6" s="66"/>
      <c r="B6" s="66">
        <v>30</v>
      </c>
      <c r="C6" s="66"/>
      <c r="D6" s="66" t="s">
        <v>61</v>
      </c>
      <c r="E6" s="67">
        <f>E7+E8+E9+E10+E11+E12+E13+E14</f>
        <v>217072.75</v>
      </c>
      <c r="F6" s="67">
        <f t="shared" ref="F6:R6" si="1">F7+F8+F9+F10+F11+F12+F13+F14</f>
        <v>10892.55</v>
      </c>
      <c r="G6" s="67">
        <f t="shared" si="1"/>
        <v>14524.3</v>
      </c>
      <c r="H6" s="67">
        <f t="shared" si="1"/>
        <v>9310.5</v>
      </c>
      <c r="I6" s="67">
        <f t="shared" si="1"/>
        <v>43957.3</v>
      </c>
      <c r="J6" s="67">
        <f t="shared" si="1"/>
        <v>0</v>
      </c>
      <c r="K6" s="67">
        <f t="shared" si="1"/>
        <v>9487.5499999999993</v>
      </c>
      <c r="L6" s="67">
        <f t="shared" si="1"/>
        <v>30622.850000000002</v>
      </c>
      <c r="M6" s="67">
        <f t="shared" si="1"/>
        <v>0</v>
      </c>
      <c r="N6" s="67">
        <f t="shared" si="1"/>
        <v>6736</v>
      </c>
      <c r="O6" s="67">
        <f t="shared" si="1"/>
        <v>27769.25</v>
      </c>
      <c r="P6" s="67">
        <f t="shared" si="1"/>
        <v>14511.85</v>
      </c>
      <c r="Q6" s="67">
        <f t="shared" si="1"/>
        <v>48316.549999999996</v>
      </c>
      <c r="R6" s="67">
        <f t="shared" si="1"/>
        <v>433201.45</v>
      </c>
      <c r="S6" s="7">
        <v>3</v>
      </c>
    </row>
    <row r="7" spans="1:19" x14ac:dyDescent="0.25">
      <c r="C7" s="7">
        <v>300</v>
      </c>
      <c r="D7" s="7" t="s">
        <v>80</v>
      </c>
      <c r="E7" s="12">
        <v>35344.5</v>
      </c>
      <c r="F7" s="12">
        <v>10892.55</v>
      </c>
      <c r="G7" s="12">
        <v>5020</v>
      </c>
      <c r="H7" s="12">
        <v>2054.5</v>
      </c>
      <c r="I7" s="12">
        <v>15240</v>
      </c>
      <c r="J7" s="12"/>
      <c r="K7" s="12">
        <v>2700</v>
      </c>
      <c r="L7" s="12">
        <v>12520.35</v>
      </c>
      <c r="M7" s="12"/>
      <c r="N7" s="12">
        <v>1560</v>
      </c>
      <c r="O7" s="12">
        <v>21930</v>
      </c>
      <c r="P7" s="12">
        <v>4312.5</v>
      </c>
      <c r="Q7" s="12">
        <v>7343</v>
      </c>
      <c r="R7" s="12">
        <f t="shared" ref="R7:R14" si="2">SUM(E7:Q7)</f>
        <v>118917.40000000001</v>
      </c>
      <c r="S7" s="7">
        <v>4</v>
      </c>
    </row>
    <row r="8" spans="1:19" x14ac:dyDescent="0.25">
      <c r="C8" s="7">
        <v>301</v>
      </c>
      <c r="D8" s="7" t="s">
        <v>81</v>
      </c>
      <c r="E8" s="12">
        <v>154892.85</v>
      </c>
      <c r="F8" s="12">
        <v>0</v>
      </c>
      <c r="G8" s="12">
        <v>8306.4</v>
      </c>
      <c r="H8" s="12">
        <v>6200</v>
      </c>
      <c r="I8" s="12">
        <v>21576.5</v>
      </c>
      <c r="J8" s="12"/>
      <c r="K8" s="12">
        <v>5000</v>
      </c>
      <c r="L8" s="12">
        <v>15567.6</v>
      </c>
      <c r="M8" s="12"/>
      <c r="N8" s="12">
        <v>5176</v>
      </c>
      <c r="O8" s="12">
        <v>777.65</v>
      </c>
      <c r="P8" s="12">
        <v>7465.5</v>
      </c>
      <c r="Q8" s="12">
        <v>32043.200000000001</v>
      </c>
      <c r="R8" s="12">
        <f t="shared" si="2"/>
        <v>257005.7</v>
      </c>
      <c r="S8" s="7">
        <v>5</v>
      </c>
    </row>
    <row r="9" spans="1:19" x14ac:dyDescent="0.25">
      <c r="C9" s="7">
        <v>302</v>
      </c>
      <c r="D9" s="7" t="s">
        <v>82</v>
      </c>
      <c r="E9" s="12">
        <v>0</v>
      </c>
      <c r="F9" s="12">
        <v>0</v>
      </c>
      <c r="G9" s="12">
        <v>0</v>
      </c>
      <c r="H9" s="12">
        <v>0</v>
      </c>
      <c r="I9" s="12">
        <v>0</v>
      </c>
      <c r="J9" s="12"/>
      <c r="K9" s="12">
        <v>0</v>
      </c>
      <c r="L9" s="12">
        <v>0</v>
      </c>
      <c r="M9" s="12"/>
      <c r="N9" s="12">
        <v>0</v>
      </c>
      <c r="O9" s="12">
        <v>0</v>
      </c>
      <c r="P9" s="12">
        <v>0</v>
      </c>
      <c r="Q9" s="12">
        <v>0</v>
      </c>
      <c r="R9" s="12">
        <f t="shared" si="2"/>
        <v>0</v>
      </c>
      <c r="S9" s="7">
        <v>6</v>
      </c>
    </row>
    <row r="10" spans="1:19" x14ac:dyDescent="0.25">
      <c r="C10" s="7">
        <v>303</v>
      </c>
      <c r="D10" s="7" t="s">
        <v>83</v>
      </c>
      <c r="E10" s="12">
        <v>2318.75</v>
      </c>
      <c r="F10" s="12">
        <v>0</v>
      </c>
      <c r="G10" s="12">
        <v>0</v>
      </c>
      <c r="H10" s="12">
        <v>0</v>
      </c>
      <c r="I10" s="12">
        <v>0</v>
      </c>
      <c r="J10" s="12"/>
      <c r="K10" s="12">
        <v>0</v>
      </c>
      <c r="L10" s="12">
        <v>0</v>
      </c>
      <c r="M10" s="12"/>
      <c r="N10" s="12">
        <v>0</v>
      </c>
      <c r="O10" s="12">
        <v>0</v>
      </c>
      <c r="P10" s="12">
        <v>0</v>
      </c>
      <c r="Q10" s="12">
        <v>0</v>
      </c>
      <c r="R10" s="12">
        <f t="shared" si="2"/>
        <v>2318.75</v>
      </c>
      <c r="S10" s="7">
        <v>7</v>
      </c>
    </row>
    <row r="11" spans="1:19" x14ac:dyDescent="0.25">
      <c r="C11" s="7">
        <v>304</v>
      </c>
      <c r="D11" s="7" t="s">
        <v>578</v>
      </c>
      <c r="E11" s="12">
        <v>0</v>
      </c>
      <c r="F11" s="12">
        <v>0</v>
      </c>
      <c r="G11" s="12">
        <v>0</v>
      </c>
      <c r="H11" s="12">
        <v>0</v>
      </c>
      <c r="I11" s="12">
        <v>0</v>
      </c>
      <c r="J11" s="12"/>
      <c r="K11" s="12">
        <v>0</v>
      </c>
      <c r="L11" s="12">
        <v>0</v>
      </c>
      <c r="M11" s="12"/>
      <c r="N11" s="12">
        <v>0</v>
      </c>
      <c r="O11" s="12">
        <v>0</v>
      </c>
      <c r="P11" s="12">
        <v>0</v>
      </c>
      <c r="Q11" s="12">
        <v>0</v>
      </c>
      <c r="R11" s="12">
        <f t="shared" si="2"/>
        <v>0</v>
      </c>
      <c r="S11" s="7">
        <v>8</v>
      </c>
    </row>
    <row r="12" spans="1:19" x14ac:dyDescent="0.25">
      <c r="C12" s="7">
        <v>305</v>
      </c>
      <c r="D12" s="7" t="s">
        <v>84</v>
      </c>
      <c r="E12" s="12">
        <v>15897</v>
      </c>
      <c r="F12" s="12">
        <v>0</v>
      </c>
      <c r="G12" s="12">
        <v>897.9</v>
      </c>
      <c r="H12" s="12">
        <v>1056</v>
      </c>
      <c r="I12" s="12">
        <v>4542.6499999999996</v>
      </c>
      <c r="J12" s="12"/>
      <c r="K12" s="12">
        <v>95.45</v>
      </c>
      <c r="L12" s="12">
        <v>2534.9</v>
      </c>
      <c r="M12" s="12"/>
      <c r="N12" s="12">
        <v>0</v>
      </c>
      <c r="O12" s="12">
        <v>2709.5</v>
      </c>
      <c r="P12" s="12">
        <v>1792.15</v>
      </c>
      <c r="Q12" s="12">
        <v>7971.25</v>
      </c>
      <c r="R12" s="12">
        <f t="shared" si="2"/>
        <v>37496.800000000003</v>
      </c>
      <c r="S12" s="7">
        <v>9</v>
      </c>
    </row>
    <row r="13" spans="1:19" x14ac:dyDescent="0.25">
      <c r="C13" s="7">
        <v>306</v>
      </c>
      <c r="D13" s="7" t="s">
        <v>85</v>
      </c>
      <c r="E13" s="12">
        <v>0</v>
      </c>
      <c r="F13" s="12">
        <v>0</v>
      </c>
      <c r="G13" s="12">
        <v>0</v>
      </c>
      <c r="H13" s="12">
        <v>0</v>
      </c>
      <c r="I13" s="12">
        <v>0</v>
      </c>
      <c r="J13" s="12"/>
      <c r="K13" s="12">
        <v>0</v>
      </c>
      <c r="L13" s="12">
        <v>0</v>
      </c>
      <c r="M13" s="12"/>
      <c r="N13" s="12">
        <v>0</v>
      </c>
      <c r="O13" s="12">
        <v>0</v>
      </c>
      <c r="P13" s="12">
        <v>0</v>
      </c>
      <c r="Q13" s="12">
        <v>0</v>
      </c>
      <c r="R13" s="12">
        <f t="shared" si="2"/>
        <v>0</v>
      </c>
      <c r="S13" s="7">
        <v>10</v>
      </c>
    </row>
    <row r="14" spans="1:19" x14ac:dyDescent="0.25">
      <c r="C14" s="7">
        <v>309</v>
      </c>
      <c r="D14" s="7" t="s">
        <v>86</v>
      </c>
      <c r="E14" s="12">
        <v>8619.65</v>
      </c>
      <c r="F14" s="12">
        <v>0</v>
      </c>
      <c r="G14" s="12">
        <v>300</v>
      </c>
      <c r="H14" s="12">
        <v>0</v>
      </c>
      <c r="I14" s="12">
        <v>2598.15</v>
      </c>
      <c r="J14" s="12"/>
      <c r="K14" s="12">
        <v>1692.1</v>
      </c>
      <c r="L14" s="12">
        <v>0</v>
      </c>
      <c r="M14" s="12"/>
      <c r="N14" s="12">
        <v>0</v>
      </c>
      <c r="O14" s="12">
        <v>2352.1</v>
      </c>
      <c r="P14" s="12">
        <v>941.7</v>
      </c>
      <c r="Q14" s="12">
        <v>959.1</v>
      </c>
      <c r="R14" s="12">
        <f t="shared" si="2"/>
        <v>17462.8</v>
      </c>
      <c r="S14" s="7">
        <v>11</v>
      </c>
    </row>
    <row r="15" spans="1:19" x14ac:dyDescent="0.25">
      <c r="E15" s="12"/>
      <c r="F15" s="12"/>
      <c r="G15" s="12"/>
      <c r="H15" s="12"/>
      <c r="I15" s="12"/>
      <c r="J15" s="12"/>
      <c r="K15" s="12"/>
      <c r="L15" s="12"/>
      <c r="M15" s="12"/>
      <c r="N15" s="12"/>
      <c r="O15" s="12"/>
      <c r="P15" s="12"/>
      <c r="Q15" s="12"/>
      <c r="R15" s="12"/>
      <c r="S15" s="7">
        <v>12</v>
      </c>
    </row>
    <row r="16" spans="1:19" x14ac:dyDescent="0.25">
      <c r="B16" s="66">
        <v>31</v>
      </c>
      <c r="C16" s="66"/>
      <c r="D16" s="66" t="s">
        <v>87</v>
      </c>
      <c r="E16" s="67">
        <f>E17+E18+E19+E20+E21+E22+E23+E24+E25+E26</f>
        <v>279700.52</v>
      </c>
      <c r="F16" s="67">
        <f t="shared" ref="F16:R16" si="3">F17+F18+F19+F20+F21+F22+F23+F24+F25+F26</f>
        <v>87862.87</v>
      </c>
      <c r="G16" s="67">
        <f t="shared" si="3"/>
        <v>91470.250000000015</v>
      </c>
      <c r="H16" s="67">
        <f t="shared" si="3"/>
        <v>32049.75</v>
      </c>
      <c r="I16" s="67">
        <f t="shared" si="3"/>
        <v>128781.08</v>
      </c>
      <c r="J16" s="67">
        <f t="shared" si="3"/>
        <v>0</v>
      </c>
      <c r="K16" s="67">
        <f t="shared" si="3"/>
        <v>43037.089999999989</v>
      </c>
      <c r="L16" s="67">
        <f t="shared" si="3"/>
        <v>109038.73999999999</v>
      </c>
      <c r="M16" s="67">
        <f t="shared" si="3"/>
        <v>0</v>
      </c>
      <c r="N16" s="67">
        <f t="shared" si="3"/>
        <v>24697.79</v>
      </c>
      <c r="O16" s="67">
        <f t="shared" si="3"/>
        <v>107111.15</v>
      </c>
      <c r="P16" s="67">
        <f t="shared" si="3"/>
        <v>59025.39</v>
      </c>
      <c r="Q16" s="67">
        <f t="shared" si="3"/>
        <v>168675.25</v>
      </c>
      <c r="R16" s="67">
        <f t="shared" si="3"/>
        <v>1131449.8800000001</v>
      </c>
      <c r="S16" s="7">
        <v>13</v>
      </c>
    </row>
    <row r="17" spans="2:19" x14ac:dyDescent="0.25">
      <c r="C17" s="7">
        <v>310</v>
      </c>
      <c r="D17" s="7" t="s">
        <v>88</v>
      </c>
      <c r="E17" s="12">
        <v>39862</v>
      </c>
      <c r="F17" s="12">
        <v>29019.25</v>
      </c>
      <c r="G17" s="12">
        <v>2515.4499999999998</v>
      </c>
      <c r="H17" s="12">
        <v>1325.9</v>
      </c>
      <c r="I17" s="12">
        <v>5530.95</v>
      </c>
      <c r="J17" s="12"/>
      <c r="K17" s="12">
        <v>6642.85</v>
      </c>
      <c r="L17" s="12">
        <v>2420.35</v>
      </c>
      <c r="M17" s="12"/>
      <c r="N17" s="12">
        <v>3135.05</v>
      </c>
      <c r="O17" s="12">
        <v>2184.9</v>
      </c>
      <c r="P17" s="12">
        <v>10203.4</v>
      </c>
      <c r="Q17" s="12">
        <v>1948.55</v>
      </c>
      <c r="R17" s="12">
        <f t="shared" ref="R17:R26" si="4">SUM(E17:Q17)</f>
        <v>104788.65</v>
      </c>
      <c r="S17" s="7">
        <v>14</v>
      </c>
    </row>
    <row r="18" spans="2:19" x14ac:dyDescent="0.25">
      <c r="C18" s="7">
        <v>311</v>
      </c>
      <c r="D18" s="7" t="s">
        <v>449</v>
      </c>
      <c r="E18" s="12">
        <v>1374.05</v>
      </c>
      <c r="F18" s="12">
        <v>0</v>
      </c>
      <c r="G18" s="12">
        <v>367.9</v>
      </c>
      <c r="H18" s="12">
        <v>0</v>
      </c>
      <c r="I18" s="12">
        <v>189</v>
      </c>
      <c r="J18" s="12"/>
      <c r="K18" s="12">
        <v>65</v>
      </c>
      <c r="L18" s="12">
        <v>1750.6</v>
      </c>
      <c r="M18" s="12"/>
      <c r="N18" s="12">
        <v>538.5</v>
      </c>
      <c r="O18" s="12">
        <v>0</v>
      </c>
      <c r="P18" s="12">
        <v>3592.6</v>
      </c>
      <c r="Q18" s="12">
        <v>4144.8999999999996</v>
      </c>
      <c r="R18" s="12">
        <f t="shared" si="4"/>
        <v>12022.55</v>
      </c>
      <c r="S18" s="7">
        <v>15</v>
      </c>
    </row>
    <row r="19" spans="2:19" x14ac:dyDescent="0.25">
      <c r="C19" s="7">
        <v>312</v>
      </c>
      <c r="D19" s="7" t="s">
        <v>90</v>
      </c>
      <c r="E19" s="12">
        <v>14576.9</v>
      </c>
      <c r="F19" s="12">
        <v>0</v>
      </c>
      <c r="G19" s="12">
        <v>0</v>
      </c>
      <c r="H19" s="12">
        <v>0</v>
      </c>
      <c r="I19" s="12">
        <v>972.35</v>
      </c>
      <c r="J19" s="12"/>
      <c r="K19" s="12">
        <v>2592.9499999999998</v>
      </c>
      <c r="L19" s="12">
        <v>0</v>
      </c>
      <c r="M19" s="12"/>
      <c r="N19" s="12">
        <v>877.85</v>
      </c>
      <c r="O19" s="12">
        <v>-7869.7</v>
      </c>
      <c r="P19" s="12">
        <v>862.5</v>
      </c>
      <c r="Q19" s="12">
        <v>12400.45</v>
      </c>
      <c r="R19" s="12">
        <f t="shared" si="4"/>
        <v>24413.3</v>
      </c>
      <c r="S19" s="7">
        <v>16</v>
      </c>
    </row>
    <row r="20" spans="2:19" x14ac:dyDescent="0.25">
      <c r="C20" s="7">
        <v>313</v>
      </c>
      <c r="D20" s="7" t="s">
        <v>91</v>
      </c>
      <c r="E20" s="12">
        <v>190940.42</v>
      </c>
      <c r="F20" s="12">
        <v>52591.12</v>
      </c>
      <c r="G20" s="12">
        <v>65332.05</v>
      </c>
      <c r="H20" s="12">
        <v>20707.25</v>
      </c>
      <c r="I20" s="12">
        <v>109274.48</v>
      </c>
      <c r="J20" s="12"/>
      <c r="K20" s="12">
        <v>31768.54</v>
      </c>
      <c r="L20" s="12">
        <v>104867.79</v>
      </c>
      <c r="M20" s="12"/>
      <c r="N20" s="12">
        <v>19396.29</v>
      </c>
      <c r="O20" s="12">
        <v>73959.8</v>
      </c>
      <c r="P20" s="12">
        <v>24011.79</v>
      </c>
      <c r="Q20" s="12">
        <v>104644.35</v>
      </c>
      <c r="R20" s="12">
        <f t="shared" si="4"/>
        <v>797493.88000000012</v>
      </c>
      <c r="S20" s="7">
        <v>17</v>
      </c>
    </row>
    <row r="21" spans="2:19" x14ac:dyDescent="0.25">
      <c r="C21" s="7">
        <v>314</v>
      </c>
      <c r="D21" s="7" t="s">
        <v>841</v>
      </c>
      <c r="E21" s="12">
        <v>7336.1</v>
      </c>
      <c r="F21" s="12">
        <v>6252.5</v>
      </c>
      <c r="G21" s="12">
        <v>20673.25</v>
      </c>
      <c r="H21" s="12">
        <v>3342.55</v>
      </c>
      <c r="I21" s="12">
        <v>11223.7</v>
      </c>
      <c r="J21" s="12"/>
      <c r="K21" s="12">
        <v>809.7</v>
      </c>
      <c r="L21" s="12">
        <v>0</v>
      </c>
      <c r="M21" s="12"/>
      <c r="N21" s="12">
        <v>0</v>
      </c>
      <c r="O21" s="12">
        <v>37569.449999999997</v>
      </c>
      <c r="P21" s="12">
        <v>18295.75</v>
      </c>
      <c r="Q21" s="12">
        <v>36497.4</v>
      </c>
      <c r="R21" s="12">
        <f t="shared" si="4"/>
        <v>142000.4</v>
      </c>
      <c r="S21" s="7">
        <v>18</v>
      </c>
    </row>
    <row r="22" spans="2:19" x14ac:dyDescent="0.25">
      <c r="C22" s="7">
        <v>315</v>
      </c>
      <c r="D22" s="7" t="s">
        <v>92</v>
      </c>
      <c r="E22" s="12">
        <v>15787.8</v>
      </c>
      <c r="F22" s="12">
        <v>0</v>
      </c>
      <c r="G22" s="12">
        <v>538.5</v>
      </c>
      <c r="H22" s="12">
        <v>0</v>
      </c>
      <c r="I22" s="12">
        <v>538.5</v>
      </c>
      <c r="J22" s="12"/>
      <c r="K22" s="12">
        <v>693.6</v>
      </c>
      <c r="L22" s="12">
        <v>0</v>
      </c>
      <c r="M22" s="12"/>
      <c r="N22" s="12">
        <v>0</v>
      </c>
      <c r="O22" s="12">
        <v>0</v>
      </c>
      <c r="P22" s="12">
        <v>469.9</v>
      </c>
      <c r="Q22" s="12">
        <v>323.10000000000002</v>
      </c>
      <c r="R22" s="12">
        <f t="shared" si="4"/>
        <v>18351.399999999998</v>
      </c>
      <c r="S22" s="7">
        <v>19</v>
      </c>
    </row>
    <row r="23" spans="2:19" x14ac:dyDescent="0.25">
      <c r="C23" s="7">
        <v>316</v>
      </c>
      <c r="D23" s="7" t="s">
        <v>93</v>
      </c>
      <c r="E23" s="12">
        <v>2017.3</v>
      </c>
      <c r="F23" s="12">
        <v>0</v>
      </c>
      <c r="G23" s="12">
        <v>950</v>
      </c>
      <c r="H23" s="12">
        <v>0</v>
      </c>
      <c r="I23" s="12">
        <v>0</v>
      </c>
      <c r="J23" s="12"/>
      <c r="K23" s="12">
        <v>0</v>
      </c>
      <c r="L23" s="12">
        <v>0</v>
      </c>
      <c r="M23" s="12"/>
      <c r="N23" s="12">
        <v>0</v>
      </c>
      <c r="O23" s="12">
        <v>0</v>
      </c>
      <c r="P23" s="12">
        <v>0</v>
      </c>
      <c r="Q23" s="12">
        <v>0</v>
      </c>
      <c r="R23" s="12">
        <f t="shared" si="4"/>
        <v>2967.3</v>
      </c>
      <c r="S23" s="7">
        <v>20</v>
      </c>
    </row>
    <row r="24" spans="2:19" x14ac:dyDescent="0.25">
      <c r="C24" s="7">
        <v>317</v>
      </c>
      <c r="D24" s="7" t="s">
        <v>94</v>
      </c>
      <c r="E24" s="12">
        <v>7805.95</v>
      </c>
      <c r="F24" s="12">
        <v>0</v>
      </c>
      <c r="G24" s="12">
        <v>0</v>
      </c>
      <c r="H24" s="12">
        <v>0</v>
      </c>
      <c r="I24" s="12">
        <v>0</v>
      </c>
      <c r="J24" s="12"/>
      <c r="K24" s="12">
        <v>0</v>
      </c>
      <c r="L24" s="12">
        <v>0</v>
      </c>
      <c r="M24" s="12"/>
      <c r="N24" s="12">
        <v>750.1</v>
      </c>
      <c r="O24" s="12">
        <v>466.7</v>
      </c>
      <c r="P24" s="12">
        <v>323.10000000000002</v>
      </c>
      <c r="Q24" s="12">
        <v>716.5</v>
      </c>
      <c r="R24" s="12">
        <f t="shared" si="4"/>
        <v>10062.35</v>
      </c>
      <c r="S24" s="7">
        <v>21</v>
      </c>
    </row>
    <row r="25" spans="2:19" x14ac:dyDescent="0.25">
      <c r="C25" s="7">
        <v>318</v>
      </c>
      <c r="D25" s="7" t="s">
        <v>95</v>
      </c>
      <c r="E25" s="12">
        <v>0</v>
      </c>
      <c r="F25" s="12">
        <v>0</v>
      </c>
      <c r="G25" s="12">
        <v>1093.0999999999999</v>
      </c>
      <c r="H25" s="12">
        <v>0</v>
      </c>
      <c r="I25" s="12">
        <v>0</v>
      </c>
      <c r="J25" s="12"/>
      <c r="K25" s="12">
        <v>0</v>
      </c>
      <c r="L25" s="12">
        <v>0</v>
      </c>
      <c r="M25" s="12"/>
      <c r="N25" s="12">
        <v>0</v>
      </c>
      <c r="O25" s="12">
        <v>0</v>
      </c>
      <c r="P25" s="12">
        <v>0</v>
      </c>
      <c r="Q25" s="12">
        <v>8000</v>
      </c>
      <c r="R25" s="12">
        <f t="shared" si="4"/>
        <v>9093.1</v>
      </c>
      <c r="S25" s="7">
        <v>22</v>
      </c>
    </row>
    <row r="26" spans="2:19" x14ac:dyDescent="0.25">
      <c r="C26" s="7">
        <v>319</v>
      </c>
      <c r="D26" s="7" t="s">
        <v>96</v>
      </c>
      <c r="E26" s="12">
        <v>0</v>
      </c>
      <c r="F26" s="12">
        <v>0</v>
      </c>
      <c r="G26" s="12">
        <v>0</v>
      </c>
      <c r="H26" s="12">
        <v>6674.05</v>
      </c>
      <c r="I26" s="12">
        <v>1052.0999999999999</v>
      </c>
      <c r="J26" s="12"/>
      <c r="K26" s="12">
        <v>464.45</v>
      </c>
      <c r="L26" s="12">
        <v>0</v>
      </c>
      <c r="M26" s="12"/>
      <c r="N26" s="12">
        <v>0</v>
      </c>
      <c r="O26" s="12">
        <v>800</v>
      </c>
      <c r="P26" s="12">
        <v>1266.3499999999999</v>
      </c>
      <c r="Q26" s="12">
        <v>0</v>
      </c>
      <c r="R26" s="12">
        <f t="shared" si="4"/>
        <v>10256.949999999999</v>
      </c>
      <c r="S26" s="7">
        <v>23</v>
      </c>
    </row>
    <row r="27" spans="2:19" x14ac:dyDescent="0.25">
      <c r="E27" s="12"/>
      <c r="F27" s="12"/>
      <c r="G27" s="12"/>
      <c r="H27" s="12"/>
      <c r="I27" s="12"/>
      <c r="J27" s="12"/>
      <c r="K27" s="12"/>
      <c r="L27" s="12"/>
      <c r="M27" s="12"/>
      <c r="N27" s="12"/>
      <c r="O27" s="12"/>
      <c r="P27" s="12"/>
      <c r="Q27" s="12"/>
      <c r="R27" s="12"/>
      <c r="S27" s="7">
        <v>24</v>
      </c>
    </row>
    <row r="28" spans="2:19" x14ac:dyDescent="0.25">
      <c r="B28" s="66">
        <v>33</v>
      </c>
      <c r="C28" s="66"/>
      <c r="D28" s="66" t="s">
        <v>97</v>
      </c>
      <c r="E28" s="67">
        <f>E29+E30</f>
        <v>88586.1</v>
      </c>
      <c r="F28" s="67">
        <f t="shared" ref="F28:R28" si="5">F29+F30</f>
        <v>11268</v>
      </c>
      <c r="G28" s="67">
        <f t="shared" si="5"/>
        <v>2709.45</v>
      </c>
      <c r="H28" s="67">
        <f t="shared" si="5"/>
        <v>0</v>
      </c>
      <c r="I28" s="67">
        <f t="shared" si="5"/>
        <v>22339.35</v>
      </c>
      <c r="J28" s="67">
        <f t="shared" si="5"/>
        <v>0</v>
      </c>
      <c r="K28" s="67">
        <f t="shared" si="5"/>
        <v>0</v>
      </c>
      <c r="L28" s="67">
        <f t="shared" si="5"/>
        <v>0</v>
      </c>
      <c r="M28" s="67">
        <f t="shared" si="5"/>
        <v>0</v>
      </c>
      <c r="N28" s="67">
        <f t="shared" si="5"/>
        <v>0</v>
      </c>
      <c r="O28" s="67">
        <f t="shared" si="5"/>
        <v>24500</v>
      </c>
      <c r="P28" s="67">
        <f t="shared" si="5"/>
        <v>33148.9</v>
      </c>
      <c r="Q28" s="67">
        <f t="shared" si="5"/>
        <v>0</v>
      </c>
      <c r="R28" s="67">
        <f t="shared" si="5"/>
        <v>182551.8</v>
      </c>
      <c r="S28" s="7">
        <v>25</v>
      </c>
    </row>
    <row r="29" spans="2:19" x14ac:dyDescent="0.25">
      <c r="C29" s="7">
        <v>330</v>
      </c>
      <c r="D29" s="7" t="s">
        <v>99</v>
      </c>
      <c r="E29" s="12">
        <v>88586.1</v>
      </c>
      <c r="F29" s="12">
        <v>11268</v>
      </c>
      <c r="G29" s="12">
        <v>2709.45</v>
      </c>
      <c r="H29" s="12">
        <v>0</v>
      </c>
      <c r="I29" s="12">
        <v>22339.35</v>
      </c>
      <c r="J29" s="12"/>
      <c r="K29" s="12">
        <v>0</v>
      </c>
      <c r="L29" s="12">
        <v>0</v>
      </c>
      <c r="M29" s="12"/>
      <c r="N29" s="12">
        <v>0</v>
      </c>
      <c r="O29" s="12">
        <v>24500</v>
      </c>
      <c r="P29" s="12">
        <v>33148.9</v>
      </c>
      <c r="Q29" s="12">
        <v>0</v>
      </c>
      <c r="R29" s="12">
        <f>SUM(E29:Q29)</f>
        <v>182551.8</v>
      </c>
      <c r="S29" s="7">
        <v>26</v>
      </c>
    </row>
    <row r="30" spans="2:19" x14ac:dyDescent="0.25">
      <c r="C30" s="7">
        <v>332</v>
      </c>
      <c r="D30" s="7" t="s">
        <v>98</v>
      </c>
      <c r="E30" s="12">
        <v>0</v>
      </c>
      <c r="F30" s="12">
        <v>0</v>
      </c>
      <c r="G30" s="12">
        <v>0</v>
      </c>
      <c r="H30" s="12">
        <v>0</v>
      </c>
      <c r="I30" s="12">
        <v>0</v>
      </c>
      <c r="J30" s="12"/>
      <c r="K30" s="12">
        <v>0</v>
      </c>
      <c r="L30" s="12">
        <v>0</v>
      </c>
      <c r="M30" s="12"/>
      <c r="N30" s="12">
        <v>0</v>
      </c>
      <c r="O30" s="12">
        <v>0</v>
      </c>
      <c r="P30" s="12">
        <v>0</v>
      </c>
      <c r="Q30" s="12">
        <v>0</v>
      </c>
      <c r="R30" s="12">
        <f>SUM(E30:Q30)</f>
        <v>0</v>
      </c>
      <c r="S30" s="7">
        <v>27</v>
      </c>
    </row>
    <row r="31" spans="2:19" x14ac:dyDescent="0.25">
      <c r="E31" s="12"/>
      <c r="F31" s="12"/>
      <c r="G31" s="12"/>
      <c r="H31" s="12"/>
      <c r="I31" s="12"/>
      <c r="J31" s="12"/>
      <c r="K31" s="12"/>
      <c r="L31" s="12"/>
      <c r="M31" s="12"/>
      <c r="N31" s="12"/>
      <c r="O31" s="12"/>
      <c r="P31" s="12"/>
      <c r="Q31" s="12"/>
      <c r="R31" s="12"/>
      <c r="S31" s="7">
        <v>28</v>
      </c>
    </row>
    <row r="32" spans="2:19" x14ac:dyDescent="0.25">
      <c r="B32" s="66">
        <v>34</v>
      </c>
      <c r="C32" s="66"/>
      <c r="D32" s="66" t="s">
        <v>100</v>
      </c>
      <c r="E32" s="67">
        <f>E33+E34+E35+E36+E37+E38</f>
        <v>84999.33</v>
      </c>
      <c r="F32" s="67">
        <f t="shared" ref="F32:R32" si="6">F33+F34+F35+F36+F37+F38</f>
        <v>2557.65</v>
      </c>
      <c r="G32" s="67">
        <f t="shared" si="6"/>
        <v>27384.299999999996</v>
      </c>
      <c r="H32" s="67">
        <f t="shared" si="6"/>
        <v>0</v>
      </c>
      <c r="I32" s="67">
        <f t="shared" si="6"/>
        <v>8387.76</v>
      </c>
      <c r="J32" s="67">
        <f t="shared" si="6"/>
        <v>0</v>
      </c>
      <c r="K32" s="67">
        <f t="shared" si="6"/>
        <v>1993.1</v>
      </c>
      <c r="L32" s="67">
        <f t="shared" si="6"/>
        <v>3571.35</v>
      </c>
      <c r="M32" s="67">
        <f t="shared" si="6"/>
        <v>0</v>
      </c>
      <c r="N32" s="67">
        <f t="shared" si="6"/>
        <v>0</v>
      </c>
      <c r="O32" s="67">
        <f t="shared" si="6"/>
        <v>7949.9500000000007</v>
      </c>
      <c r="P32" s="67">
        <f t="shared" si="6"/>
        <v>18784.75</v>
      </c>
      <c r="Q32" s="67">
        <f t="shared" si="6"/>
        <v>6994.86</v>
      </c>
      <c r="R32" s="67">
        <f t="shared" si="6"/>
        <v>162623.04999999999</v>
      </c>
      <c r="S32" s="7">
        <v>29</v>
      </c>
    </row>
    <row r="33" spans="2:19" x14ac:dyDescent="0.25">
      <c r="C33" s="7">
        <v>340</v>
      </c>
      <c r="D33" s="7" t="s">
        <v>101</v>
      </c>
      <c r="E33" s="12">
        <v>28174.25</v>
      </c>
      <c r="F33" s="12">
        <v>2557.65</v>
      </c>
      <c r="G33" s="12">
        <v>2510</v>
      </c>
      <c r="H33" s="12">
        <v>0</v>
      </c>
      <c r="I33" s="12">
        <v>5089.3599999999997</v>
      </c>
      <c r="J33" s="12"/>
      <c r="K33" s="12">
        <v>1668.3</v>
      </c>
      <c r="L33" s="12">
        <v>0</v>
      </c>
      <c r="M33" s="12"/>
      <c r="N33" s="12">
        <v>0</v>
      </c>
      <c r="O33" s="12">
        <v>0</v>
      </c>
      <c r="P33" s="12">
        <v>13038.5</v>
      </c>
      <c r="Q33" s="12">
        <v>1585.8</v>
      </c>
      <c r="R33" s="12">
        <f t="shared" ref="R33:R38" si="7">SUM(E33:Q33)</f>
        <v>54623.860000000008</v>
      </c>
      <c r="S33" s="7">
        <v>30</v>
      </c>
    </row>
    <row r="34" spans="2:19" x14ac:dyDescent="0.25">
      <c r="C34" s="7">
        <v>341</v>
      </c>
      <c r="D34" s="7" t="s">
        <v>102</v>
      </c>
      <c r="E34" s="12">
        <v>0</v>
      </c>
      <c r="F34" s="12">
        <v>0</v>
      </c>
      <c r="G34" s="12">
        <v>0</v>
      </c>
      <c r="H34" s="12">
        <v>0</v>
      </c>
      <c r="I34" s="12">
        <v>0</v>
      </c>
      <c r="J34" s="12"/>
      <c r="K34" s="12">
        <v>0</v>
      </c>
      <c r="L34" s="12">
        <v>0</v>
      </c>
      <c r="M34" s="12"/>
      <c r="N34" s="12">
        <v>0</v>
      </c>
      <c r="O34" s="12">
        <v>0</v>
      </c>
      <c r="P34" s="12">
        <v>0</v>
      </c>
      <c r="Q34" s="12">
        <v>0</v>
      </c>
      <c r="R34" s="12">
        <f t="shared" si="7"/>
        <v>0</v>
      </c>
      <c r="S34" s="7">
        <v>31</v>
      </c>
    </row>
    <row r="35" spans="2:19" x14ac:dyDescent="0.25">
      <c r="C35" s="7">
        <v>342</v>
      </c>
      <c r="D35" s="7" t="s">
        <v>103</v>
      </c>
      <c r="E35" s="12">
        <v>0</v>
      </c>
      <c r="F35" s="12">
        <v>0</v>
      </c>
      <c r="G35" s="12">
        <v>0</v>
      </c>
      <c r="H35" s="12">
        <v>0</v>
      </c>
      <c r="I35" s="12">
        <v>0</v>
      </c>
      <c r="J35" s="12"/>
      <c r="K35" s="12">
        <v>0</v>
      </c>
      <c r="L35" s="12">
        <v>0</v>
      </c>
      <c r="M35" s="12"/>
      <c r="N35" s="12">
        <v>0</v>
      </c>
      <c r="O35" s="12">
        <v>0</v>
      </c>
      <c r="P35" s="12">
        <v>0</v>
      </c>
      <c r="Q35" s="12">
        <v>0</v>
      </c>
      <c r="R35" s="12">
        <f t="shared" si="7"/>
        <v>0</v>
      </c>
      <c r="S35" s="7">
        <v>32</v>
      </c>
    </row>
    <row r="36" spans="2:19" x14ac:dyDescent="0.25">
      <c r="C36" s="7">
        <v>343</v>
      </c>
      <c r="D36" s="7" t="s">
        <v>104</v>
      </c>
      <c r="E36" s="12">
        <v>52119.85</v>
      </c>
      <c r="F36" s="12">
        <v>0</v>
      </c>
      <c r="G36" s="12">
        <v>7045.05</v>
      </c>
      <c r="H36" s="12">
        <v>0</v>
      </c>
      <c r="I36" s="12">
        <v>3298.4</v>
      </c>
      <c r="J36" s="12"/>
      <c r="K36" s="12">
        <v>0</v>
      </c>
      <c r="L36" s="12">
        <v>0</v>
      </c>
      <c r="M36" s="12"/>
      <c r="N36" s="12">
        <v>0</v>
      </c>
      <c r="O36" s="12">
        <v>5240.3</v>
      </c>
      <c r="P36" s="12">
        <v>3710.55</v>
      </c>
      <c r="Q36" s="12">
        <v>2904.4</v>
      </c>
      <c r="R36" s="12">
        <f t="shared" si="7"/>
        <v>74318.55</v>
      </c>
      <c r="S36" s="7">
        <v>33</v>
      </c>
    </row>
    <row r="37" spans="2:19" x14ac:dyDescent="0.25">
      <c r="C37" s="7">
        <v>344</v>
      </c>
      <c r="D37" s="7" t="s">
        <v>105</v>
      </c>
      <c r="E37" s="12">
        <v>369.98</v>
      </c>
      <c r="F37" s="12">
        <v>0</v>
      </c>
      <c r="G37" s="12">
        <v>15896.15</v>
      </c>
      <c r="H37" s="12">
        <v>0</v>
      </c>
      <c r="I37" s="12">
        <v>0</v>
      </c>
      <c r="J37" s="12"/>
      <c r="K37" s="12">
        <v>0</v>
      </c>
      <c r="L37" s="12">
        <v>0</v>
      </c>
      <c r="M37" s="12"/>
      <c r="N37" s="12">
        <v>0</v>
      </c>
      <c r="O37" s="12">
        <v>0</v>
      </c>
      <c r="P37" s="12">
        <v>2035.7</v>
      </c>
      <c r="Q37" s="12">
        <v>0</v>
      </c>
      <c r="R37" s="12">
        <f t="shared" si="7"/>
        <v>18301.829999999998</v>
      </c>
      <c r="S37" s="7">
        <v>34</v>
      </c>
    </row>
    <row r="38" spans="2:19" x14ac:dyDescent="0.25">
      <c r="C38" s="7">
        <v>349</v>
      </c>
      <c r="D38" s="7" t="s">
        <v>106</v>
      </c>
      <c r="E38" s="12">
        <v>4335.25</v>
      </c>
      <c r="F38" s="12">
        <v>0</v>
      </c>
      <c r="G38" s="12">
        <v>1933.1</v>
      </c>
      <c r="H38" s="12">
        <v>0</v>
      </c>
      <c r="I38" s="12">
        <v>0</v>
      </c>
      <c r="J38" s="12"/>
      <c r="K38" s="12">
        <v>324.8</v>
      </c>
      <c r="L38" s="12">
        <v>3571.35</v>
      </c>
      <c r="M38" s="12"/>
      <c r="N38" s="12">
        <v>0</v>
      </c>
      <c r="O38" s="12">
        <v>2709.65</v>
      </c>
      <c r="P38" s="12">
        <v>0</v>
      </c>
      <c r="Q38" s="12">
        <v>2504.66</v>
      </c>
      <c r="R38" s="12">
        <f t="shared" si="7"/>
        <v>15378.81</v>
      </c>
      <c r="S38" s="7">
        <v>35</v>
      </c>
    </row>
    <row r="39" spans="2:19" x14ac:dyDescent="0.25">
      <c r="E39" s="12"/>
      <c r="F39" s="12"/>
      <c r="G39" s="12"/>
      <c r="H39" s="12"/>
      <c r="I39" s="12"/>
      <c r="J39" s="12"/>
      <c r="K39" s="12"/>
      <c r="L39" s="12"/>
      <c r="M39" s="12"/>
      <c r="N39" s="12"/>
      <c r="O39" s="12"/>
      <c r="P39" s="12"/>
      <c r="Q39" s="12"/>
      <c r="R39" s="12"/>
      <c r="S39" s="7">
        <v>36</v>
      </c>
    </row>
    <row r="40" spans="2:19" x14ac:dyDescent="0.25">
      <c r="B40" s="66">
        <v>35</v>
      </c>
      <c r="C40" s="66"/>
      <c r="D40" s="66" t="s">
        <v>108</v>
      </c>
      <c r="E40" s="67">
        <f>E41+E42</f>
        <v>0</v>
      </c>
      <c r="F40" s="67">
        <f t="shared" ref="F40:R40" si="8">F41+F42</f>
        <v>0</v>
      </c>
      <c r="G40" s="67">
        <f t="shared" si="8"/>
        <v>1.05</v>
      </c>
      <c r="H40" s="67">
        <f t="shared" si="8"/>
        <v>397.91</v>
      </c>
      <c r="I40" s="67">
        <f t="shared" si="8"/>
        <v>35980.9</v>
      </c>
      <c r="J40" s="67">
        <f t="shared" si="8"/>
        <v>0</v>
      </c>
      <c r="K40" s="67">
        <f t="shared" si="8"/>
        <v>0</v>
      </c>
      <c r="L40" s="67">
        <f t="shared" si="8"/>
        <v>5321.35</v>
      </c>
      <c r="M40" s="67">
        <f t="shared" si="8"/>
        <v>0</v>
      </c>
      <c r="N40" s="67">
        <f t="shared" si="8"/>
        <v>0</v>
      </c>
      <c r="O40" s="67">
        <f t="shared" si="8"/>
        <v>81.62</v>
      </c>
      <c r="P40" s="67">
        <f t="shared" si="8"/>
        <v>4147</v>
      </c>
      <c r="Q40" s="67">
        <f t="shared" si="8"/>
        <v>0</v>
      </c>
      <c r="R40" s="67">
        <f t="shared" si="8"/>
        <v>45929.83</v>
      </c>
      <c r="S40" s="7">
        <v>37</v>
      </c>
    </row>
    <row r="41" spans="2:19" x14ac:dyDescent="0.25">
      <c r="C41" s="7">
        <v>350</v>
      </c>
      <c r="D41" s="7" t="s">
        <v>108</v>
      </c>
      <c r="E41" s="12">
        <v>0</v>
      </c>
      <c r="F41" s="12">
        <v>0</v>
      </c>
      <c r="G41" s="12">
        <v>0</v>
      </c>
      <c r="H41" s="12">
        <v>0</v>
      </c>
      <c r="I41" s="12">
        <v>0</v>
      </c>
      <c r="J41" s="12"/>
      <c r="K41" s="12">
        <v>0</v>
      </c>
      <c r="L41" s="12">
        <v>0</v>
      </c>
      <c r="M41" s="12"/>
      <c r="N41" s="12">
        <v>0</v>
      </c>
      <c r="O41" s="12">
        <v>0</v>
      </c>
      <c r="P41" s="12">
        <v>0</v>
      </c>
      <c r="Q41" s="12">
        <v>0</v>
      </c>
      <c r="R41" s="12">
        <f t="shared" ref="R41:R42" si="9">SUM(E41:Q41)</f>
        <v>0</v>
      </c>
      <c r="S41" s="7">
        <v>38</v>
      </c>
    </row>
    <row r="42" spans="2:19" x14ac:dyDescent="0.25">
      <c r="C42" s="7">
        <v>351</v>
      </c>
      <c r="D42" s="7" t="s">
        <v>107</v>
      </c>
      <c r="E42" s="12">
        <v>0</v>
      </c>
      <c r="F42" s="12">
        <v>0</v>
      </c>
      <c r="G42" s="12">
        <v>1.05</v>
      </c>
      <c r="H42" s="12">
        <v>397.91</v>
      </c>
      <c r="I42" s="12">
        <v>35980.9</v>
      </c>
      <c r="J42" s="12"/>
      <c r="K42" s="12">
        <v>0</v>
      </c>
      <c r="L42" s="12">
        <v>5321.35</v>
      </c>
      <c r="M42" s="12"/>
      <c r="N42" s="12">
        <v>0</v>
      </c>
      <c r="O42" s="12">
        <v>81.62</v>
      </c>
      <c r="P42" s="12">
        <v>4147</v>
      </c>
      <c r="Q42" s="12">
        <v>0</v>
      </c>
      <c r="R42" s="12">
        <f t="shared" si="9"/>
        <v>45929.83</v>
      </c>
      <c r="S42" s="7">
        <v>39</v>
      </c>
    </row>
    <row r="43" spans="2:19" x14ac:dyDescent="0.25">
      <c r="E43" s="12"/>
      <c r="F43" s="12"/>
      <c r="G43" s="12"/>
      <c r="H43" s="12"/>
      <c r="I43" s="12"/>
      <c r="J43" s="12"/>
      <c r="K43" s="12"/>
      <c r="L43" s="12"/>
      <c r="M43" s="12"/>
      <c r="N43" s="12"/>
      <c r="O43" s="12"/>
      <c r="P43" s="12"/>
      <c r="Q43" s="12"/>
      <c r="R43" s="12"/>
      <c r="S43" s="7">
        <v>40</v>
      </c>
    </row>
    <row r="44" spans="2:19" x14ac:dyDescent="0.25">
      <c r="B44" s="66">
        <v>36</v>
      </c>
      <c r="C44" s="66"/>
      <c r="D44" s="66" t="s">
        <v>109</v>
      </c>
      <c r="E44" s="67">
        <f>E45+E46+E47+E48+E49+E50+E51+E52</f>
        <v>62677.35</v>
      </c>
      <c r="F44" s="67">
        <f t="shared" ref="F44:R44" si="10">F45+F46+F47+F48+F49+F50+F51+F52</f>
        <v>15803.35</v>
      </c>
      <c r="G44" s="67">
        <f t="shared" si="10"/>
        <v>15882.2</v>
      </c>
      <c r="H44" s="67">
        <f t="shared" si="10"/>
        <v>1719.55</v>
      </c>
      <c r="I44" s="67">
        <f t="shared" si="10"/>
        <v>56112.15</v>
      </c>
      <c r="J44" s="67">
        <f t="shared" si="10"/>
        <v>0</v>
      </c>
      <c r="K44" s="67">
        <f t="shared" si="10"/>
        <v>19461.5</v>
      </c>
      <c r="L44" s="67">
        <f t="shared" si="10"/>
        <v>41282.089999999997</v>
      </c>
      <c r="M44" s="67">
        <f t="shared" si="10"/>
        <v>0</v>
      </c>
      <c r="N44" s="67">
        <f t="shared" si="10"/>
        <v>9201.5</v>
      </c>
      <c r="O44" s="67">
        <f t="shared" si="10"/>
        <v>10785.85</v>
      </c>
      <c r="P44" s="67">
        <f t="shared" si="10"/>
        <v>39922.9</v>
      </c>
      <c r="Q44" s="67">
        <f t="shared" si="10"/>
        <v>21889.85</v>
      </c>
      <c r="R44" s="67">
        <f t="shared" si="10"/>
        <v>294738.29000000004</v>
      </c>
      <c r="S44" s="7">
        <v>41</v>
      </c>
    </row>
    <row r="45" spans="2:19" x14ac:dyDescent="0.25">
      <c r="C45" s="7">
        <v>360</v>
      </c>
      <c r="D45" s="7" t="s">
        <v>110</v>
      </c>
      <c r="E45" s="12">
        <v>4124.1000000000004</v>
      </c>
      <c r="F45" s="12">
        <v>0</v>
      </c>
      <c r="G45" s="12">
        <v>0</v>
      </c>
      <c r="H45" s="12">
        <v>0</v>
      </c>
      <c r="I45" s="12">
        <v>0</v>
      </c>
      <c r="J45" s="12"/>
      <c r="K45" s="12">
        <v>0</v>
      </c>
      <c r="L45" s="12">
        <v>0</v>
      </c>
      <c r="M45" s="12"/>
      <c r="N45" s="12">
        <v>0</v>
      </c>
      <c r="O45" s="12">
        <v>0</v>
      </c>
      <c r="P45" s="12">
        <v>0</v>
      </c>
      <c r="Q45" s="12">
        <v>0</v>
      </c>
      <c r="R45" s="12">
        <f t="shared" ref="R45:R52" si="11">SUM(E45:Q45)</f>
        <v>4124.1000000000004</v>
      </c>
      <c r="S45" s="7">
        <v>42</v>
      </c>
    </row>
    <row r="46" spans="2:19" x14ac:dyDescent="0.25">
      <c r="C46" s="7">
        <v>361</v>
      </c>
      <c r="D46" s="7" t="s">
        <v>111</v>
      </c>
      <c r="E46" s="12">
        <v>1897.4</v>
      </c>
      <c r="F46" s="12">
        <v>0</v>
      </c>
      <c r="G46" s="12">
        <v>0</v>
      </c>
      <c r="H46" s="12">
        <v>0</v>
      </c>
      <c r="I46" s="12">
        <v>25045</v>
      </c>
      <c r="J46" s="12"/>
      <c r="K46" s="12">
        <v>0</v>
      </c>
      <c r="L46" s="12">
        <v>0</v>
      </c>
      <c r="M46" s="12"/>
      <c r="N46" s="12">
        <v>9201.5</v>
      </c>
      <c r="O46" s="12">
        <v>0</v>
      </c>
      <c r="P46" s="12">
        <v>1799.15</v>
      </c>
      <c r="Q46" s="12">
        <v>20000</v>
      </c>
      <c r="R46" s="12">
        <f t="shared" si="11"/>
        <v>57943.05</v>
      </c>
      <c r="S46" s="7">
        <v>43</v>
      </c>
    </row>
    <row r="47" spans="2:19" x14ac:dyDescent="0.25">
      <c r="C47" s="7">
        <v>362</v>
      </c>
      <c r="D47" s="7" t="s">
        <v>112</v>
      </c>
      <c r="E47" s="12">
        <v>0</v>
      </c>
      <c r="F47" s="12">
        <v>0</v>
      </c>
      <c r="G47" s="12">
        <v>0</v>
      </c>
      <c r="H47" s="12">
        <v>0</v>
      </c>
      <c r="I47" s="12">
        <v>0</v>
      </c>
      <c r="J47" s="12"/>
      <c r="K47" s="12">
        <v>0</v>
      </c>
      <c r="L47" s="12">
        <v>0</v>
      </c>
      <c r="M47" s="12"/>
      <c r="N47" s="12">
        <v>0</v>
      </c>
      <c r="O47" s="12">
        <v>0</v>
      </c>
      <c r="P47" s="12">
        <v>0</v>
      </c>
      <c r="Q47" s="12">
        <v>0</v>
      </c>
      <c r="R47" s="12">
        <f t="shared" si="11"/>
        <v>0</v>
      </c>
      <c r="S47" s="7">
        <v>44</v>
      </c>
    </row>
    <row r="48" spans="2:19" x14ac:dyDescent="0.25">
      <c r="C48" s="7">
        <v>363</v>
      </c>
      <c r="D48" s="7" t="s">
        <v>113</v>
      </c>
      <c r="E48" s="12">
        <v>56655.85</v>
      </c>
      <c r="F48" s="12">
        <v>15803.35</v>
      </c>
      <c r="G48" s="12">
        <v>15882.2</v>
      </c>
      <c r="H48" s="12">
        <v>1719.55</v>
      </c>
      <c r="I48" s="12">
        <v>31067.15</v>
      </c>
      <c r="J48" s="12"/>
      <c r="K48" s="12">
        <v>19461.5</v>
      </c>
      <c r="L48" s="12">
        <v>41282.089999999997</v>
      </c>
      <c r="M48" s="12"/>
      <c r="N48" s="12">
        <v>0</v>
      </c>
      <c r="O48" s="12">
        <v>10785.85</v>
      </c>
      <c r="P48" s="12">
        <v>38123.75</v>
      </c>
      <c r="Q48" s="12">
        <v>1889.85</v>
      </c>
      <c r="R48" s="12">
        <f t="shared" si="11"/>
        <v>232671.14</v>
      </c>
      <c r="S48" s="7">
        <v>45</v>
      </c>
    </row>
    <row r="49" spans="2:19" x14ac:dyDescent="0.25">
      <c r="C49" s="7">
        <v>364</v>
      </c>
      <c r="D49" s="7" t="s">
        <v>114</v>
      </c>
      <c r="E49" s="12">
        <v>0</v>
      </c>
      <c r="F49" s="12">
        <v>0</v>
      </c>
      <c r="G49" s="12">
        <v>0</v>
      </c>
      <c r="H49" s="12">
        <v>0</v>
      </c>
      <c r="I49" s="12">
        <v>0</v>
      </c>
      <c r="J49" s="12"/>
      <c r="K49" s="12">
        <v>0</v>
      </c>
      <c r="L49" s="12">
        <v>0</v>
      </c>
      <c r="M49" s="12"/>
      <c r="N49" s="12">
        <v>0</v>
      </c>
      <c r="O49" s="12">
        <v>0</v>
      </c>
      <c r="P49" s="12">
        <v>0</v>
      </c>
      <c r="Q49" s="12">
        <v>0</v>
      </c>
      <c r="R49" s="12">
        <f t="shared" si="11"/>
        <v>0</v>
      </c>
      <c r="S49" s="7">
        <v>46</v>
      </c>
    </row>
    <row r="50" spans="2:19" x14ac:dyDescent="0.25">
      <c r="C50" s="7">
        <v>365</v>
      </c>
      <c r="D50" s="7" t="s">
        <v>115</v>
      </c>
      <c r="E50" s="12">
        <v>0</v>
      </c>
      <c r="F50" s="12">
        <v>0</v>
      </c>
      <c r="G50" s="12">
        <v>0</v>
      </c>
      <c r="H50" s="12">
        <v>0</v>
      </c>
      <c r="I50" s="12">
        <v>0</v>
      </c>
      <c r="J50" s="12"/>
      <c r="K50" s="12">
        <v>0</v>
      </c>
      <c r="L50" s="12">
        <v>0</v>
      </c>
      <c r="M50" s="12"/>
      <c r="N50" s="12">
        <v>0</v>
      </c>
      <c r="O50" s="12">
        <v>0</v>
      </c>
      <c r="P50" s="12">
        <v>0</v>
      </c>
      <c r="Q50" s="12">
        <v>0</v>
      </c>
      <c r="R50" s="12">
        <f t="shared" si="11"/>
        <v>0</v>
      </c>
      <c r="S50" s="7">
        <v>47</v>
      </c>
    </row>
    <row r="51" spans="2:19" x14ac:dyDescent="0.25">
      <c r="C51" s="7">
        <v>366</v>
      </c>
      <c r="D51" s="7" t="s">
        <v>116</v>
      </c>
      <c r="E51" s="12">
        <v>0</v>
      </c>
      <c r="F51" s="12">
        <v>0</v>
      </c>
      <c r="G51" s="12">
        <v>0</v>
      </c>
      <c r="H51" s="12">
        <v>0</v>
      </c>
      <c r="I51" s="12">
        <v>0</v>
      </c>
      <c r="J51" s="12"/>
      <c r="K51" s="12">
        <v>0</v>
      </c>
      <c r="L51" s="12">
        <v>0</v>
      </c>
      <c r="M51" s="12"/>
      <c r="N51" s="12">
        <v>0</v>
      </c>
      <c r="O51" s="12">
        <v>0</v>
      </c>
      <c r="P51" s="12">
        <v>0</v>
      </c>
      <c r="Q51" s="12">
        <v>0</v>
      </c>
      <c r="R51" s="12">
        <f t="shared" si="11"/>
        <v>0</v>
      </c>
      <c r="S51" s="7">
        <v>48</v>
      </c>
    </row>
    <row r="52" spans="2:19" x14ac:dyDescent="0.25">
      <c r="C52" s="7">
        <v>369</v>
      </c>
      <c r="D52" s="7" t="s">
        <v>117</v>
      </c>
      <c r="E52" s="12">
        <v>0</v>
      </c>
      <c r="F52" s="12">
        <v>0</v>
      </c>
      <c r="G52" s="12">
        <v>0</v>
      </c>
      <c r="H52" s="12">
        <v>0</v>
      </c>
      <c r="I52" s="12">
        <v>0</v>
      </c>
      <c r="J52" s="12"/>
      <c r="K52" s="12">
        <v>0</v>
      </c>
      <c r="L52" s="12">
        <v>0</v>
      </c>
      <c r="M52" s="12"/>
      <c r="N52" s="12">
        <v>0</v>
      </c>
      <c r="O52" s="12">
        <v>0</v>
      </c>
      <c r="P52" s="12">
        <v>0</v>
      </c>
      <c r="Q52" s="12">
        <v>0</v>
      </c>
      <c r="R52" s="12">
        <f t="shared" si="11"/>
        <v>0</v>
      </c>
      <c r="S52" s="7">
        <v>49</v>
      </c>
    </row>
    <row r="53" spans="2:19" x14ac:dyDescent="0.25">
      <c r="E53" s="12"/>
      <c r="F53" s="12"/>
      <c r="G53" s="12"/>
      <c r="H53" s="12"/>
      <c r="I53" s="12"/>
      <c r="J53" s="12"/>
      <c r="K53" s="12"/>
      <c r="L53" s="12"/>
      <c r="M53" s="12"/>
      <c r="N53" s="12"/>
      <c r="O53" s="12"/>
      <c r="P53" s="12"/>
      <c r="Q53" s="12"/>
      <c r="R53" s="12"/>
      <c r="S53" s="7">
        <v>50</v>
      </c>
    </row>
    <row r="54" spans="2:19" x14ac:dyDescent="0.25">
      <c r="B54" s="66">
        <v>37</v>
      </c>
      <c r="C54" s="66"/>
      <c r="D54" s="66" t="s">
        <v>118</v>
      </c>
      <c r="E54" s="67">
        <f>E55</f>
        <v>72034.5</v>
      </c>
      <c r="F54" s="67">
        <f t="shared" ref="F54:R54" si="12">F55</f>
        <v>0</v>
      </c>
      <c r="G54" s="67">
        <f t="shared" si="12"/>
        <v>0</v>
      </c>
      <c r="H54" s="67">
        <f t="shared" si="12"/>
        <v>0</v>
      </c>
      <c r="I54" s="67">
        <f t="shared" si="12"/>
        <v>0</v>
      </c>
      <c r="J54" s="67">
        <f t="shared" si="12"/>
        <v>0</v>
      </c>
      <c r="K54" s="67">
        <f t="shared" si="12"/>
        <v>5628.35</v>
      </c>
      <c r="L54" s="67">
        <f t="shared" si="12"/>
        <v>0</v>
      </c>
      <c r="M54" s="67">
        <f t="shared" si="12"/>
        <v>0</v>
      </c>
      <c r="N54" s="67">
        <f t="shared" si="12"/>
        <v>0</v>
      </c>
      <c r="O54" s="67">
        <f t="shared" si="12"/>
        <v>0</v>
      </c>
      <c r="P54" s="67">
        <f t="shared" si="12"/>
        <v>0</v>
      </c>
      <c r="Q54" s="67">
        <f t="shared" si="12"/>
        <v>151797.95000000001</v>
      </c>
      <c r="R54" s="67">
        <f t="shared" si="12"/>
        <v>229460.80000000002</v>
      </c>
      <c r="S54" s="7">
        <v>51</v>
      </c>
    </row>
    <row r="55" spans="2:19" x14ac:dyDescent="0.25">
      <c r="C55" s="7">
        <v>370</v>
      </c>
      <c r="D55" s="7" t="s">
        <v>119</v>
      </c>
      <c r="E55" s="12">
        <v>72034.5</v>
      </c>
      <c r="F55" s="12">
        <v>0</v>
      </c>
      <c r="G55" s="12">
        <v>0</v>
      </c>
      <c r="H55" s="12">
        <v>0</v>
      </c>
      <c r="I55" s="12">
        <v>0</v>
      </c>
      <c r="J55" s="12"/>
      <c r="K55" s="12">
        <v>5628.35</v>
      </c>
      <c r="L55" s="12">
        <v>0</v>
      </c>
      <c r="M55" s="12"/>
      <c r="N55" s="12">
        <v>0</v>
      </c>
      <c r="O55" s="12">
        <v>0</v>
      </c>
      <c r="P55" s="12">
        <v>0</v>
      </c>
      <c r="Q55" s="12">
        <v>151797.95000000001</v>
      </c>
      <c r="R55" s="12">
        <f>SUM(E55:Q55)</f>
        <v>229460.80000000002</v>
      </c>
      <c r="S55" s="7">
        <v>52</v>
      </c>
    </row>
    <row r="56" spans="2:19" x14ac:dyDescent="0.25">
      <c r="E56" s="12"/>
      <c r="F56" s="12"/>
      <c r="G56" s="12"/>
      <c r="H56" s="12"/>
      <c r="I56" s="12"/>
      <c r="J56" s="12"/>
      <c r="K56" s="12"/>
      <c r="L56" s="12"/>
      <c r="M56" s="12"/>
      <c r="N56" s="12"/>
      <c r="O56" s="12"/>
      <c r="P56" s="12"/>
      <c r="Q56" s="12"/>
      <c r="R56" s="12"/>
      <c r="S56" s="7">
        <v>53</v>
      </c>
    </row>
    <row r="57" spans="2:19" x14ac:dyDescent="0.25">
      <c r="B57" s="66">
        <v>38</v>
      </c>
      <c r="C57" s="66"/>
      <c r="D57" s="66" t="s">
        <v>120</v>
      </c>
      <c r="E57" s="67">
        <f>E58+E59+E60+E61+E62+E63</f>
        <v>0</v>
      </c>
      <c r="F57" s="67">
        <f t="shared" ref="F57:R57" si="13">F58+F59+F60+F61+F62+F63</f>
        <v>0</v>
      </c>
      <c r="G57" s="67">
        <f t="shared" si="13"/>
        <v>0</v>
      </c>
      <c r="H57" s="67">
        <f t="shared" si="13"/>
        <v>0</v>
      </c>
      <c r="I57" s="67">
        <f t="shared" si="13"/>
        <v>0</v>
      </c>
      <c r="J57" s="67">
        <f t="shared" si="13"/>
        <v>0</v>
      </c>
      <c r="K57" s="67">
        <f t="shared" si="13"/>
        <v>0</v>
      </c>
      <c r="L57" s="67">
        <f t="shared" si="13"/>
        <v>0</v>
      </c>
      <c r="M57" s="67">
        <f t="shared" si="13"/>
        <v>0</v>
      </c>
      <c r="N57" s="67">
        <f t="shared" si="13"/>
        <v>0</v>
      </c>
      <c r="O57" s="67">
        <f t="shared" si="13"/>
        <v>58800</v>
      </c>
      <c r="P57" s="67">
        <f t="shared" si="13"/>
        <v>0</v>
      </c>
      <c r="Q57" s="67">
        <f t="shared" si="13"/>
        <v>0</v>
      </c>
      <c r="R57" s="67">
        <f t="shared" si="13"/>
        <v>58800</v>
      </c>
      <c r="S57" s="7">
        <v>54</v>
      </c>
    </row>
    <row r="58" spans="2:19" x14ac:dyDescent="0.25">
      <c r="C58" s="7">
        <v>380</v>
      </c>
      <c r="D58" s="7" t="s">
        <v>121</v>
      </c>
      <c r="E58" s="12">
        <v>0</v>
      </c>
      <c r="F58" s="12">
        <v>0</v>
      </c>
      <c r="G58" s="12">
        <v>0</v>
      </c>
      <c r="H58" s="12">
        <v>0</v>
      </c>
      <c r="I58" s="12">
        <v>0</v>
      </c>
      <c r="J58" s="12"/>
      <c r="K58" s="12">
        <v>0</v>
      </c>
      <c r="L58" s="12">
        <v>0</v>
      </c>
      <c r="M58" s="12"/>
      <c r="N58" s="12">
        <v>0</v>
      </c>
      <c r="O58" s="12">
        <v>0</v>
      </c>
      <c r="P58" s="12">
        <v>0</v>
      </c>
      <c r="Q58" s="12">
        <v>0</v>
      </c>
      <c r="R58" s="12">
        <f t="shared" ref="R58:R63" si="14">SUM(E58:Q58)</f>
        <v>0</v>
      </c>
      <c r="S58" s="7">
        <v>55</v>
      </c>
    </row>
    <row r="59" spans="2:19" x14ac:dyDescent="0.25">
      <c r="C59" s="7">
        <v>381</v>
      </c>
      <c r="D59" s="7" t="s">
        <v>122</v>
      </c>
      <c r="E59" s="12">
        <v>0</v>
      </c>
      <c r="F59" s="12">
        <v>0</v>
      </c>
      <c r="G59" s="12">
        <v>0</v>
      </c>
      <c r="H59" s="12">
        <v>0</v>
      </c>
      <c r="I59" s="12">
        <v>0</v>
      </c>
      <c r="J59" s="12"/>
      <c r="K59" s="12">
        <v>0</v>
      </c>
      <c r="L59" s="12">
        <v>0</v>
      </c>
      <c r="M59" s="12"/>
      <c r="N59" s="12">
        <v>0</v>
      </c>
      <c r="O59" s="12">
        <v>0</v>
      </c>
      <c r="P59" s="12">
        <v>0</v>
      </c>
      <c r="Q59" s="12">
        <v>0</v>
      </c>
      <c r="R59" s="12">
        <f t="shared" si="14"/>
        <v>0</v>
      </c>
      <c r="S59" s="7">
        <v>56</v>
      </c>
    </row>
    <row r="60" spans="2:19" x14ac:dyDescent="0.25">
      <c r="C60" s="7">
        <v>384</v>
      </c>
      <c r="D60" s="7" t="s">
        <v>123</v>
      </c>
      <c r="E60" s="12">
        <v>0</v>
      </c>
      <c r="F60" s="12">
        <v>0</v>
      </c>
      <c r="G60" s="12">
        <v>0</v>
      </c>
      <c r="H60" s="12">
        <v>0</v>
      </c>
      <c r="I60" s="12">
        <v>0</v>
      </c>
      <c r="J60" s="12"/>
      <c r="K60" s="12">
        <v>0</v>
      </c>
      <c r="L60" s="12">
        <v>0</v>
      </c>
      <c r="M60" s="12"/>
      <c r="N60" s="12">
        <v>0</v>
      </c>
      <c r="O60" s="12">
        <v>0</v>
      </c>
      <c r="P60" s="12">
        <v>0</v>
      </c>
      <c r="Q60" s="12">
        <v>0</v>
      </c>
      <c r="R60" s="12">
        <f t="shared" si="14"/>
        <v>0</v>
      </c>
      <c r="S60" s="7">
        <v>57</v>
      </c>
    </row>
    <row r="61" spans="2:19" x14ac:dyDescent="0.25">
      <c r="C61" s="7">
        <v>385</v>
      </c>
      <c r="D61" s="7" t="s">
        <v>124</v>
      </c>
      <c r="E61" s="12">
        <v>0</v>
      </c>
      <c r="F61" s="12">
        <v>0</v>
      </c>
      <c r="G61" s="12">
        <v>0</v>
      </c>
      <c r="H61" s="12">
        <v>0</v>
      </c>
      <c r="I61" s="12">
        <v>0</v>
      </c>
      <c r="J61" s="12"/>
      <c r="K61" s="12">
        <v>0</v>
      </c>
      <c r="L61" s="12">
        <v>0</v>
      </c>
      <c r="M61" s="12"/>
      <c r="N61" s="12">
        <v>0</v>
      </c>
      <c r="O61" s="12">
        <v>0</v>
      </c>
      <c r="P61" s="12">
        <v>0</v>
      </c>
      <c r="Q61" s="12">
        <v>0</v>
      </c>
      <c r="R61" s="12">
        <f t="shared" si="14"/>
        <v>0</v>
      </c>
      <c r="S61" s="7">
        <v>58</v>
      </c>
    </row>
    <row r="62" spans="2:19" x14ac:dyDescent="0.25">
      <c r="C62" s="7">
        <v>386</v>
      </c>
      <c r="D62" s="7" t="s">
        <v>125</v>
      </c>
      <c r="E62" s="12">
        <v>0</v>
      </c>
      <c r="F62" s="12">
        <v>0</v>
      </c>
      <c r="G62" s="12">
        <v>0</v>
      </c>
      <c r="H62" s="12">
        <v>0</v>
      </c>
      <c r="I62" s="12">
        <v>0</v>
      </c>
      <c r="J62" s="12"/>
      <c r="K62" s="12">
        <v>0</v>
      </c>
      <c r="L62" s="12">
        <v>0</v>
      </c>
      <c r="M62" s="12"/>
      <c r="N62" s="12">
        <v>0</v>
      </c>
      <c r="O62" s="12">
        <v>0</v>
      </c>
      <c r="P62" s="12">
        <v>0</v>
      </c>
      <c r="Q62" s="12">
        <v>0</v>
      </c>
      <c r="R62" s="12">
        <f t="shared" si="14"/>
        <v>0</v>
      </c>
      <c r="S62" s="7">
        <v>59</v>
      </c>
    </row>
    <row r="63" spans="2:19" x14ac:dyDescent="0.25">
      <c r="C63" s="7">
        <v>389</v>
      </c>
      <c r="D63" s="7" t="s">
        <v>289</v>
      </c>
      <c r="E63" s="12">
        <v>0</v>
      </c>
      <c r="F63" s="12">
        <v>0</v>
      </c>
      <c r="G63" s="12">
        <v>0</v>
      </c>
      <c r="H63" s="12">
        <v>0</v>
      </c>
      <c r="I63" s="12">
        <v>0</v>
      </c>
      <c r="J63" s="12"/>
      <c r="K63" s="12">
        <v>0</v>
      </c>
      <c r="L63" s="12">
        <v>0</v>
      </c>
      <c r="M63" s="12"/>
      <c r="N63" s="12">
        <v>0</v>
      </c>
      <c r="O63" s="12">
        <v>58800</v>
      </c>
      <c r="P63" s="12">
        <v>0</v>
      </c>
      <c r="Q63" s="12">
        <v>0</v>
      </c>
      <c r="R63" s="12">
        <f t="shared" si="14"/>
        <v>58800</v>
      </c>
      <c r="S63" s="7">
        <v>60</v>
      </c>
    </row>
    <row r="64" spans="2:19" x14ac:dyDescent="0.25">
      <c r="E64" s="12"/>
      <c r="F64" s="12"/>
      <c r="G64" s="12"/>
      <c r="H64" s="12"/>
      <c r="I64" s="12"/>
      <c r="J64" s="12"/>
      <c r="K64" s="12"/>
      <c r="L64" s="12"/>
      <c r="M64" s="12"/>
      <c r="N64" s="12"/>
      <c r="O64" s="12"/>
      <c r="P64" s="12"/>
      <c r="Q64" s="12"/>
      <c r="R64" s="12"/>
      <c r="S64" s="7">
        <v>61</v>
      </c>
    </row>
    <row r="65" spans="1:19" x14ac:dyDescent="0.25">
      <c r="B65" s="66">
        <v>39</v>
      </c>
      <c r="C65" s="66"/>
      <c r="D65" s="66" t="s">
        <v>127</v>
      </c>
      <c r="E65" s="67">
        <f>E66+E67+E68+E69+E70+E71+E72+E73</f>
        <v>108444.5</v>
      </c>
      <c r="F65" s="67">
        <f t="shared" ref="F65:R65" si="15">F66+F67+F68+F69+F70+F71+F72+F73</f>
        <v>0</v>
      </c>
      <c r="G65" s="67">
        <f t="shared" si="15"/>
        <v>3000</v>
      </c>
      <c r="H65" s="67">
        <f t="shared" si="15"/>
        <v>0</v>
      </c>
      <c r="I65" s="67">
        <f t="shared" si="15"/>
        <v>0</v>
      </c>
      <c r="J65" s="67">
        <f t="shared" si="15"/>
        <v>0</v>
      </c>
      <c r="K65" s="67">
        <f t="shared" si="15"/>
        <v>0</v>
      </c>
      <c r="L65" s="67">
        <f t="shared" si="15"/>
        <v>1037.8</v>
      </c>
      <c r="M65" s="67">
        <f t="shared" si="15"/>
        <v>0</v>
      </c>
      <c r="N65" s="67">
        <f t="shared" si="15"/>
        <v>0</v>
      </c>
      <c r="O65" s="67">
        <f t="shared" si="15"/>
        <v>0</v>
      </c>
      <c r="P65" s="67">
        <f t="shared" si="15"/>
        <v>24863.1</v>
      </c>
      <c r="Q65" s="67">
        <f t="shared" si="15"/>
        <v>0</v>
      </c>
      <c r="R65" s="67">
        <f t="shared" si="15"/>
        <v>137345.40000000002</v>
      </c>
      <c r="S65" s="7">
        <v>62</v>
      </c>
    </row>
    <row r="66" spans="1:19" x14ac:dyDescent="0.25">
      <c r="C66" s="7">
        <v>390</v>
      </c>
      <c r="D66" s="7" t="s">
        <v>128</v>
      </c>
      <c r="E66" s="12">
        <v>13451.3</v>
      </c>
      <c r="F66" s="12">
        <v>0</v>
      </c>
      <c r="G66" s="12">
        <v>0</v>
      </c>
      <c r="H66" s="12">
        <v>0</v>
      </c>
      <c r="I66" s="12">
        <v>0</v>
      </c>
      <c r="J66" s="12"/>
      <c r="K66" s="12">
        <v>0</v>
      </c>
      <c r="L66" s="12">
        <v>0</v>
      </c>
      <c r="M66" s="12"/>
      <c r="N66" s="12">
        <v>0</v>
      </c>
      <c r="O66" s="12">
        <v>0</v>
      </c>
      <c r="P66" s="12">
        <v>0</v>
      </c>
      <c r="Q66" s="12">
        <v>0</v>
      </c>
      <c r="R66" s="12">
        <f t="shared" ref="R66:R74" si="16">SUM(E66:Q66)</f>
        <v>13451.3</v>
      </c>
      <c r="S66" s="7">
        <v>63</v>
      </c>
    </row>
    <row r="67" spans="1:19" x14ac:dyDescent="0.25">
      <c r="C67" s="7">
        <v>391</v>
      </c>
      <c r="D67" s="7" t="s">
        <v>129</v>
      </c>
      <c r="E67" s="12">
        <v>88493.2</v>
      </c>
      <c r="F67" s="12">
        <v>0</v>
      </c>
      <c r="G67" s="12">
        <v>3000</v>
      </c>
      <c r="H67" s="12">
        <v>0</v>
      </c>
      <c r="I67" s="12">
        <v>0</v>
      </c>
      <c r="J67" s="12"/>
      <c r="K67" s="12">
        <v>0</v>
      </c>
      <c r="L67" s="12">
        <v>1037.8</v>
      </c>
      <c r="M67" s="12"/>
      <c r="N67" s="12">
        <v>0</v>
      </c>
      <c r="O67" s="12">
        <v>0</v>
      </c>
      <c r="P67" s="12">
        <v>24863.1</v>
      </c>
      <c r="Q67" s="12">
        <v>0</v>
      </c>
      <c r="R67" s="12">
        <f t="shared" si="16"/>
        <v>117394.1</v>
      </c>
      <c r="S67" s="7">
        <v>64</v>
      </c>
    </row>
    <row r="68" spans="1:19" x14ac:dyDescent="0.25">
      <c r="C68" s="7">
        <v>392</v>
      </c>
      <c r="D68" s="7" t="s">
        <v>130</v>
      </c>
      <c r="E68" s="12">
        <v>0</v>
      </c>
      <c r="F68" s="12">
        <v>0</v>
      </c>
      <c r="G68" s="12">
        <v>0</v>
      </c>
      <c r="H68" s="12">
        <v>0</v>
      </c>
      <c r="I68" s="12">
        <v>0</v>
      </c>
      <c r="J68" s="12"/>
      <c r="K68" s="12">
        <v>0</v>
      </c>
      <c r="L68" s="12">
        <v>0</v>
      </c>
      <c r="M68" s="12"/>
      <c r="N68" s="12">
        <v>0</v>
      </c>
      <c r="O68" s="12">
        <v>0</v>
      </c>
      <c r="P68" s="12">
        <v>0</v>
      </c>
      <c r="Q68" s="12">
        <v>0</v>
      </c>
      <c r="R68" s="12">
        <f t="shared" si="16"/>
        <v>0</v>
      </c>
      <c r="S68" s="7">
        <v>65</v>
      </c>
    </row>
    <row r="69" spans="1:19" x14ac:dyDescent="0.25">
      <c r="C69" s="7">
        <v>393</v>
      </c>
      <c r="D69" s="7" t="s">
        <v>131</v>
      </c>
      <c r="E69" s="12">
        <v>6500</v>
      </c>
      <c r="F69" s="12">
        <v>0</v>
      </c>
      <c r="G69" s="12">
        <v>0</v>
      </c>
      <c r="H69" s="12">
        <v>0</v>
      </c>
      <c r="I69" s="12">
        <v>0</v>
      </c>
      <c r="J69" s="12"/>
      <c r="K69" s="12">
        <v>0</v>
      </c>
      <c r="L69" s="12">
        <v>0</v>
      </c>
      <c r="M69" s="12"/>
      <c r="N69" s="12">
        <v>0</v>
      </c>
      <c r="O69" s="12">
        <v>0</v>
      </c>
      <c r="P69" s="12">
        <v>0</v>
      </c>
      <c r="Q69" s="12">
        <v>0</v>
      </c>
      <c r="R69" s="12">
        <f t="shared" si="16"/>
        <v>6500</v>
      </c>
      <c r="S69" s="7">
        <v>66</v>
      </c>
    </row>
    <row r="70" spans="1:19" x14ac:dyDescent="0.25">
      <c r="C70" s="7">
        <v>394</v>
      </c>
      <c r="D70" s="7" t="s">
        <v>132</v>
      </c>
      <c r="E70" s="12">
        <v>0</v>
      </c>
      <c r="F70" s="12">
        <v>0</v>
      </c>
      <c r="G70" s="12">
        <v>0</v>
      </c>
      <c r="H70" s="12">
        <v>0</v>
      </c>
      <c r="I70" s="12">
        <v>0</v>
      </c>
      <c r="J70" s="12"/>
      <c r="K70" s="12">
        <v>0</v>
      </c>
      <c r="L70" s="12">
        <v>0</v>
      </c>
      <c r="M70" s="12"/>
      <c r="N70" s="12">
        <v>0</v>
      </c>
      <c r="O70" s="12">
        <v>0</v>
      </c>
      <c r="P70" s="12">
        <v>0</v>
      </c>
      <c r="Q70" s="12">
        <v>0</v>
      </c>
      <c r="R70" s="12">
        <f t="shared" si="16"/>
        <v>0</v>
      </c>
      <c r="S70" s="7">
        <v>67</v>
      </c>
    </row>
    <row r="71" spans="1:19" x14ac:dyDescent="0.25">
      <c r="C71" s="7">
        <v>395</v>
      </c>
      <c r="D71" s="7" t="s">
        <v>133</v>
      </c>
      <c r="E71" s="12">
        <v>0</v>
      </c>
      <c r="F71" s="12">
        <v>0</v>
      </c>
      <c r="G71" s="12">
        <v>0</v>
      </c>
      <c r="H71" s="12">
        <v>0</v>
      </c>
      <c r="I71" s="12">
        <v>0</v>
      </c>
      <c r="J71" s="12"/>
      <c r="K71" s="12">
        <v>0</v>
      </c>
      <c r="L71" s="12">
        <v>0</v>
      </c>
      <c r="M71" s="12"/>
      <c r="N71" s="12">
        <v>0</v>
      </c>
      <c r="O71" s="12">
        <v>0</v>
      </c>
      <c r="P71" s="12">
        <v>0</v>
      </c>
      <c r="Q71" s="12">
        <v>0</v>
      </c>
      <c r="R71" s="12">
        <f t="shared" si="16"/>
        <v>0</v>
      </c>
      <c r="S71" s="7">
        <v>68</v>
      </c>
    </row>
    <row r="72" spans="1:19" x14ac:dyDescent="0.25">
      <c r="C72" s="7">
        <v>398</v>
      </c>
      <c r="D72" s="7" t="s">
        <v>134</v>
      </c>
      <c r="E72" s="12">
        <v>0</v>
      </c>
      <c r="F72" s="12">
        <v>0</v>
      </c>
      <c r="G72" s="12">
        <v>0</v>
      </c>
      <c r="H72" s="12">
        <v>0</v>
      </c>
      <c r="I72" s="12">
        <v>0</v>
      </c>
      <c r="J72" s="12"/>
      <c r="K72" s="12">
        <v>0</v>
      </c>
      <c r="L72" s="12">
        <v>0</v>
      </c>
      <c r="M72" s="12"/>
      <c r="N72" s="12">
        <v>0</v>
      </c>
      <c r="O72" s="12">
        <v>0</v>
      </c>
      <c r="P72" s="12">
        <v>0</v>
      </c>
      <c r="Q72" s="12">
        <v>0</v>
      </c>
      <c r="R72" s="12">
        <f t="shared" si="16"/>
        <v>0</v>
      </c>
      <c r="S72" s="7">
        <v>69</v>
      </c>
    </row>
    <row r="73" spans="1:19" x14ac:dyDescent="0.25">
      <c r="C73" s="7">
        <v>399</v>
      </c>
      <c r="D73" s="7" t="s">
        <v>135</v>
      </c>
      <c r="E73" s="12">
        <v>0</v>
      </c>
      <c r="F73" s="12">
        <v>0</v>
      </c>
      <c r="G73" s="12">
        <v>0</v>
      </c>
      <c r="H73" s="12">
        <v>0</v>
      </c>
      <c r="I73" s="12">
        <v>0</v>
      </c>
      <c r="J73" s="12"/>
      <c r="K73" s="12">
        <v>0</v>
      </c>
      <c r="L73" s="12">
        <v>0</v>
      </c>
      <c r="M73" s="12"/>
      <c r="N73" s="12">
        <v>0</v>
      </c>
      <c r="O73" s="12">
        <v>0</v>
      </c>
      <c r="P73" s="12">
        <v>0</v>
      </c>
      <c r="Q73" s="12">
        <v>0</v>
      </c>
      <c r="R73" s="12">
        <f t="shared" si="16"/>
        <v>0</v>
      </c>
      <c r="S73" s="7">
        <v>70</v>
      </c>
    </row>
    <row r="74" spans="1:19" x14ac:dyDescent="0.25">
      <c r="E74" s="12"/>
      <c r="F74" s="12"/>
      <c r="G74" s="12"/>
      <c r="H74" s="12"/>
      <c r="I74" s="12"/>
      <c r="J74" s="12"/>
      <c r="K74" s="12"/>
      <c r="L74" s="12"/>
      <c r="M74" s="12"/>
      <c r="N74" s="12"/>
      <c r="O74" s="12"/>
      <c r="P74" s="12"/>
      <c r="Q74" s="12">
        <v>0</v>
      </c>
      <c r="R74" s="12">
        <f t="shared" si="16"/>
        <v>0</v>
      </c>
      <c r="S74" s="7">
        <v>71</v>
      </c>
    </row>
    <row r="75" spans="1:19" x14ac:dyDescent="0.25">
      <c r="E75" s="12"/>
      <c r="F75" s="12"/>
      <c r="G75" s="12"/>
      <c r="H75" s="12"/>
      <c r="I75" s="12"/>
      <c r="J75" s="12"/>
      <c r="K75" s="12"/>
      <c r="L75" s="12"/>
      <c r="M75" s="12"/>
      <c r="N75" s="12"/>
      <c r="O75" s="12"/>
      <c r="P75" s="12"/>
      <c r="Q75" s="12"/>
      <c r="R75" s="12"/>
      <c r="S75" s="7">
        <v>72</v>
      </c>
    </row>
    <row r="76" spans="1:19" ht="21" x14ac:dyDescent="0.4">
      <c r="A76" s="13">
        <v>4</v>
      </c>
      <c r="B76" s="13"/>
      <c r="C76" s="13"/>
      <c r="D76" s="13" t="s">
        <v>136</v>
      </c>
      <c r="E76" s="14">
        <f>E77+E83+E89+E100+E106+E118+E122+E129+E132+E141</f>
        <v>1003307.0499999999</v>
      </c>
      <c r="F76" s="14">
        <f t="shared" ref="F76:R76" si="17">F77+F83+F89+F100+F106+F118+F122+F129+F132+F141</f>
        <v>113013.9</v>
      </c>
      <c r="G76" s="14">
        <f t="shared" si="17"/>
        <v>173734.66999999998</v>
      </c>
      <c r="H76" s="14">
        <f t="shared" si="17"/>
        <v>56710.71</v>
      </c>
      <c r="I76" s="14">
        <f t="shared" si="17"/>
        <v>309143.85000000003</v>
      </c>
      <c r="J76" s="14">
        <f t="shared" si="17"/>
        <v>0</v>
      </c>
      <c r="K76" s="14">
        <f t="shared" si="17"/>
        <v>97677.1</v>
      </c>
      <c r="L76" s="14">
        <f t="shared" si="17"/>
        <v>196689.99</v>
      </c>
      <c r="M76" s="14">
        <f t="shared" si="17"/>
        <v>0</v>
      </c>
      <c r="N76" s="14">
        <f t="shared" si="17"/>
        <v>32747.149999999998</v>
      </c>
      <c r="O76" s="14">
        <f t="shared" si="17"/>
        <v>237341.01</v>
      </c>
      <c r="P76" s="14">
        <f t="shared" si="17"/>
        <v>192997.19999999998</v>
      </c>
      <c r="Q76" s="14">
        <f t="shared" si="17"/>
        <v>457029.49</v>
      </c>
      <c r="R76" s="14">
        <f t="shared" si="17"/>
        <v>2870392.1199999996</v>
      </c>
      <c r="S76" s="7">
        <v>73</v>
      </c>
    </row>
    <row r="77" spans="1:19" x14ac:dyDescent="0.25">
      <c r="A77" s="6"/>
      <c r="B77" s="68">
        <v>40</v>
      </c>
      <c r="C77" s="68"/>
      <c r="D77" s="68" t="s">
        <v>79</v>
      </c>
      <c r="E77" s="69">
        <f>E78+E79+E80+E81</f>
        <v>337.5</v>
      </c>
      <c r="F77" s="69">
        <f t="shared" ref="F77:R77" si="18">F78+F79+F80+F81</f>
        <v>0</v>
      </c>
      <c r="G77" s="69">
        <f t="shared" si="18"/>
        <v>0</v>
      </c>
      <c r="H77" s="69">
        <f t="shared" si="18"/>
        <v>0</v>
      </c>
      <c r="I77" s="69">
        <f t="shared" si="18"/>
        <v>0</v>
      </c>
      <c r="J77" s="69">
        <f t="shared" si="18"/>
        <v>0</v>
      </c>
      <c r="K77" s="69">
        <f t="shared" si="18"/>
        <v>0</v>
      </c>
      <c r="L77" s="69">
        <f t="shared" si="18"/>
        <v>0</v>
      </c>
      <c r="M77" s="69">
        <f t="shared" si="18"/>
        <v>0</v>
      </c>
      <c r="N77" s="69">
        <f t="shared" si="18"/>
        <v>0</v>
      </c>
      <c r="O77" s="69">
        <f t="shared" si="18"/>
        <v>0</v>
      </c>
      <c r="P77" s="69">
        <f t="shared" si="18"/>
        <v>0</v>
      </c>
      <c r="Q77" s="69">
        <f t="shared" si="18"/>
        <v>0</v>
      </c>
      <c r="R77" s="69">
        <f t="shared" si="18"/>
        <v>337.5</v>
      </c>
      <c r="S77" s="7">
        <v>74</v>
      </c>
    </row>
    <row r="78" spans="1:19" x14ac:dyDescent="0.25">
      <c r="C78" s="7">
        <v>400</v>
      </c>
      <c r="D78" s="7" t="s">
        <v>137</v>
      </c>
      <c r="E78" s="12">
        <v>0</v>
      </c>
      <c r="F78" s="12">
        <v>0</v>
      </c>
      <c r="G78" s="12">
        <v>0</v>
      </c>
      <c r="H78" s="12">
        <v>0</v>
      </c>
      <c r="I78" s="12">
        <v>0</v>
      </c>
      <c r="J78" s="12"/>
      <c r="K78" s="12">
        <v>0</v>
      </c>
      <c r="L78" s="12">
        <v>0</v>
      </c>
      <c r="M78" s="12"/>
      <c r="N78" s="12">
        <v>0</v>
      </c>
      <c r="O78" s="12">
        <v>0</v>
      </c>
      <c r="P78" s="12">
        <v>0</v>
      </c>
      <c r="Q78" s="12">
        <v>0</v>
      </c>
      <c r="R78" s="12">
        <f>SUM(E78:Q78)</f>
        <v>0</v>
      </c>
      <c r="S78" s="7">
        <v>75</v>
      </c>
    </row>
    <row r="79" spans="1:19" x14ac:dyDescent="0.25">
      <c r="C79" s="7">
        <v>401</v>
      </c>
      <c r="D79" s="7" t="s">
        <v>138</v>
      </c>
      <c r="E79" s="12">
        <v>0</v>
      </c>
      <c r="F79" s="12">
        <v>0</v>
      </c>
      <c r="G79" s="12">
        <v>0</v>
      </c>
      <c r="H79" s="12">
        <v>0</v>
      </c>
      <c r="I79" s="12">
        <v>0</v>
      </c>
      <c r="J79" s="12"/>
      <c r="K79" s="12">
        <v>0</v>
      </c>
      <c r="L79" s="12">
        <v>0</v>
      </c>
      <c r="M79" s="12"/>
      <c r="N79" s="12">
        <v>0</v>
      </c>
      <c r="O79" s="12">
        <v>0</v>
      </c>
      <c r="P79" s="12">
        <v>0</v>
      </c>
      <c r="Q79" s="12">
        <v>0</v>
      </c>
      <c r="R79" s="12">
        <f>SUM(E79:Q79)</f>
        <v>0</v>
      </c>
      <c r="S79" s="7">
        <v>76</v>
      </c>
    </row>
    <row r="80" spans="1:19" x14ac:dyDescent="0.25">
      <c r="C80" s="7">
        <v>402</v>
      </c>
      <c r="D80" s="7" t="s">
        <v>139</v>
      </c>
      <c r="E80" s="12">
        <v>337.5</v>
      </c>
      <c r="F80" s="12">
        <v>0</v>
      </c>
      <c r="G80" s="12">
        <v>0</v>
      </c>
      <c r="H80" s="12">
        <v>0</v>
      </c>
      <c r="I80" s="12">
        <v>0</v>
      </c>
      <c r="J80" s="12"/>
      <c r="K80" s="12">
        <v>0</v>
      </c>
      <c r="L80" s="12">
        <v>0</v>
      </c>
      <c r="M80" s="12"/>
      <c r="N80" s="12">
        <v>0</v>
      </c>
      <c r="O80" s="12">
        <v>0</v>
      </c>
      <c r="P80" s="12">
        <v>0</v>
      </c>
      <c r="Q80" s="12">
        <v>0</v>
      </c>
      <c r="R80" s="12">
        <f>SUM(E80:Q80)</f>
        <v>337.5</v>
      </c>
      <c r="S80" s="7">
        <v>77</v>
      </c>
    </row>
    <row r="81" spans="2:19" x14ac:dyDescent="0.25">
      <c r="C81" s="7">
        <v>403</v>
      </c>
      <c r="D81" s="7" t="s">
        <v>140</v>
      </c>
      <c r="E81" s="12">
        <v>0</v>
      </c>
      <c r="F81" s="12">
        <v>0</v>
      </c>
      <c r="G81" s="12">
        <v>0</v>
      </c>
      <c r="H81" s="12">
        <v>0</v>
      </c>
      <c r="I81" s="12">
        <v>0</v>
      </c>
      <c r="J81" s="12"/>
      <c r="K81" s="12">
        <v>0</v>
      </c>
      <c r="L81" s="12">
        <v>0</v>
      </c>
      <c r="M81" s="12"/>
      <c r="N81" s="12">
        <v>0</v>
      </c>
      <c r="O81" s="12">
        <v>0</v>
      </c>
      <c r="P81" s="12">
        <v>0</v>
      </c>
      <c r="Q81" s="12">
        <v>0</v>
      </c>
      <c r="R81" s="12">
        <f>SUM(E81:Q81)</f>
        <v>0</v>
      </c>
      <c r="S81" s="7">
        <v>78</v>
      </c>
    </row>
    <row r="82" spans="2:19" x14ac:dyDescent="0.25">
      <c r="E82" s="12"/>
      <c r="F82" s="12"/>
      <c r="G82" s="12"/>
      <c r="H82" s="12"/>
      <c r="I82" s="12"/>
      <c r="J82" s="12"/>
      <c r="K82" s="12"/>
      <c r="L82" s="12"/>
      <c r="M82" s="12"/>
      <c r="N82" s="12"/>
      <c r="O82" s="12"/>
      <c r="P82" s="12"/>
      <c r="Q82" s="12"/>
      <c r="R82" s="12"/>
      <c r="S82" s="7">
        <v>79</v>
      </c>
    </row>
    <row r="83" spans="2:19" x14ac:dyDescent="0.25">
      <c r="B83" s="68">
        <v>41</v>
      </c>
      <c r="C83" s="68"/>
      <c r="D83" s="68" t="s">
        <v>141</v>
      </c>
      <c r="E83" s="69">
        <f>E84+E85+E86+E87</f>
        <v>7410</v>
      </c>
      <c r="F83" s="69">
        <f t="shared" ref="F83:R83" si="19">F84+F85+F86+F87</f>
        <v>0</v>
      </c>
      <c r="G83" s="69">
        <f t="shared" si="19"/>
        <v>0</v>
      </c>
      <c r="H83" s="69">
        <f t="shared" si="19"/>
        <v>0</v>
      </c>
      <c r="I83" s="69">
        <f t="shared" si="19"/>
        <v>0</v>
      </c>
      <c r="J83" s="69">
        <f t="shared" si="19"/>
        <v>0</v>
      </c>
      <c r="K83" s="69">
        <f t="shared" si="19"/>
        <v>0</v>
      </c>
      <c r="L83" s="69">
        <f t="shared" si="19"/>
        <v>0</v>
      </c>
      <c r="M83" s="69">
        <f t="shared" si="19"/>
        <v>0</v>
      </c>
      <c r="N83" s="69">
        <f t="shared" si="19"/>
        <v>0</v>
      </c>
      <c r="O83" s="69">
        <f t="shared" si="19"/>
        <v>0</v>
      </c>
      <c r="P83" s="69">
        <f t="shared" si="19"/>
        <v>0</v>
      </c>
      <c r="Q83" s="69">
        <f t="shared" si="19"/>
        <v>0</v>
      </c>
      <c r="R83" s="69">
        <f t="shared" si="19"/>
        <v>7410</v>
      </c>
      <c r="S83" s="7">
        <v>80</v>
      </c>
    </row>
    <row r="84" spans="2:19" x14ac:dyDescent="0.25">
      <c r="C84" s="7">
        <v>410</v>
      </c>
      <c r="D84" s="7" t="s">
        <v>142</v>
      </c>
      <c r="E84" s="12">
        <v>0</v>
      </c>
      <c r="F84" s="12">
        <v>0</v>
      </c>
      <c r="G84" s="12">
        <v>0</v>
      </c>
      <c r="H84" s="12">
        <v>0</v>
      </c>
      <c r="I84" s="12">
        <v>0</v>
      </c>
      <c r="J84" s="12"/>
      <c r="K84" s="12">
        <v>0</v>
      </c>
      <c r="L84" s="12">
        <v>0</v>
      </c>
      <c r="M84" s="12"/>
      <c r="N84" s="12">
        <v>0</v>
      </c>
      <c r="O84" s="12">
        <v>0</v>
      </c>
      <c r="P84" s="12">
        <v>0</v>
      </c>
      <c r="Q84" s="12">
        <v>0</v>
      </c>
      <c r="R84" s="12">
        <f>SUM(E84:Q84)</f>
        <v>0</v>
      </c>
      <c r="S84" s="7">
        <v>81</v>
      </c>
    </row>
    <row r="85" spans="2:19" x14ac:dyDescent="0.25">
      <c r="C85" s="7">
        <v>411</v>
      </c>
      <c r="D85" s="7" t="s">
        <v>143</v>
      </c>
      <c r="E85" s="12">
        <v>0</v>
      </c>
      <c r="F85" s="12">
        <v>0</v>
      </c>
      <c r="G85" s="12">
        <v>0</v>
      </c>
      <c r="H85" s="12">
        <v>0</v>
      </c>
      <c r="I85" s="12">
        <v>0</v>
      </c>
      <c r="J85" s="12"/>
      <c r="K85" s="12">
        <v>0</v>
      </c>
      <c r="L85" s="12">
        <v>0</v>
      </c>
      <c r="M85" s="12"/>
      <c r="N85" s="12">
        <v>0</v>
      </c>
      <c r="O85" s="12">
        <v>0</v>
      </c>
      <c r="P85" s="12">
        <v>0</v>
      </c>
      <c r="Q85" s="12">
        <v>0</v>
      </c>
      <c r="R85" s="12">
        <f>SUM(E85:Q85)</f>
        <v>0</v>
      </c>
      <c r="S85" s="7">
        <v>82</v>
      </c>
    </row>
    <row r="86" spans="2:19" x14ac:dyDescent="0.25">
      <c r="C86" s="7">
        <v>412</v>
      </c>
      <c r="D86" s="7" t="s">
        <v>144</v>
      </c>
      <c r="E86" s="12">
        <v>7410</v>
      </c>
      <c r="F86" s="12">
        <v>0</v>
      </c>
      <c r="G86" s="12">
        <v>0</v>
      </c>
      <c r="H86" s="12">
        <v>0</v>
      </c>
      <c r="I86" s="12">
        <v>0</v>
      </c>
      <c r="J86" s="12"/>
      <c r="K86" s="12">
        <v>0</v>
      </c>
      <c r="L86" s="12">
        <v>0</v>
      </c>
      <c r="M86" s="12"/>
      <c r="N86" s="12">
        <v>0</v>
      </c>
      <c r="O86" s="12">
        <v>0</v>
      </c>
      <c r="P86" s="12">
        <v>0</v>
      </c>
      <c r="Q86" s="12">
        <v>0</v>
      </c>
      <c r="R86" s="12">
        <f>SUM(E86:Q86)</f>
        <v>7410</v>
      </c>
      <c r="S86" s="7">
        <v>83</v>
      </c>
    </row>
    <row r="87" spans="2:19" x14ac:dyDescent="0.25">
      <c r="C87" s="7">
        <v>413</v>
      </c>
      <c r="D87" s="7" t="s">
        <v>145</v>
      </c>
      <c r="E87" s="12">
        <v>0</v>
      </c>
      <c r="F87" s="12">
        <v>0</v>
      </c>
      <c r="G87" s="12">
        <v>0</v>
      </c>
      <c r="H87" s="12">
        <v>0</v>
      </c>
      <c r="I87" s="12">
        <v>0</v>
      </c>
      <c r="J87" s="12"/>
      <c r="K87" s="12">
        <v>0</v>
      </c>
      <c r="L87" s="12">
        <v>0</v>
      </c>
      <c r="M87" s="12"/>
      <c r="N87" s="12">
        <v>0</v>
      </c>
      <c r="O87" s="12">
        <v>0</v>
      </c>
      <c r="P87" s="12">
        <v>0</v>
      </c>
      <c r="Q87" s="12">
        <v>0</v>
      </c>
      <c r="R87" s="12">
        <f>SUM(E87:Q87)</f>
        <v>0</v>
      </c>
      <c r="S87" s="7">
        <v>84</v>
      </c>
    </row>
    <row r="88" spans="2:19" x14ac:dyDescent="0.25">
      <c r="E88" s="12"/>
      <c r="F88" s="12"/>
      <c r="G88" s="12"/>
      <c r="H88" s="12"/>
      <c r="I88" s="12"/>
      <c r="J88" s="12"/>
      <c r="K88" s="12"/>
      <c r="L88" s="12"/>
      <c r="M88" s="12"/>
      <c r="N88" s="12"/>
      <c r="O88" s="12"/>
      <c r="P88" s="12"/>
      <c r="Q88" s="12"/>
      <c r="R88" s="12"/>
      <c r="S88" s="7">
        <v>85</v>
      </c>
    </row>
    <row r="89" spans="2:19" x14ac:dyDescent="0.25">
      <c r="B89" s="68">
        <v>42</v>
      </c>
      <c r="C89" s="68"/>
      <c r="D89" s="68" t="s">
        <v>146</v>
      </c>
      <c r="E89" s="69">
        <f>E90+E91+E92+E93+E94+E95+E96+E97+E98</f>
        <v>330092.55</v>
      </c>
      <c r="F89" s="69">
        <f t="shared" ref="F89:R89" si="20">F90+F91+F92+F93+F94+F95+F96+F97+F98</f>
        <v>49980</v>
      </c>
      <c r="G89" s="69">
        <f t="shared" si="20"/>
        <v>109887.77</v>
      </c>
      <c r="H89" s="69">
        <f t="shared" si="20"/>
        <v>15356.25</v>
      </c>
      <c r="I89" s="69">
        <f t="shared" si="20"/>
        <v>133553.4</v>
      </c>
      <c r="J89" s="69">
        <f t="shared" si="20"/>
        <v>0</v>
      </c>
      <c r="K89" s="69">
        <f t="shared" si="20"/>
        <v>40195.949999999997</v>
      </c>
      <c r="L89" s="69">
        <f t="shared" si="20"/>
        <v>147489.15</v>
      </c>
      <c r="M89" s="69">
        <f t="shared" si="20"/>
        <v>0</v>
      </c>
      <c r="N89" s="69">
        <f t="shared" si="20"/>
        <v>10834.349999999999</v>
      </c>
      <c r="O89" s="69">
        <f t="shared" si="20"/>
        <v>114705.35</v>
      </c>
      <c r="P89" s="69">
        <f t="shared" si="20"/>
        <v>79854.399999999994</v>
      </c>
      <c r="Q89" s="69">
        <f t="shared" si="20"/>
        <v>189625.84</v>
      </c>
      <c r="R89" s="69">
        <f t="shared" si="20"/>
        <v>1221575.0099999998</v>
      </c>
      <c r="S89" s="7">
        <v>86</v>
      </c>
    </row>
    <row r="90" spans="2:19" x14ac:dyDescent="0.25">
      <c r="C90" s="7">
        <v>420</v>
      </c>
      <c r="D90" s="7" t="s">
        <v>147</v>
      </c>
      <c r="E90" s="12">
        <v>0</v>
      </c>
      <c r="F90" s="12">
        <v>0</v>
      </c>
      <c r="G90" s="12">
        <v>0</v>
      </c>
      <c r="H90" s="12">
        <v>0</v>
      </c>
      <c r="I90" s="12">
        <v>0</v>
      </c>
      <c r="J90" s="12"/>
      <c r="K90" s="12">
        <v>0</v>
      </c>
      <c r="L90" s="12">
        <v>0</v>
      </c>
      <c r="M90" s="12"/>
      <c r="N90" s="12">
        <v>0</v>
      </c>
      <c r="O90" s="12">
        <v>0</v>
      </c>
      <c r="P90" s="12">
        <v>0</v>
      </c>
      <c r="Q90" s="12">
        <v>0</v>
      </c>
      <c r="R90" s="12">
        <f t="shared" ref="R90:R98" si="21">SUM(E90:Q90)</f>
        <v>0</v>
      </c>
      <c r="S90" s="7">
        <v>87</v>
      </c>
    </row>
    <row r="91" spans="2:19" x14ac:dyDescent="0.25">
      <c r="C91" s="7">
        <v>421</v>
      </c>
      <c r="D91" s="7" t="s">
        <v>148</v>
      </c>
      <c r="E91" s="12">
        <v>0</v>
      </c>
      <c r="F91" s="12">
        <v>0</v>
      </c>
      <c r="G91" s="12">
        <v>0</v>
      </c>
      <c r="H91" s="12">
        <v>1350.45</v>
      </c>
      <c r="I91" s="12">
        <v>0</v>
      </c>
      <c r="J91" s="12"/>
      <c r="K91" s="12">
        <v>0</v>
      </c>
      <c r="L91" s="12">
        <v>600</v>
      </c>
      <c r="M91" s="12"/>
      <c r="N91" s="12">
        <v>0</v>
      </c>
      <c r="O91" s="12">
        <v>0</v>
      </c>
      <c r="P91" s="12">
        <v>0</v>
      </c>
      <c r="Q91" s="12">
        <v>300</v>
      </c>
      <c r="R91" s="12">
        <f t="shared" si="21"/>
        <v>2250.4499999999998</v>
      </c>
      <c r="S91" s="7">
        <v>88</v>
      </c>
    </row>
    <row r="92" spans="2:19" x14ac:dyDescent="0.25">
      <c r="C92" s="7">
        <v>422</v>
      </c>
      <c r="D92" s="7" t="s">
        <v>149</v>
      </c>
      <c r="E92" s="12">
        <v>0</v>
      </c>
      <c r="F92" s="12">
        <v>0</v>
      </c>
      <c r="G92" s="12">
        <v>0</v>
      </c>
      <c r="H92" s="12">
        <v>0</v>
      </c>
      <c r="I92" s="12">
        <v>0</v>
      </c>
      <c r="J92" s="12"/>
      <c r="K92" s="12">
        <v>0</v>
      </c>
      <c r="L92" s="12">
        <v>0</v>
      </c>
      <c r="M92" s="12"/>
      <c r="N92" s="12">
        <v>0</v>
      </c>
      <c r="O92" s="12">
        <v>0</v>
      </c>
      <c r="P92" s="12">
        <v>0</v>
      </c>
      <c r="Q92" s="12">
        <v>0</v>
      </c>
      <c r="R92" s="12">
        <f t="shared" si="21"/>
        <v>0</v>
      </c>
      <c r="S92" s="7">
        <v>89</v>
      </c>
    </row>
    <row r="93" spans="2:19" x14ac:dyDescent="0.25">
      <c r="C93" s="7">
        <v>423</v>
      </c>
      <c r="D93" s="7" t="s">
        <v>150</v>
      </c>
      <c r="E93" s="12">
        <v>0</v>
      </c>
      <c r="F93" s="12">
        <v>0</v>
      </c>
      <c r="G93" s="12">
        <v>0</v>
      </c>
      <c r="H93" s="12">
        <v>0</v>
      </c>
      <c r="I93" s="12">
        <v>0</v>
      </c>
      <c r="J93" s="12"/>
      <c r="K93" s="12">
        <v>0</v>
      </c>
      <c r="L93" s="12">
        <v>0</v>
      </c>
      <c r="M93" s="12"/>
      <c r="N93" s="12">
        <v>0</v>
      </c>
      <c r="O93" s="12">
        <v>0</v>
      </c>
      <c r="P93" s="12">
        <v>0</v>
      </c>
      <c r="Q93" s="12">
        <v>0</v>
      </c>
      <c r="R93" s="12">
        <f t="shared" si="21"/>
        <v>0</v>
      </c>
      <c r="S93" s="7">
        <v>90</v>
      </c>
    </row>
    <row r="94" spans="2:19" x14ac:dyDescent="0.25">
      <c r="C94" s="7">
        <v>424</v>
      </c>
      <c r="D94" s="7" t="s">
        <v>151</v>
      </c>
      <c r="E94" s="12">
        <v>29892</v>
      </c>
      <c r="F94" s="12">
        <v>0</v>
      </c>
      <c r="G94" s="12">
        <v>0</v>
      </c>
      <c r="H94" s="12">
        <v>0</v>
      </c>
      <c r="I94" s="12">
        <v>0</v>
      </c>
      <c r="J94" s="12"/>
      <c r="K94" s="12">
        <v>14700</v>
      </c>
      <c r="L94" s="12">
        <v>0</v>
      </c>
      <c r="M94" s="12"/>
      <c r="N94" s="12">
        <v>5709.7</v>
      </c>
      <c r="O94" s="12">
        <v>0</v>
      </c>
      <c r="P94" s="12">
        <v>22535</v>
      </c>
      <c r="Q94" s="12">
        <v>52902.8</v>
      </c>
      <c r="R94" s="12">
        <f t="shared" si="21"/>
        <v>125739.5</v>
      </c>
      <c r="S94" s="7">
        <v>91</v>
      </c>
    </row>
    <row r="95" spans="2:19" x14ac:dyDescent="0.25">
      <c r="C95" s="7">
        <v>425</v>
      </c>
      <c r="D95" s="7" t="s">
        <v>152</v>
      </c>
      <c r="E95" s="12">
        <v>299790.55</v>
      </c>
      <c r="F95" s="12">
        <v>49256</v>
      </c>
      <c r="G95" s="12">
        <v>108887.77</v>
      </c>
      <c r="H95" s="12">
        <v>9759</v>
      </c>
      <c r="I95" s="12">
        <v>126189.2</v>
      </c>
      <c r="J95" s="12"/>
      <c r="K95" s="12">
        <v>25440.95</v>
      </c>
      <c r="L95" s="12">
        <v>146889.15</v>
      </c>
      <c r="M95" s="12"/>
      <c r="N95" s="12">
        <v>584.95000000000005</v>
      </c>
      <c r="O95" s="12">
        <v>114705.35</v>
      </c>
      <c r="P95" s="12">
        <v>54483.15</v>
      </c>
      <c r="Q95" s="12">
        <v>119781.25</v>
      </c>
      <c r="R95" s="12">
        <f t="shared" si="21"/>
        <v>1055767.3199999998</v>
      </c>
      <c r="S95" s="7">
        <v>92</v>
      </c>
    </row>
    <row r="96" spans="2:19" x14ac:dyDescent="0.25">
      <c r="C96" s="7">
        <v>426</v>
      </c>
      <c r="D96" s="7" t="s">
        <v>153</v>
      </c>
      <c r="E96" s="12">
        <v>410</v>
      </c>
      <c r="F96" s="12">
        <v>724</v>
      </c>
      <c r="G96" s="12">
        <v>1000</v>
      </c>
      <c r="H96" s="12">
        <v>4246.8</v>
      </c>
      <c r="I96" s="12">
        <v>7364.2</v>
      </c>
      <c r="J96" s="12"/>
      <c r="K96" s="12">
        <v>55</v>
      </c>
      <c r="L96" s="12">
        <v>0</v>
      </c>
      <c r="M96" s="12"/>
      <c r="N96" s="12">
        <v>4539.7</v>
      </c>
      <c r="O96" s="12">
        <v>0</v>
      </c>
      <c r="P96" s="12">
        <v>2836.25</v>
      </c>
      <c r="Q96" s="12">
        <v>16641.79</v>
      </c>
      <c r="R96" s="12">
        <f t="shared" si="21"/>
        <v>37817.740000000005</v>
      </c>
      <c r="S96" s="7">
        <v>93</v>
      </c>
    </row>
    <row r="97" spans="2:19" x14ac:dyDescent="0.25">
      <c r="C97" s="7">
        <v>427</v>
      </c>
      <c r="D97" s="7" t="s">
        <v>154</v>
      </c>
      <c r="E97" s="12">
        <v>0</v>
      </c>
      <c r="F97" s="12">
        <v>0</v>
      </c>
      <c r="G97" s="12">
        <v>0</v>
      </c>
      <c r="H97" s="12">
        <v>0</v>
      </c>
      <c r="I97" s="12">
        <v>0</v>
      </c>
      <c r="J97" s="12"/>
      <c r="K97" s="12">
        <v>0</v>
      </c>
      <c r="L97" s="12">
        <v>0</v>
      </c>
      <c r="M97" s="12"/>
      <c r="N97" s="12">
        <v>0</v>
      </c>
      <c r="O97" s="12">
        <v>0</v>
      </c>
      <c r="P97" s="12">
        <v>0</v>
      </c>
      <c r="Q97" s="12">
        <v>0</v>
      </c>
      <c r="R97" s="12">
        <f t="shared" si="21"/>
        <v>0</v>
      </c>
      <c r="S97" s="7">
        <v>94</v>
      </c>
    </row>
    <row r="98" spans="2:19" x14ac:dyDescent="0.25">
      <c r="C98" s="7">
        <v>429</v>
      </c>
      <c r="D98" s="7" t="s">
        <v>155</v>
      </c>
      <c r="E98" s="12">
        <v>0</v>
      </c>
      <c r="F98" s="12">
        <v>0</v>
      </c>
      <c r="G98" s="12">
        <v>0</v>
      </c>
      <c r="H98" s="12">
        <v>0</v>
      </c>
      <c r="I98" s="12">
        <v>0</v>
      </c>
      <c r="J98" s="12"/>
      <c r="K98" s="12">
        <v>0</v>
      </c>
      <c r="L98" s="12">
        <v>0</v>
      </c>
      <c r="M98" s="12"/>
      <c r="N98" s="12">
        <v>0</v>
      </c>
      <c r="O98" s="12">
        <v>0</v>
      </c>
      <c r="P98" s="12">
        <v>0</v>
      </c>
      <c r="Q98" s="12">
        <v>0</v>
      </c>
      <c r="R98" s="12">
        <f t="shared" si="21"/>
        <v>0</v>
      </c>
      <c r="S98" s="7">
        <v>95</v>
      </c>
    </row>
    <row r="99" spans="2:19" x14ac:dyDescent="0.25">
      <c r="E99" s="12"/>
      <c r="F99" s="12"/>
      <c r="G99" s="12"/>
      <c r="H99" s="12"/>
      <c r="I99" s="12"/>
      <c r="J99" s="12"/>
      <c r="K99" s="12"/>
      <c r="L99" s="12"/>
      <c r="M99" s="12"/>
      <c r="N99" s="12"/>
      <c r="O99" s="12"/>
      <c r="P99" s="12"/>
      <c r="Q99" s="12"/>
      <c r="R99" s="12"/>
      <c r="S99" s="7">
        <v>96</v>
      </c>
    </row>
    <row r="100" spans="2:19" x14ac:dyDescent="0.25">
      <c r="B100" s="68">
        <v>43</v>
      </c>
      <c r="C100" s="68"/>
      <c r="D100" s="68" t="s">
        <v>156</v>
      </c>
      <c r="E100" s="69">
        <f>E101+E102+E103+E104</f>
        <v>-32320</v>
      </c>
      <c r="F100" s="69">
        <f t="shared" ref="F100:R100" si="22">F101+F102+F103+F104</f>
        <v>0</v>
      </c>
      <c r="G100" s="69">
        <f t="shared" si="22"/>
        <v>0</v>
      </c>
      <c r="H100" s="69">
        <f t="shared" si="22"/>
        <v>0</v>
      </c>
      <c r="I100" s="69">
        <f t="shared" si="22"/>
        <v>0</v>
      </c>
      <c r="J100" s="69">
        <f t="shared" si="22"/>
        <v>0</v>
      </c>
      <c r="K100" s="69">
        <f t="shared" si="22"/>
        <v>0</v>
      </c>
      <c r="L100" s="69">
        <f t="shared" si="22"/>
        <v>0</v>
      </c>
      <c r="M100" s="69">
        <f t="shared" si="22"/>
        <v>0</v>
      </c>
      <c r="N100" s="69">
        <f t="shared" si="22"/>
        <v>0</v>
      </c>
      <c r="O100" s="69">
        <f t="shared" si="22"/>
        <v>0</v>
      </c>
      <c r="P100" s="69">
        <f t="shared" si="22"/>
        <v>0</v>
      </c>
      <c r="Q100" s="69">
        <f t="shared" si="22"/>
        <v>0</v>
      </c>
      <c r="R100" s="69">
        <f t="shared" si="22"/>
        <v>-32320</v>
      </c>
      <c r="S100" s="7">
        <v>97</v>
      </c>
    </row>
    <row r="101" spans="2:19" x14ac:dyDescent="0.25">
      <c r="C101" s="7">
        <v>430</v>
      </c>
      <c r="D101" s="7" t="s">
        <v>157</v>
      </c>
      <c r="E101" s="12">
        <v>0</v>
      </c>
      <c r="F101" s="12">
        <v>0</v>
      </c>
      <c r="G101" s="12">
        <v>0</v>
      </c>
      <c r="H101" s="12">
        <v>0</v>
      </c>
      <c r="I101" s="12">
        <v>0</v>
      </c>
      <c r="J101" s="12"/>
      <c r="K101" s="12">
        <v>0</v>
      </c>
      <c r="L101" s="12">
        <v>0</v>
      </c>
      <c r="M101" s="12"/>
      <c r="N101" s="12">
        <v>0</v>
      </c>
      <c r="O101" s="12">
        <v>0</v>
      </c>
      <c r="P101" s="12">
        <v>0</v>
      </c>
      <c r="Q101" s="12">
        <v>0</v>
      </c>
      <c r="R101" s="12">
        <f>SUM(E101:Q101)</f>
        <v>0</v>
      </c>
      <c r="S101" s="7">
        <v>98</v>
      </c>
    </row>
    <row r="102" spans="2:19" x14ac:dyDescent="0.25">
      <c r="C102" s="7">
        <v>431</v>
      </c>
      <c r="D102" s="7" t="s">
        <v>158</v>
      </c>
      <c r="E102" s="12">
        <v>0</v>
      </c>
      <c r="F102" s="12">
        <v>0</v>
      </c>
      <c r="G102" s="12">
        <v>0</v>
      </c>
      <c r="H102" s="12">
        <v>0</v>
      </c>
      <c r="I102" s="12">
        <v>0</v>
      </c>
      <c r="J102" s="12"/>
      <c r="K102" s="12">
        <v>0</v>
      </c>
      <c r="L102" s="12">
        <v>0</v>
      </c>
      <c r="M102" s="12"/>
      <c r="N102" s="12">
        <v>0</v>
      </c>
      <c r="O102" s="12">
        <v>0</v>
      </c>
      <c r="P102" s="12">
        <v>0</v>
      </c>
      <c r="Q102" s="12">
        <v>0</v>
      </c>
      <c r="R102" s="12">
        <f>SUM(E102:Q102)</f>
        <v>0</v>
      </c>
      <c r="S102" s="7">
        <v>99</v>
      </c>
    </row>
    <row r="103" spans="2:19" x14ac:dyDescent="0.25">
      <c r="C103" s="7">
        <v>432</v>
      </c>
      <c r="D103" s="7" t="s">
        <v>159</v>
      </c>
      <c r="E103" s="12">
        <v>-32320</v>
      </c>
      <c r="F103" s="12">
        <v>0</v>
      </c>
      <c r="G103" s="12">
        <v>0</v>
      </c>
      <c r="H103" s="12">
        <v>0</v>
      </c>
      <c r="I103" s="12">
        <v>0</v>
      </c>
      <c r="J103" s="12"/>
      <c r="K103" s="12">
        <v>0</v>
      </c>
      <c r="L103" s="12">
        <v>0</v>
      </c>
      <c r="M103" s="12"/>
      <c r="N103" s="12">
        <v>0</v>
      </c>
      <c r="O103" s="12">
        <v>0</v>
      </c>
      <c r="P103" s="12">
        <v>0</v>
      </c>
      <c r="Q103" s="12">
        <v>0</v>
      </c>
      <c r="R103" s="12">
        <f>SUM(E103:Q103)</f>
        <v>-32320</v>
      </c>
      <c r="S103" s="7">
        <v>100</v>
      </c>
    </row>
    <row r="104" spans="2:19" x14ac:dyDescent="0.25">
      <c r="C104" s="7">
        <v>439</v>
      </c>
      <c r="D104" s="7" t="s">
        <v>160</v>
      </c>
      <c r="E104" s="12">
        <v>0</v>
      </c>
      <c r="F104" s="12">
        <v>0</v>
      </c>
      <c r="G104" s="12">
        <v>0</v>
      </c>
      <c r="H104" s="12">
        <v>0</v>
      </c>
      <c r="I104" s="12">
        <v>0</v>
      </c>
      <c r="J104" s="12"/>
      <c r="K104" s="12">
        <v>0</v>
      </c>
      <c r="L104" s="12">
        <v>0</v>
      </c>
      <c r="M104" s="12"/>
      <c r="N104" s="12">
        <v>0</v>
      </c>
      <c r="O104" s="12">
        <v>0</v>
      </c>
      <c r="P104" s="12">
        <v>0</v>
      </c>
      <c r="Q104" s="12">
        <v>0</v>
      </c>
      <c r="R104" s="12">
        <f>SUM(E104:Q104)</f>
        <v>0</v>
      </c>
      <c r="S104" s="7">
        <v>101</v>
      </c>
    </row>
    <row r="105" spans="2:19" x14ac:dyDescent="0.25">
      <c r="E105" s="12"/>
      <c r="F105" s="12"/>
      <c r="G105" s="12"/>
      <c r="H105" s="12"/>
      <c r="I105" s="12"/>
      <c r="J105" s="12"/>
      <c r="K105" s="12"/>
      <c r="L105" s="12"/>
      <c r="M105" s="12"/>
      <c r="N105" s="12"/>
      <c r="O105" s="12"/>
      <c r="P105" s="12"/>
      <c r="Q105" s="12"/>
      <c r="R105" s="12"/>
      <c r="S105" s="7">
        <v>102</v>
      </c>
    </row>
    <row r="106" spans="2:19" x14ac:dyDescent="0.25">
      <c r="B106" s="68">
        <v>44</v>
      </c>
      <c r="C106" s="68"/>
      <c r="D106" s="68" t="s">
        <v>161</v>
      </c>
      <c r="E106" s="69">
        <f>E107+E108+E109+E110+E111+E112+E113+E114+E115+E116</f>
        <v>351676.65</v>
      </c>
      <c r="F106" s="69">
        <f t="shared" ref="F106:R106" si="23">F107+F108+F109+F110+F111+F112+F113+F114+F115+F116</f>
        <v>46219</v>
      </c>
      <c r="G106" s="69">
        <f t="shared" si="23"/>
        <v>43125.899999999994</v>
      </c>
      <c r="H106" s="69">
        <f t="shared" si="23"/>
        <v>41354.46</v>
      </c>
      <c r="I106" s="69">
        <f t="shared" si="23"/>
        <v>118731.95000000001</v>
      </c>
      <c r="J106" s="69">
        <f t="shared" si="23"/>
        <v>0</v>
      </c>
      <c r="K106" s="69">
        <f t="shared" si="23"/>
        <v>22776.550000000003</v>
      </c>
      <c r="L106" s="69">
        <f t="shared" si="23"/>
        <v>15826.939999999999</v>
      </c>
      <c r="M106" s="69">
        <f t="shared" si="23"/>
        <v>0</v>
      </c>
      <c r="N106" s="69">
        <f t="shared" si="23"/>
        <v>4371.05</v>
      </c>
      <c r="O106" s="69">
        <f t="shared" si="23"/>
        <v>117561.31</v>
      </c>
      <c r="P106" s="69">
        <f t="shared" si="23"/>
        <v>103211.2</v>
      </c>
      <c r="Q106" s="69">
        <f t="shared" si="23"/>
        <v>35327.699999999997</v>
      </c>
      <c r="R106" s="69">
        <f t="shared" si="23"/>
        <v>900182.71</v>
      </c>
      <c r="S106" s="7">
        <v>103</v>
      </c>
    </row>
    <row r="107" spans="2:19" x14ac:dyDescent="0.25">
      <c r="C107" s="7">
        <v>440</v>
      </c>
      <c r="D107" s="7" t="s">
        <v>162</v>
      </c>
      <c r="E107" s="12">
        <v>227.9</v>
      </c>
      <c r="F107" s="12">
        <v>1868</v>
      </c>
      <c r="G107" s="12">
        <v>6.8</v>
      </c>
      <c r="H107" s="12">
        <v>122.76</v>
      </c>
      <c r="I107" s="12">
        <v>5.35</v>
      </c>
      <c r="J107" s="12"/>
      <c r="K107" s="12">
        <v>5.15</v>
      </c>
      <c r="L107" s="12">
        <v>610.59</v>
      </c>
      <c r="M107" s="12"/>
      <c r="N107" s="12">
        <v>4.05</v>
      </c>
      <c r="O107" s="12">
        <v>354.71</v>
      </c>
      <c r="P107" s="12">
        <v>3.25</v>
      </c>
      <c r="Q107" s="12">
        <v>1958.65</v>
      </c>
      <c r="R107" s="12">
        <f t="shared" ref="R107:R116" si="24">SUM(E107:Q107)</f>
        <v>5167.2100000000009</v>
      </c>
      <c r="S107" s="7">
        <v>104</v>
      </c>
    </row>
    <row r="108" spans="2:19" x14ac:dyDescent="0.25">
      <c r="C108" s="7">
        <v>441</v>
      </c>
      <c r="D108" s="7" t="s">
        <v>163</v>
      </c>
      <c r="E108" s="12">
        <v>0</v>
      </c>
      <c r="F108" s="12">
        <v>0</v>
      </c>
      <c r="G108" s="12">
        <v>0</v>
      </c>
      <c r="H108" s="12">
        <v>0</v>
      </c>
      <c r="I108" s="12">
        <v>20872</v>
      </c>
      <c r="J108" s="12"/>
      <c r="K108" s="12">
        <v>0</v>
      </c>
      <c r="L108" s="12">
        <v>0</v>
      </c>
      <c r="M108" s="12"/>
      <c r="N108" s="12">
        <v>0</v>
      </c>
      <c r="O108" s="12">
        <v>0</v>
      </c>
      <c r="P108" s="12">
        <v>0</v>
      </c>
      <c r="Q108" s="12">
        <v>0</v>
      </c>
      <c r="R108" s="12">
        <f t="shared" si="24"/>
        <v>20872</v>
      </c>
      <c r="S108" s="7">
        <v>105</v>
      </c>
    </row>
    <row r="109" spans="2:19" x14ac:dyDescent="0.25">
      <c r="C109" s="7">
        <v>442</v>
      </c>
      <c r="D109" s="7" t="s">
        <v>164</v>
      </c>
      <c r="E109" s="12">
        <v>0</v>
      </c>
      <c r="F109" s="12">
        <v>0</v>
      </c>
      <c r="G109" s="12">
        <v>0</v>
      </c>
      <c r="H109" s="12">
        <v>0</v>
      </c>
      <c r="I109" s="12">
        <v>29996</v>
      </c>
      <c r="J109" s="12"/>
      <c r="K109" s="12">
        <v>0</v>
      </c>
      <c r="L109" s="12">
        <v>18216.349999999999</v>
      </c>
      <c r="M109" s="12"/>
      <c r="N109" s="12">
        <v>0</v>
      </c>
      <c r="O109" s="12">
        <v>0</v>
      </c>
      <c r="P109" s="12">
        <v>0</v>
      </c>
      <c r="Q109" s="12">
        <v>0</v>
      </c>
      <c r="R109" s="12">
        <f t="shared" si="24"/>
        <v>48212.35</v>
      </c>
      <c r="S109" s="7">
        <v>106</v>
      </c>
    </row>
    <row r="110" spans="2:19" x14ac:dyDescent="0.25">
      <c r="C110" s="7">
        <v>443</v>
      </c>
      <c r="D110" s="7" t="s">
        <v>165</v>
      </c>
      <c r="E110" s="12">
        <v>306877.5</v>
      </c>
      <c r="F110" s="12">
        <v>44351</v>
      </c>
      <c r="G110" s="12">
        <v>17610</v>
      </c>
      <c r="H110" s="12">
        <v>0</v>
      </c>
      <c r="I110" s="12">
        <v>0</v>
      </c>
      <c r="J110" s="12"/>
      <c r="K110" s="12">
        <v>0</v>
      </c>
      <c r="L110" s="12">
        <v>-3000</v>
      </c>
      <c r="M110" s="12"/>
      <c r="N110" s="12">
        <v>0</v>
      </c>
      <c r="O110" s="12">
        <v>35500</v>
      </c>
      <c r="P110" s="12">
        <v>32312.7</v>
      </c>
      <c r="Q110" s="12">
        <v>1800</v>
      </c>
      <c r="R110" s="12">
        <f t="shared" si="24"/>
        <v>435451.2</v>
      </c>
      <c r="S110" s="7">
        <v>107</v>
      </c>
    </row>
    <row r="111" spans="2:19" x14ac:dyDescent="0.25">
      <c r="C111" s="7">
        <v>444</v>
      </c>
      <c r="D111" s="7" t="s">
        <v>105</v>
      </c>
      <c r="E111" s="12">
        <v>0</v>
      </c>
      <c r="F111" s="12">
        <v>0</v>
      </c>
      <c r="G111" s="12">
        <v>0</v>
      </c>
      <c r="H111" s="12">
        <v>0</v>
      </c>
      <c r="I111" s="12">
        <v>0</v>
      </c>
      <c r="J111" s="12"/>
      <c r="K111" s="12">
        <v>0</v>
      </c>
      <c r="L111" s="12">
        <v>0</v>
      </c>
      <c r="M111" s="12"/>
      <c r="N111" s="12">
        <v>0</v>
      </c>
      <c r="O111" s="12">
        <v>0</v>
      </c>
      <c r="P111" s="12">
        <v>0</v>
      </c>
      <c r="Q111" s="12">
        <v>0</v>
      </c>
      <c r="R111" s="12">
        <f t="shared" si="24"/>
        <v>0</v>
      </c>
      <c r="S111" s="7">
        <v>108</v>
      </c>
    </row>
    <row r="112" spans="2:19" x14ac:dyDescent="0.25">
      <c r="C112" s="7">
        <v>445</v>
      </c>
      <c r="D112" s="7" t="s">
        <v>166</v>
      </c>
      <c r="E112" s="12">
        <v>0</v>
      </c>
      <c r="F112" s="12">
        <v>0</v>
      </c>
      <c r="G112" s="12">
        <v>0</v>
      </c>
      <c r="H112" s="12">
        <v>0</v>
      </c>
      <c r="I112" s="12">
        <v>0</v>
      </c>
      <c r="J112" s="12"/>
      <c r="K112" s="12">
        <v>0</v>
      </c>
      <c r="L112" s="12">
        <v>0</v>
      </c>
      <c r="M112" s="12"/>
      <c r="N112" s="12">
        <v>0</v>
      </c>
      <c r="O112" s="12">
        <v>0</v>
      </c>
      <c r="P112" s="12">
        <v>0</v>
      </c>
      <c r="Q112" s="12">
        <v>0</v>
      </c>
      <c r="R112" s="12">
        <f t="shared" si="24"/>
        <v>0</v>
      </c>
      <c r="S112" s="7">
        <v>109</v>
      </c>
    </row>
    <row r="113" spans="2:19" x14ac:dyDescent="0.25">
      <c r="C113" s="7">
        <v>446</v>
      </c>
      <c r="D113" s="7" t="s">
        <v>167</v>
      </c>
      <c r="E113" s="12">
        <v>0</v>
      </c>
      <c r="F113" s="12">
        <v>0</v>
      </c>
      <c r="G113" s="12">
        <v>0</v>
      </c>
      <c r="H113" s="12">
        <v>0</v>
      </c>
      <c r="I113" s="12">
        <v>0</v>
      </c>
      <c r="J113" s="12"/>
      <c r="K113" s="12">
        <v>0</v>
      </c>
      <c r="L113" s="12">
        <v>0</v>
      </c>
      <c r="M113" s="12"/>
      <c r="N113" s="12">
        <v>0</v>
      </c>
      <c r="O113" s="12">
        <v>0</v>
      </c>
      <c r="P113" s="12">
        <v>0</v>
      </c>
      <c r="Q113" s="12">
        <v>0</v>
      </c>
      <c r="R113" s="12">
        <f t="shared" si="24"/>
        <v>0</v>
      </c>
      <c r="S113" s="7">
        <v>110</v>
      </c>
    </row>
    <row r="114" spans="2:19" x14ac:dyDescent="0.25">
      <c r="C114" s="7">
        <v>447</v>
      </c>
      <c r="D114" s="7" t="s">
        <v>168</v>
      </c>
      <c r="E114" s="12">
        <v>44571.25</v>
      </c>
      <c r="F114" s="12">
        <v>0</v>
      </c>
      <c r="G114" s="12">
        <v>25509.1</v>
      </c>
      <c r="H114" s="12">
        <v>41231.699999999997</v>
      </c>
      <c r="I114" s="12">
        <v>67858.600000000006</v>
      </c>
      <c r="J114" s="12"/>
      <c r="K114" s="12">
        <v>22771.4</v>
      </c>
      <c r="L114" s="12">
        <v>0</v>
      </c>
      <c r="M114" s="12"/>
      <c r="N114" s="12">
        <v>4367</v>
      </c>
      <c r="O114" s="12">
        <v>81706.600000000006</v>
      </c>
      <c r="P114" s="12">
        <v>70895.25</v>
      </c>
      <c r="Q114" s="12">
        <v>31569.05</v>
      </c>
      <c r="R114" s="12">
        <f t="shared" si="24"/>
        <v>390479.95</v>
      </c>
      <c r="S114" s="7">
        <v>111</v>
      </c>
    </row>
    <row r="115" spans="2:19" x14ac:dyDescent="0.25">
      <c r="C115" s="7">
        <v>448</v>
      </c>
      <c r="D115" s="7" t="s">
        <v>169</v>
      </c>
      <c r="E115" s="12">
        <v>0</v>
      </c>
      <c r="F115" s="12">
        <v>0</v>
      </c>
      <c r="G115" s="12">
        <v>0</v>
      </c>
      <c r="H115" s="12">
        <v>0</v>
      </c>
      <c r="I115" s="12">
        <v>0</v>
      </c>
      <c r="J115" s="12"/>
      <c r="K115" s="12">
        <v>0</v>
      </c>
      <c r="L115" s="12">
        <v>0</v>
      </c>
      <c r="M115" s="12"/>
      <c r="N115" s="12">
        <v>0</v>
      </c>
      <c r="O115" s="12">
        <v>0</v>
      </c>
      <c r="P115" s="12">
        <v>0</v>
      </c>
      <c r="Q115" s="12">
        <v>0</v>
      </c>
      <c r="R115" s="12">
        <f t="shared" si="24"/>
        <v>0</v>
      </c>
      <c r="S115" s="7">
        <v>112</v>
      </c>
    </row>
    <row r="116" spans="2:19" x14ac:dyDescent="0.25">
      <c r="C116" s="7">
        <v>449</v>
      </c>
      <c r="D116" s="7" t="s">
        <v>170</v>
      </c>
      <c r="E116" s="12">
        <v>0</v>
      </c>
      <c r="F116" s="12">
        <v>0</v>
      </c>
      <c r="G116" s="12">
        <v>0</v>
      </c>
      <c r="H116" s="12">
        <v>0</v>
      </c>
      <c r="I116" s="12">
        <v>0</v>
      </c>
      <c r="J116" s="12"/>
      <c r="K116" s="12">
        <v>0</v>
      </c>
      <c r="L116" s="12">
        <v>0</v>
      </c>
      <c r="M116" s="12"/>
      <c r="N116" s="12">
        <v>0</v>
      </c>
      <c r="O116" s="12">
        <v>0</v>
      </c>
      <c r="P116" s="12">
        <v>0</v>
      </c>
      <c r="Q116" s="12">
        <v>0</v>
      </c>
      <c r="R116" s="12">
        <f t="shared" si="24"/>
        <v>0</v>
      </c>
      <c r="S116" s="7">
        <v>113</v>
      </c>
    </row>
    <row r="117" spans="2:19" x14ac:dyDescent="0.25">
      <c r="E117" s="12"/>
      <c r="F117" s="12"/>
      <c r="G117" s="12"/>
      <c r="H117" s="12"/>
      <c r="I117" s="12"/>
      <c r="J117" s="12"/>
      <c r="K117" s="12"/>
      <c r="L117" s="12"/>
      <c r="M117" s="12"/>
      <c r="N117" s="12"/>
      <c r="O117" s="12"/>
      <c r="P117" s="12"/>
      <c r="Q117" s="12"/>
      <c r="R117" s="12"/>
      <c r="S117" s="7">
        <v>114</v>
      </c>
    </row>
    <row r="118" spans="2:19" x14ac:dyDescent="0.25">
      <c r="B118" s="68">
        <v>45</v>
      </c>
      <c r="C118" s="68"/>
      <c r="D118" s="68" t="s">
        <v>173</v>
      </c>
      <c r="E118" s="69">
        <f>E119+E120</f>
        <v>0</v>
      </c>
      <c r="F118" s="69">
        <f t="shared" ref="F118:R118" si="25">F119+F120</f>
        <v>0</v>
      </c>
      <c r="G118" s="69">
        <f t="shared" si="25"/>
        <v>0</v>
      </c>
      <c r="H118" s="69">
        <f t="shared" si="25"/>
        <v>0</v>
      </c>
      <c r="I118" s="69">
        <f t="shared" si="25"/>
        <v>19419.8</v>
      </c>
      <c r="J118" s="69">
        <f t="shared" si="25"/>
        <v>0</v>
      </c>
      <c r="K118" s="69">
        <f t="shared" si="25"/>
        <v>0</v>
      </c>
      <c r="L118" s="69">
        <f t="shared" si="25"/>
        <v>2200</v>
      </c>
      <c r="M118" s="69">
        <f t="shared" si="25"/>
        <v>0</v>
      </c>
      <c r="N118" s="69">
        <f t="shared" si="25"/>
        <v>0</v>
      </c>
      <c r="O118" s="69">
        <f t="shared" si="25"/>
        <v>0</v>
      </c>
      <c r="P118" s="69">
        <f t="shared" si="25"/>
        <v>6781.6</v>
      </c>
      <c r="Q118" s="69">
        <f t="shared" si="25"/>
        <v>0</v>
      </c>
      <c r="R118" s="69">
        <f t="shared" si="25"/>
        <v>28401.4</v>
      </c>
      <c r="S118" s="7">
        <v>115</v>
      </c>
    </row>
    <row r="119" spans="2:19" x14ac:dyDescent="0.25">
      <c r="C119" s="7">
        <v>450</v>
      </c>
      <c r="D119" s="7" t="s">
        <v>171</v>
      </c>
      <c r="E119" s="12">
        <v>0</v>
      </c>
      <c r="F119" s="12">
        <v>0</v>
      </c>
      <c r="G119" s="12">
        <v>0</v>
      </c>
      <c r="H119" s="12">
        <v>0</v>
      </c>
      <c r="I119" s="12">
        <v>0</v>
      </c>
      <c r="J119" s="12"/>
      <c r="K119" s="12">
        <v>0</v>
      </c>
      <c r="L119" s="12">
        <v>2200</v>
      </c>
      <c r="M119" s="12"/>
      <c r="N119" s="12">
        <v>0</v>
      </c>
      <c r="O119" s="12">
        <v>0</v>
      </c>
      <c r="P119" s="12">
        <v>6781.6</v>
      </c>
      <c r="Q119" s="12">
        <v>0</v>
      </c>
      <c r="R119" s="12">
        <f>SUM(E119:Q119)</f>
        <v>8981.6</v>
      </c>
      <c r="S119" s="7">
        <v>116</v>
      </c>
    </row>
    <row r="120" spans="2:19" x14ac:dyDescent="0.25">
      <c r="C120" s="7">
        <v>451</v>
      </c>
      <c r="D120" s="7" t="s">
        <v>172</v>
      </c>
      <c r="E120" s="12">
        <v>0</v>
      </c>
      <c r="F120" s="12">
        <v>0</v>
      </c>
      <c r="G120" s="12">
        <v>0</v>
      </c>
      <c r="H120" s="12">
        <v>0</v>
      </c>
      <c r="I120" s="12">
        <v>19419.8</v>
      </c>
      <c r="J120" s="12"/>
      <c r="K120" s="12">
        <v>0</v>
      </c>
      <c r="L120" s="12">
        <v>0</v>
      </c>
      <c r="M120" s="12"/>
      <c r="N120" s="12">
        <v>0</v>
      </c>
      <c r="O120" s="12">
        <v>0</v>
      </c>
      <c r="P120" s="12">
        <v>0</v>
      </c>
      <c r="Q120" s="12">
        <v>0</v>
      </c>
      <c r="R120" s="12">
        <f>SUM(E120:Q120)</f>
        <v>19419.8</v>
      </c>
      <c r="S120" s="7">
        <v>117</v>
      </c>
    </row>
    <row r="121" spans="2:19" x14ac:dyDescent="0.25">
      <c r="E121" s="12"/>
      <c r="F121" s="12"/>
      <c r="G121" s="12"/>
      <c r="H121" s="12"/>
      <c r="I121" s="12"/>
      <c r="J121" s="12"/>
      <c r="K121" s="12"/>
      <c r="L121" s="12"/>
      <c r="M121" s="12"/>
      <c r="N121" s="12"/>
      <c r="O121" s="12"/>
      <c r="P121" s="12"/>
      <c r="Q121" s="12"/>
      <c r="R121" s="12"/>
      <c r="S121" s="7">
        <v>118</v>
      </c>
    </row>
    <row r="122" spans="2:19" x14ac:dyDescent="0.25">
      <c r="B122" s="68">
        <v>46</v>
      </c>
      <c r="C122" s="68"/>
      <c r="D122" s="68" t="s">
        <v>174</v>
      </c>
      <c r="E122" s="69">
        <f>E123+E124+E125+E126+E127</f>
        <v>155785.85</v>
      </c>
      <c r="F122" s="69">
        <f t="shared" ref="F122:R122" si="26">F123+F124+F125+F126+F127</f>
        <v>16814.900000000001</v>
      </c>
      <c r="G122" s="69">
        <f t="shared" si="26"/>
        <v>17721</v>
      </c>
      <c r="H122" s="69">
        <f t="shared" si="26"/>
        <v>0</v>
      </c>
      <c r="I122" s="69">
        <f t="shared" si="26"/>
        <v>37438.700000000004</v>
      </c>
      <c r="J122" s="69">
        <f t="shared" si="26"/>
        <v>0</v>
      </c>
      <c r="K122" s="69">
        <f t="shared" si="26"/>
        <v>29076.25</v>
      </c>
      <c r="L122" s="69">
        <f t="shared" si="26"/>
        <v>30136.1</v>
      </c>
      <c r="M122" s="69">
        <f t="shared" si="26"/>
        <v>0</v>
      </c>
      <c r="N122" s="69">
        <f t="shared" si="26"/>
        <v>17541.75</v>
      </c>
      <c r="O122" s="69">
        <f t="shared" si="26"/>
        <v>5074.3500000000004</v>
      </c>
      <c r="P122" s="69">
        <f t="shared" si="26"/>
        <v>3130</v>
      </c>
      <c r="Q122" s="69">
        <f t="shared" si="26"/>
        <v>232075.95</v>
      </c>
      <c r="R122" s="69">
        <f t="shared" si="26"/>
        <v>544794.85</v>
      </c>
      <c r="S122" s="7">
        <v>119</v>
      </c>
    </row>
    <row r="123" spans="2:19" x14ac:dyDescent="0.25">
      <c r="C123" s="7">
        <v>460</v>
      </c>
      <c r="D123" s="7" t="s">
        <v>175</v>
      </c>
      <c r="E123" s="12">
        <v>0</v>
      </c>
      <c r="F123" s="12">
        <v>0</v>
      </c>
      <c r="G123" s="12">
        <v>0</v>
      </c>
      <c r="H123" s="12">
        <v>0</v>
      </c>
      <c r="I123" s="12">
        <v>0</v>
      </c>
      <c r="J123" s="12"/>
      <c r="K123" s="12">
        <v>0</v>
      </c>
      <c r="L123" s="12">
        <v>0</v>
      </c>
      <c r="M123" s="12"/>
      <c r="N123" s="12">
        <v>0</v>
      </c>
      <c r="O123" s="12">
        <v>0</v>
      </c>
      <c r="P123" s="12">
        <v>0</v>
      </c>
      <c r="Q123" s="12">
        <v>0</v>
      </c>
      <c r="R123" s="12">
        <f>SUM(E123:Q123)</f>
        <v>0</v>
      </c>
      <c r="S123" s="7">
        <v>120</v>
      </c>
    </row>
    <row r="124" spans="2:19" x14ac:dyDescent="0.25">
      <c r="C124" s="7">
        <v>461</v>
      </c>
      <c r="D124" s="7" t="s">
        <v>176</v>
      </c>
      <c r="E124" s="12">
        <v>700</v>
      </c>
      <c r="F124" s="12">
        <v>0</v>
      </c>
      <c r="G124" s="12">
        <v>2500</v>
      </c>
      <c r="H124" s="12">
        <v>0</v>
      </c>
      <c r="I124" s="12">
        <v>0</v>
      </c>
      <c r="J124" s="12"/>
      <c r="K124" s="12">
        <v>0</v>
      </c>
      <c r="L124" s="12">
        <v>0</v>
      </c>
      <c r="M124" s="12"/>
      <c r="N124" s="12">
        <v>0</v>
      </c>
      <c r="O124" s="12">
        <v>0</v>
      </c>
      <c r="P124" s="12">
        <v>0</v>
      </c>
      <c r="Q124" s="12">
        <v>0</v>
      </c>
      <c r="R124" s="12">
        <f>SUM(E124:Q124)</f>
        <v>3200</v>
      </c>
      <c r="S124" s="7">
        <v>121</v>
      </c>
    </row>
    <row r="125" spans="2:19" x14ac:dyDescent="0.25">
      <c r="C125" s="7">
        <v>462</v>
      </c>
      <c r="D125" s="7" t="s">
        <v>112</v>
      </c>
      <c r="E125" s="12">
        <v>0</v>
      </c>
      <c r="F125" s="12">
        <v>0</v>
      </c>
      <c r="G125" s="12">
        <v>0</v>
      </c>
      <c r="H125" s="12">
        <v>0</v>
      </c>
      <c r="I125" s="12">
        <v>0</v>
      </c>
      <c r="J125" s="12"/>
      <c r="K125" s="12">
        <v>0</v>
      </c>
      <c r="L125" s="12">
        <v>0</v>
      </c>
      <c r="M125" s="12"/>
      <c r="N125" s="12">
        <v>0</v>
      </c>
      <c r="O125" s="12">
        <v>0</v>
      </c>
      <c r="P125" s="12">
        <v>0</v>
      </c>
      <c r="Q125" s="12">
        <v>0</v>
      </c>
      <c r="R125" s="12">
        <f>SUM(E125:Q125)</f>
        <v>0</v>
      </c>
      <c r="S125" s="7">
        <v>122</v>
      </c>
    </row>
    <row r="126" spans="2:19" x14ac:dyDescent="0.25">
      <c r="C126" s="7">
        <v>463</v>
      </c>
      <c r="D126" s="7" t="s">
        <v>177</v>
      </c>
      <c r="E126" s="12">
        <v>152911.25</v>
      </c>
      <c r="F126" s="12">
        <v>16271.25</v>
      </c>
      <c r="G126" s="12">
        <v>15221</v>
      </c>
      <c r="H126" s="12">
        <v>0</v>
      </c>
      <c r="I126" s="12">
        <v>37417.4</v>
      </c>
      <c r="J126" s="12"/>
      <c r="K126" s="12">
        <v>28279.5</v>
      </c>
      <c r="L126" s="12">
        <v>29265.55</v>
      </c>
      <c r="M126" s="12"/>
      <c r="N126" s="12">
        <v>17541.75</v>
      </c>
      <c r="O126" s="12">
        <v>4512.5</v>
      </c>
      <c r="P126" s="12">
        <v>3130</v>
      </c>
      <c r="Q126" s="12">
        <v>231686</v>
      </c>
      <c r="R126" s="12">
        <f>SUM(E126:Q126)</f>
        <v>536236.19999999995</v>
      </c>
      <c r="S126" s="7">
        <v>123</v>
      </c>
    </row>
    <row r="127" spans="2:19" x14ac:dyDescent="0.25">
      <c r="C127" s="7">
        <v>469</v>
      </c>
      <c r="D127" s="7" t="s">
        <v>178</v>
      </c>
      <c r="E127" s="12">
        <v>2174.6</v>
      </c>
      <c r="F127" s="12">
        <v>543.65</v>
      </c>
      <c r="G127" s="12">
        <v>0</v>
      </c>
      <c r="H127" s="12">
        <v>0</v>
      </c>
      <c r="I127" s="12">
        <v>21.3</v>
      </c>
      <c r="J127" s="12"/>
      <c r="K127" s="12">
        <v>796.75</v>
      </c>
      <c r="L127" s="12">
        <v>870.55</v>
      </c>
      <c r="M127" s="12"/>
      <c r="N127" s="12">
        <v>0</v>
      </c>
      <c r="O127" s="12">
        <v>561.85</v>
      </c>
      <c r="P127" s="12">
        <v>0</v>
      </c>
      <c r="Q127" s="12">
        <v>389.95</v>
      </c>
      <c r="R127" s="12">
        <f>SUM(E127:Q127)</f>
        <v>5358.6500000000005</v>
      </c>
      <c r="S127" s="7">
        <v>124</v>
      </c>
    </row>
    <row r="128" spans="2:19" x14ac:dyDescent="0.25">
      <c r="E128" s="12"/>
      <c r="F128" s="12"/>
      <c r="G128" s="12"/>
      <c r="H128" s="12"/>
      <c r="I128" s="12"/>
      <c r="J128" s="12"/>
      <c r="K128" s="12"/>
      <c r="L128" s="12"/>
      <c r="M128" s="12"/>
      <c r="N128" s="12"/>
      <c r="O128" s="12"/>
      <c r="P128" s="12"/>
      <c r="Q128" s="12"/>
      <c r="R128" s="12"/>
      <c r="S128" s="7">
        <v>125</v>
      </c>
    </row>
    <row r="129" spans="2:19" x14ac:dyDescent="0.25">
      <c r="B129" s="68">
        <v>47</v>
      </c>
      <c r="C129" s="68"/>
      <c r="D129" s="68" t="s">
        <v>118</v>
      </c>
      <c r="E129" s="69">
        <f>E130</f>
        <v>0</v>
      </c>
      <c r="F129" s="69">
        <f t="shared" ref="F129:R129" si="27">F130</f>
        <v>0</v>
      </c>
      <c r="G129" s="69">
        <f t="shared" si="27"/>
        <v>0</v>
      </c>
      <c r="H129" s="69">
        <f t="shared" si="27"/>
        <v>0</v>
      </c>
      <c r="I129" s="69">
        <f t="shared" si="27"/>
        <v>0</v>
      </c>
      <c r="J129" s="69">
        <f t="shared" si="27"/>
        <v>0</v>
      </c>
      <c r="K129" s="69">
        <f t="shared" si="27"/>
        <v>5628.35</v>
      </c>
      <c r="L129" s="69">
        <f t="shared" si="27"/>
        <v>0</v>
      </c>
      <c r="M129" s="69">
        <f t="shared" si="27"/>
        <v>0</v>
      </c>
      <c r="N129" s="69">
        <f t="shared" si="27"/>
        <v>0</v>
      </c>
      <c r="O129" s="69">
        <f t="shared" si="27"/>
        <v>0</v>
      </c>
      <c r="P129" s="69">
        <f t="shared" si="27"/>
        <v>0</v>
      </c>
      <c r="Q129" s="69">
        <f t="shared" si="27"/>
        <v>0</v>
      </c>
      <c r="R129" s="69">
        <f t="shared" si="27"/>
        <v>5628.35</v>
      </c>
      <c r="S129" s="7">
        <v>126</v>
      </c>
    </row>
    <row r="130" spans="2:19" x14ac:dyDescent="0.25">
      <c r="C130" s="7">
        <v>470</v>
      </c>
      <c r="D130" s="7" t="s">
        <v>179</v>
      </c>
      <c r="E130" s="12">
        <v>0</v>
      </c>
      <c r="F130" s="12">
        <v>0</v>
      </c>
      <c r="G130" s="12">
        <v>0</v>
      </c>
      <c r="H130" s="12">
        <v>0</v>
      </c>
      <c r="I130" s="12">
        <v>0</v>
      </c>
      <c r="J130" s="12"/>
      <c r="K130" s="12">
        <v>5628.35</v>
      </c>
      <c r="L130" s="12">
        <v>0</v>
      </c>
      <c r="M130" s="12"/>
      <c r="N130" s="12">
        <v>0</v>
      </c>
      <c r="O130" s="12">
        <v>0</v>
      </c>
      <c r="P130" s="12">
        <v>0</v>
      </c>
      <c r="Q130" s="12">
        <v>0</v>
      </c>
      <c r="R130" s="12">
        <f>SUM(E130:Q130)</f>
        <v>5628.35</v>
      </c>
      <c r="S130" s="7">
        <v>127</v>
      </c>
    </row>
    <row r="131" spans="2:19" x14ac:dyDescent="0.25">
      <c r="E131" s="12"/>
      <c r="F131" s="12"/>
      <c r="G131" s="12"/>
      <c r="H131" s="12"/>
      <c r="I131" s="12"/>
      <c r="J131" s="12"/>
      <c r="K131" s="12"/>
      <c r="L131" s="12"/>
      <c r="M131" s="12"/>
      <c r="N131" s="12"/>
      <c r="O131" s="12"/>
      <c r="P131" s="12"/>
      <c r="Q131" s="12"/>
      <c r="R131" s="12"/>
      <c r="S131" s="7">
        <v>128</v>
      </c>
    </row>
    <row r="132" spans="2:19" x14ac:dyDescent="0.25">
      <c r="B132" s="68">
        <v>48</v>
      </c>
      <c r="C132" s="68"/>
      <c r="D132" s="68" t="s">
        <v>180</v>
      </c>
      <c r="E132" s="69">
        <f>E133+E134+E135+E136+E137+E138+E139</f>
        <v>81880</v>
      </c>
      <c r="F132" s="69">
        <f t="shared" ref="F132:R132" si="28">F133+F134+F135+F136+F137+F138+F139</f>
        <v>0</v>
      </c>
      <c r="G132" s="69">
        <f t="shared" si="28"/>
        <v>0</v>
      </c>
      <c r="H132" s="69">
        <f t="shared" si="28"/>
        <v>0</v>
      </c>
      <c r="I132" s="69">
        <f t="shared" si="28"/>
        <v>0</v>
      </c>
      <c r="J132" s="69">
        <f t="shared" si="28"/>
        <v>0</v>
      </c>
      <c r="K132" s="69">
        <f t="shared" si="28"/>
        <v>0</v>
      </c>
      <c r="L132" s="69">
        <f t="shared" si="28"/>
        <v>0</v>
      </c>
      <c r="M132" s="69">
        <f t="shared" si="28"/>
        <v>0</v>
      </c>
      <c r="N132" s="69">
        <f t="shared" si="28"/>
        <v>0</v>
      </c>
      <c r="O132" s="69">
        <f t="shared" si="28"/>
        <v>0</v>
      </c>
      <c r="P132" s="69">
        <f t="shared" si="28"/>
        <v>20</v>
      </c>
      <c r="Q132" s="69">
        <f t="shared" si="28"/>
        <v>0</v>
      </c>
      <c r="R132" s="69">
        <f t="shared" si="28"/>
        <v>81900</v>
      </c>
      <c r="S132" s="7">
        <v>129</v>
      </c>
    </row>
    <row r="133" spans="2:19" x14ac:dyDescent="0.25">
      <c r="C133" s="7">
        <v>481</v>
      </c>
      <c r="D133" s="7" t="s">
        <v>181</v>
      </c>
      <c r="E133" s="12">
        <v>0</v>
      </c>
      <c r="F133" s="12">
        <v>0</v>
      </c>
      <c r="G133" s="12">
        <v>0</v>
      </c>
      <c r="H133" s="12">
        <v>0</v>
      </c>
      <c r="I133" s="12">
        <v>0</v>
      </c>
      <c r="J133" s="12"/>
      <c r="K133" s="12">
        <v>0</v>
      </c>
      <c r="L133" s="12">
        <v>0</v>
      </c>
      <c r="M133" s="12"/>
      <c r="N133" s="12">
        <v>0</v>
      </c>
      <c r="O133" s="12">
        <v>0</v>
      </c>
      <c r="P133" s="12">
        <v>0</v>
      </c>
      <c r="Q133" s="12">
        <v>0</v>
      </c>
      <c r="R133" s="12">
        <f t="shared" ref="R133:R139" si="29">SUM(E133:Q133)</f>
        <v>0</v>
      </c>
      <c r="S133" s="7">
        <v>130</v>
      </c>
    </row>
    <row r="134" spans="2:19" x14ac:dyDescent="0.25">
      <c r="C134" s="7">
        <v>482</v>
      </c>
      <c r="D134" s="7" t="s">
        <v>182</v>
      </c>
      <c r="E134" s="12">
        <v>0</v>
      </c>
      <c r="F134" s="12">
        <v>0</v>
      </c>
      <c r="G134" s="12">
        <v>0</v>
      </c>
      <c r="H134" s="12">
        <v>0</v>
      </c>
      <c r="I134" s="12">
        <v>0</v>
      </c>
      <c r="J134" s="12"/>
      <c r="K134" s="12">
        <v>0</v>
      </c>
      <c r="L134" s="12">
        <v>0</v>
      </c>
      <c r="M134" s="12"/>
      <c r="N134" s="12">
        <v>0</v>
      </c>
      <c r="O134" s="12">
        <v>0</v>
      </c>
      <c r="P134" s="12">
        <v>0</v>
      </c>
      <c r="Q134" s="12">
        <v>0</v>
      </c>
      <c r="R134" s="12">
        <f t="shared" si="29"/>
        <v>0</v>
      </c>
      <c r="S134" s="7">
        <v>131</v>
      </c>
    </row>
    <row r="135" spans="2:19" x14ac:dyDescent="0.25">
      <c r="C135" s="7">
        <v>483</v>
      </c>
      <c r="D135" s="7" t="s">
        <v>183</v>
      </c>
      <c r="E135" s="12">
        <v>0</v>
      </c>
      <c r="F135" s="12">
        <v>0</v>
      </c>
      <c r="G135" s="12">
        <v>0</v>
      </c>
      <c r="H135" s="12">
        <v>0</v>
      </c>
      <c r="I135" s="12">
        <v>0</v>
      </c>
      <c r="J135" s="12"/>
      <c r="K135" s="12">
        <v>0</v>
      </c>
      <c r="L135" s="12">
        <v>0</v>
      </c>
      <c r="M135" s="12"/>
      <c r="N135" s="12">
        <v>0</v>
      </c>
      <c r="O135" s="12">
        <v>0</v>
      </c>
      <c r="P135" s="12">
        <v>0</v>
      </c>
      <c r="Q135" s="12">
        <v>0</v>
      </c>
      <c r="R135" s="12">
        <f t="shared" si="29"/>
        <v>0</v>
      </c>
      <c r="S135" s="7">
        <v>132</v>
      </c>
    </row>
    <row r="136" spans="2:19" x14ac:dyDescent="0.25">
      <c r="C136" s="7">
        <v>484</v>
      </c>
      <c r="D136" s="7" t="s">
        <v>184</v>
      </c>
      <c r="E136" s="12">
        <v>81880</v>
      </c>
      <c r="F136" s="12">
        <v>0</v>
      </c>
      <c r="G136" s="12">
        <v>0</v>
      </c>
      <c r="H136" s="12">
        <v>0</v>
      </c>
      <c r="I136" s="12">
        <v>0</v>
      </c>
      <c r="J136" s="12"/>
      <c r="K136" s="12">
        <v>0</v>
      </c>
      <c r="L136" s="12">
        <v>0</v>
      </c>
      <c r="M136" s="12"/>
      <c r="N136" s="12">
        <v>0</v>
      </c>
      <c r="O136" s="12">
        <v>0</v>
      </c>
      <c r="P136" s="12">
        <v>0</v>
      </c>
      <c r="Q136" s="12">
        <v>0</v>
      </c>
      <c r="R136" s="12">
        <f t="shared" si="29"/>
        <v>81880</v>
      </c>
      <c r="S136" s="7">
        <v>133</v>
      </c>
    </row>
    <row r="137" spans="2:19" x14ac:dyDescent="0.25">
      <c r="C137" s="7">
        <v>485</v>
      </c>
      <c r="D137" s="7" t="s">
        <v>185</v>
      </c>
      <c r="E137" s="12">
        <v>0</v>
      </c>
      <c r="F137" s="12">
        <v>0</v>
      </c>
      <c r="G137" s="12">
        <v>0</v>
      </c>
      <c r="H137" s="12">
        <v>0</v>
      </c>
      <c r="I137" s="12">
        <v>0</v>
      </c>
      <c r="J137" s="12"/>
      <c r="K137" s="12">
        <v>0</v>
      </c>
      <c r="L137" s="12">
        <v>0</v>
      </c>
      <c r="M137" s="12"/>
      <c r="N137" s="12">
        <v>0</v>
      </c>
      <c r="O137" s="12">
        <v>0</v>
      </c>
      <c r="P137" s="12">
        <v>0</v>
      </c>
      <c r="Q137" s="12">
        <v>0</v>
      </c>
      <c r="R137" s="12">
        <f t="shared" si="29"/>
        <v>0</v>
      </c>
      <c r="S137" s="7">
        <v>134</v>
      </c>
    </row>
    <row r="138" spans="2:19" x14ac:dyDescent="0.25">
      <c r="C138" s="7">
        <v>486</v>
      </c>
      <c r="D138" s="7" t="s">
        <v>186</v>
      </c>
      <c r="E138" s="12">
        <v>0</v>
      </c>
      <c r="F138" s="12">
        <v>0</v>
      </c>
      <c r="G138" s="12">
        <v>0</v>
      </c>
      <c r="H138" s="12">
        <v>0</v>
      </c>
      <c r="I138" s="12">
        <v>0</v>
      </c>
      <c r="J138" s="12"/>
      <c r="K138" s="12">
        <v>0</v>
      </c>
      <c r="L138" s="12">
        <v>0</v>
      </c>
      <c r="M138" s="12"/>
      <c r="N138" s="12">
        <v>0</v>
      </c>
      <c r="O138" s="12">
        <v>0</v>
      </c>
      <c r="P138" s="12">
        <v>0</v>
      </c>
      <c r="Q138" s="12">
        <v>0</v>
      </c>
      <c r="R138" s="12">
        <f t="shared" si="29"/>
        <v>0</v>
      </c>
      <c r="S138" s="7">
        <v>135</v>
      </c>
    </row>
    <row r="139" spans="2:19" x14ac:dyDescent="0.25">
      <c r="C139" s="7">
        <v>489</v>
      </c>
      <c r="D139" s="7" t="s">
        <v>187</v>
      </c>
      <c r="E139" s="12">
        <v>0</v>
      </c>
      <c r="F139" s="12">
        <v>0</v>
      </c>
      <c r="G139" s="12">
        <v>0</v>
      </c>
      <c r="H139" s="12">
        <v>0</v>
      </c>
      <c r="I139" s="12">
        <v>0</v>
      </c>
      <c r="J139" s="12"/>
      <c r="K139" s="12">
        <v>0</v>
      </c>
      <c r="L139" s="12">
        <v>0</v>
      </c>
      <c r="M139" s="12"/>
      <c r="N139" s="12">
        <v>0</v>
      </c>
      <c r="O139" s="12">
        <v>0</v>
      </c>
      <c r="P139" s="12">
        <v>20</v>
      </c>
      <c r="Q139" s="12">
        <v>0</v>
      </c>
      <c r="R139" s="12">
        <f t="shared" si="29"/>
        <v>20</v>
      </c>
      <c r="S139" s="7">
        <v>136</v>
      </c>
    </row>
    <row r="140" spans="2:19" x14ac:dyDescent="0.25">
      <c r="E140" s="12"/>
      <c r="F140" s="12"/>
      <c r="G140" s="12"/>
      <c r="H140" s="12"/>
      <c r="I140" s="12"/>
      <c r="J140" s="12"/>
      <c r="K140" s="12"/>
      <c r="L140" s="12"/>
      <c r="M140" s="12"/>
      <c r="N140" s="12"/>
      <c r="O140" s="12"/>
      <c r="P140" s="12"/>
      <c r="Q140" s="12"/>
      <c r="R140" s="12"/>
      <c r="S140" s="7">
        <v>137</v>
      </c>
    </row>
    <row r="141" spans="2:19" x14ac:dyDescent="0.25">
      <c r="B141" s="68">
        <v>49</v>
      </c>
      <c r="C141" s="68"/>
      <c r="D141" s="68" t="s">
        <v>127</v>
      </c>
      <c r="E141" s="69">
        <f>E142+E143+E144+E145+E146+E147+E148+E149</f>
        <v>108444.5</v>
      </c>
      <c r="F141" s="69">
        <f t="shared" ref="F141:R141" si="30">F142+F143+F144+F145+F146+F147+F148+F149</f>
        <v>0</v>
      </c>
      <c r="G141" s="69">
        <f t="shared" si="30"/>
        <v>3000</v>
      </c>
      <c r="H141" s="69">
        <f t="shared" si="30"/>
        <v>0</v>
      </c>
      <c r="I141" s="69">
        <f t="shared" si="30"/>
        <v>0</v>
      </c>
      <c r="J141" s="69">
        <f t="shared" si="30"/>
        <v>0</v>
      </c>
      <c r="K141" s="69">
        <f t="shared" si="30"/>
        <v>0</v>
      </c>
      <c r="L141" s="69">
        <f t="shared" si="30"/>
        <v>1037.8</v>
      </c>
      <c r="M141" s="69">
        <f t="shared" si="30"/>
        <v>0</v>
      </c>
      <c r="N141" s="69">
        <f t="shared" si="30"/>
        <v>0</v>
      </c>
      <c r="O141" s="69">
        <f t="shared" si="30"/>
        <v>0</v>
      </c>
      <c r="P141" s="69">
        <f t="shared" si="30"/>
        <v>0</v>
      </c>
      <c r="Q141" s="69">
        <f t="shared" si="30"/>
        <v>0</v>
      </c>
      <c r="R141" s="69">
        <f t="shared" si="30"/>
        <v>112482.29999999999</v>
      </c>
      <c r="S141" s="7">
        <v>138</v>
      </c>
    </row>
    <row r="142" spans="2:19" x14ac:dyDescent="0.25">
      <c r="C142" s="7">
        <v>490</v>
      </c>
      <c r="D142" s="7" t="s">
        <v>128</v>
      </c>
      <c r="E142" s="12">
        <v>46853.9</v>
      </c>
      <c r="F142" s="12">
        <v>0</v>
      </c>
      <c r="G142" s="12">
        <v>0</v>
      </c>
      <c r="H142" s="12">
        <v>0</v>
      </c>
      <c r="I142" s="12">
        <v>0</v>
      </c>
      <c r="J142" s="12"/>
      <c r="K142" s="12">
        <v>0</v>
      </c>
      <c r="L142" s="12">
        <v>0</v>
      </c>
      <c r="M142" s="12"/>
      <c r="N142" s="12">
        <v>0</v>
      </c>
      <c r="O142" s="12">
        <v>0</v>
      </c>
      <c r="P142" s="12">
        <v>0</v>
      </c>
      <c r="Q142" s="12">
        <v>0</v>
      </c>
      <c r="R142" s="12">
        <f t="shared" ref="R142:R149" si="31">SUM(E142:Q142)</f>
        <v>46853.9</v>
      </c>
      <c r="S142" s="7">
        <v>139</v>
      </c>
    </row>
    <row r="143" spans="2:19" x14ac:dyDescent="0.25">
      <c r="C143" s="7">
        <v>491</v>
      </c>
      <c r="D143" s="7" t="s">
        <v>129</v>
      </c>
      <c r="E143" s="12">
        <v>61590.6</v>
      </c>
      <c r="F143" s="12">
        <v>0</v>
      </c>
      <c r="G143" s="12">
        <v>3000</v>
      </c>
      <c r="H143" s="12">
        <v>0</v>
      </c>
      <c r="I143" s="12">
        <v>0</v>
      </c>
      <c r="J143" s="12"/>
      <c r="K143" s="12">
        <v>0</v>
      </c>
      <c r="L143" s="12">
        <v>1037.8</v>
      </c>
      <c r="M143" s="12"/>
      <c r="N143" s="12">
        <v>0</v>
      </c>
      <c r="O143" s="12">
        <v>0</v>
      </c>
      <c r="P143" s="12">
        <v>0</v>
      </c>
      <c r="Q143" s="12">
        <v>0</v>
      </c>
      <c r="R143" s="12">
        <f t="shared" si="31"/>
        <v>65628.399999999994</v>
      </c>
      <c r="S143" s="7">
        <v>140</v>
      </c>
    </row>
    <row r="144" spans="2:19" x14ac:dyDescent="0.25">
      <c r="C144" s="7">
        <v>492</v>
      </c>
      <c r="D144" s="7" t="s">
        <v>188</v>
      </c>
      <c r="E144" s="12">
        <v>0</v>
      </c>
      <c r="F144" s="12">
        <v>0</v>
      </c>
      <c r="G144" s="12">
        <v>0</v>
      </c>
      <c r="H144" s="12">
        <v>0</v>
      </c>
      <c r="I144" s="12">
        <v>0</v>
      </c>
      <c r="J144" s="12"/>
      <c r="K144" s="12">
        <v>0</v>
      </c>
      <c r="L144" s="12">
        <v>0</v>
      </c>
      <c r="M144" s="12"/>
      <c r="N144" s="12">
        <v>0</v>
      </c>
      <c r="O144" s="12">
        <v>0</v>
      </c>
      <c r="P144" s="12">
        <v>0</v>
      </c>
      <c r="Q144" s="12">
        <v>0</v>
      </c>
      <c r="R144" s="12">
        <f t="shared" si="31"/>
        <v>0</v>
      </c>
      <c r="S144" s="7">
        <v>141</v>
      </c>
    </row>
    <row r="145" spans="1:19" x14ac:dyDescent="0.25">
      <c r="C145" s="7">
        <v>493</v>
      </c>
      <c r="D145" s="7" t="s">
        <v>189</v>
      </c>
      <c r="E145" s="12">
        <v>0</v>
      </c>
      <c r="F145" s="12">
        <v>0</v>
      </c>
      <c r="G145" s="12">
        <v>0</v>
      </c>
      <c r="H145" s="12">
        <v>0</v>
      </c>
      <c r="I145" s="12">
        <v>0</v>
      </c>
      <c r="J145" s="12"/>
      <c r="K145" s="12">
        <v>0</v>
      </c>
      <c r="L145" s="12">
        <v>0</v>
      </c>
      <c r="M145" s="12"/>
      <c r="N145" s="12">
        <v>0</v>
      </c>
      <c r="O145" s="12">
        <v>0</v>
      </c>
      <c r="P145" s="12">
        <v>0</v>
      </c>
      <c r="Q145" s="12">
        <v>0</v>
      </c>
      <c r="R145" s="12">
        <f t="shared" si="31"/>
        <v>0</v>
      </c>
      <c r="S145" s="7">
        <v>142</v>
      </c>
    </row>
    <row r="146" spans="1:19" x14ac:dyDescent="0.25">
      <c r="C146" s="7">
        <v>494</v>
      </c>
      <c r="D146" s="7" t="s">
        <v>132</v>
      </c>
      <c r="E146" s="12">
        <v>0</v>
      </c>
      <c r="F146" s="12">
        <v>0</v>
      </c>
      <c r="G146" s="12">
        <v>0</v>
      </c>
      <c r="H146" s="12">
        <v>0</v>
      </c>
      <c r="I146" s="12">
        <v>0</v>
      </c>
      <c r="J146" s="12"/>
      <c r="K146" s="12">
        <v>0</v>
      </c>
      <c r="L146" s="12">
        <v>0</v>
      </c>
      <c r="M146" s="12"/>
      <c r="N146" s="12">
        <v>0</v>
      </c>
      <c r="O146" s="12">
        <v>0</v>
      </c>
      <c r="P146" s="12">
        <v>0</v>
      </c>
      <c r="Q146" s="12">
        <v>0</v>
      </c>
      <c r="R146" s="12">
        <f t="shared" si="31"/>
        <v>0</v>
      </c>
      <c r="S146" s="7">
        <v>143</v>
      </c>
    </row>
    <row r="147" spans="1:19" x14ac:dyDescent="0.25">
      <c r="C147" s="7">
        <v>495</v>
      </c>
      <c r="D147" s="7" t="s">
        <v>190</v>
      </c>
      <c r="E147" s="12">
        <v>0</v>
      </c>
      <c r="F147" s="12">
        <v>0</v>
      </c>
      <c r="G147" s="12">
        <v>0</v>
      </c>
      <c r="H147" s="12">
        <v>0</v>
      </c>
      <c r="I147" s="12">
        <v>0</v>
      </c>
      <c r="J147" s="12"/>
      <c r="K147" s="12">
        <v>0</v>
      </c>
      <c r="L147" s="12">
        <v>0</v>
      </c>
      <c r="M147" s="12"/>
      <c r="N147" s="12">
        <v>0</v>
      </c>
      <c r="O147" s="12">
        <v>0</v>
      </c>
      <c r="P147" s="12">
        <v>0</v>
      </c>
      <c r="Q147" s="12">
        <v>0</v>
      </c>
      <c r="R147" s="12">
        <f t="shared" si="31"/>
        <v>0</v>
      </c>
      <c r="S147" s="7">
        <v>144</v>
      </c>
    </row>
    <row r="148" spans="1:19" x14ac:dyDescent="0.25">
      <c r="C148" s="7">
        <v>498</v>
      </c>
      <c r="D148" s="7" t="s">
        <v>191</v>
      </c>
      <c r="E148" s="12">
        <v>0</v>
      </c>
      <c r="F148" s="12">
        <v>0</v>
      </c>
      <c r="G148" s="12">
        <v>0</v>
      </c>
      <c r="H148" s="12">
        <v>0</v>
      </c>
      <c r="I148" s="12">
        <v>0</v>
      </c>
      <c r="J148" s="12"/>
      <c r="K148" s="12">
        <v>0</v>
      </c>
      <c r="L148" s="12">
        <v>0</v>
      </c>
      <c r="M148" s="12"/>
      <c r="N148" s="12">
        <v>0</v>
      </c>
      <c r="O148" s="12">
        <v>0</v>
      </c>
      <c r="P148" s="12">
        <v>0</v>
      </c>
      <c r="Q148" s="12">
        <v>0</v>
      </c>
      <c r="R148" s="12">
        <f t="shared" si="31"/>
        <v>0</v>
      </c>
      <c r="S148" s="7">
        <v>145</v>
      </c>
    </row>
    <row r="149" spans="1:19" x14ac:dyDescent="0.25">
      <c r="C149" s="7">
        <v>499</v>
      </c>
      <c r="D149" s="7" t="s">
        <v>135</v>
      </c>
      <c r="E149" s="12">
        <v>0</v>
      </c>
      <c r="F149" s="12">
        <v>0</v>
      </c>
      <c r="G149" s="12">
        <v>0</v>
      </c>
      <c r="H149" s="12">
        <v>0</v>
      </c>
      <c r="I149" s="12">
        <v>0</v>
      </c>
      <c r="J149" s="12"/>
      <c r="K149" s="12">
        <v>0</v>
      </c>
      <c r="L149" s="12">
        <v>0</v>
      </c>
      <c r="M149" s="12"/>
      <c r="N149" s="12">
        <v>0</v>
      </c>
      <c r="O149" s="12">
        <v>0</v>
      </c>
      <c r="P149" s="12">
        <v>0</v>
      </c>
      <c r="Q149" s="12">
        <v>0</v>
      </c>
      <c r="R149" s="12">
        <f t="shared" si="31"/>
        <v>0</v>
      </c>
      <c r="S149" s="7">
        <v>146</v>
      </c>
    </row>
    <row r="150" spans="1:19" x14ac:dyDescent="0.25">
      <c r="E150" s="12"/>
      <c r="F150" s="12"/>
      <c r="G150" s="12"/>
      <c r="H150" s="12"/>
      <c r="I150" s="12"/>
      <c r="J150" s="12"/>
      <c r="K150" s="12"/>
      <c r="L150" s="12"/>
      <c r="M150" s="12"/>
      <c r="N150" s="12"/>
      <c r="O150" s="12"/>
      <c r="P150" s="12"/>
      <c r="Q150" s="12"/>
      <c r="R150" s="12"/>
      <c r="S150" s="7">
        <v>147</v>
      </c>
    </row>
    <row r="151" spans="1:19" x14ac:dyDescent="0.25">
      <c r="E151" s="12"/>
      <c r="F151" s="12"/>
      <c r="G151" s="12"/>
      <c r="H151" s="12"/>
      <c r="I151" s="12"/>
      <c r="J151" s="12"/>
      <c r="K151" s="12"/>
      <c r="L151" s="12"/>
      <c r="M151" s="12"/>
      <c r="N151" s="12"/>
      <c r="O151" s="12"/>
      <c r="P151" s="12"/>
      <c r="Q151" s="12"/>
      <c r="R151" s="12"/>
      <c r="S151" s="7">
        <v>148</v>
      </c>
    </row>
    <row r="152" spans="1:19" x14ac:dyDescent="0.25">
      <c r="E152" s="12"/>
      <c r="F152" s="12"/>
      <c r="G152" s="12"/>
      <c r="H152" s="12"/>
      <c r="I152" s="12"/>
      <c r="J152" s="12"/>
      <c r="K152" s="12"/>
      <c r="L152" s="12"/>
      <c r="M152" s="12"/>
      <c r="N152" s="12"/>
      <c r="O152" s="12"/>
      <c r="P152" s="12"/>
      <c r="Q152" s="12"/>
      <c r="R152" s="12"/>
      <c r="S152" s="7">
        <v>149</v>
      </c>
    </row>
    <row r="153" spans="1:19" x14ac:dyDescent="0.25">
      <c r="A153" s="70">
        <v>9</v>
      </c>
      <c r="B153" s="70"/>
      <c r="C153" s="70"/>
      <c r="D153" s="70" t="s">
        <v>193</v>
      </c>
      <c r="E153" s="71"/>
      <c r="F153" s="71"/>
      <c r="G153" s="71"/>
      <c r="H153" s="71"/>
      <c r="I153" s="71"/>
      <c r="J153" s="71"/>
      <c r="K153" s="71"/>
      <c r="L153" s="71"/>
      <c r="M153" s="71"/>
      <c r="N153" s="71"/>
      <c r="O153" s="71"/>
      <c r="P153" s="71"/>
      <c r="Q153" s="71"/>
      <c r="R153" s="71"/>
      <c r="S153" s="7">
        <v>150</v>
      </c>
    </row>
    <row r="154" spans="1:19" x14ac:dyDescent="0.25">
      <c r="A154" s="70"/>
      <c r="B154" s="70">
        <v>90</v>
      </c>
      <c r="C154" s="70"/>
      <c r="D154" s="70" t="s">
        <v>194</v>
      </c>
      <c r="E154" s="72">
        <f>E155+E156</f>
        <v>89792</v>
      </c>
      <c r="F154" s="72">
        <f t="shared" ref="F154:R154" si="32">F155+F156</f>
        <v>-15370.52</v>
      </c>
      <c r="G154" s="72">
        <f t="shared" si="32"/>
        <v>18763.12</v>
      </c>
      <c r="H154" s="72">
        <f t="shared" si="32"/>
        <v>13233</v>
      </c>
      <c r="I154" s="72">
        <f t="shared" si="32"/>
        <v>13585.31</v>
      </c>
      <c r="J154" s="72">
        <f t="shared" si="32"/>
        <v>0</v>
      </c>
      <c r="K154" s="72">
        <f t="shared" si="32"/>
        <v>18069.509999999998</v>
      </c>
      <c r="L154" s="72">
        <f t="shared" si="32"/>
        <v>5815.81</v>
      </c>
      <c r="M154" s="72">
        <f t="shared" si="32"/>
        <v>0</v>
      </c>
      <c r="N154" s="72">
        <f t="shared" si="32"/>
        <v>-7888.14</v>
      </c>
      <c r="O154" s="72">
        <f t="shared" si="32"/>
        <v>343.19</v>
      </c>
      <c r="P154" s="72">
        <f t="shared" si="32"/>
        <v>-1406.69</v>
      </c>
      <c r="Q154" s="72">
        <f t="shared" si="32"/>
        <v>59355.03</v>
      </c>
      <c r="R154" s="72">
        <f t="shared" si="32"/>
        <v>194291.61999999997</v>
      </c>
      <c r="S154" s="7">
        <v>151</v>
      </c>
    </row>
    <row r="155" spans="1:19" x14ac:dyDescent="0.25">
      <c r="C155" s="7">
        <v>900</v>
      </c>
      <c r="D155" s="7" t="s">
        <v>195</v>
      </c>
      <c r="E155" s="12">
        <v>89792</v>
      </c>
      <c r="F155" s="12">
        <v>-15370.52</v>
      </c>
      <c r="G155" s="12">
        <v>18763.12</v>
      </c>
      <c r="H155" s="12">
        <v>13233</v>
      </c>
      <c r="I155" s="12">
        <v>13585.31</v>
      </c>
      <c r="J155" s="12"/>
      <c r="K155" s="12">
        <v>18069.509999999998</v>
      </c>
      <c r="L155" s="12">
        <v>5815.81</v>
      </c>
      <c r="M155" s="12"/>
      <c r="N155" s="12">
        <v>-7888.14</v>
      </c>
      <c r="O155" s="12">
        <v>343.19</v>
      </c>
      <c r="P155" s="12">
        <v>-1406.69</v>
      </c>
      <c r="Q155" s="12">
        <v>59355.03</v>
      </c>
      <c r="R155" s="12">
        <f>SUM(E155:Q155)</f>
        <v>194291.61999999997</v>
      </c>
      <c r="S155" s="7">
        <v>152</v>
      </c>
    </row>
    <row r="156" spans="1:19" x14ac:dyDescent="0.25">
      <c r="C156" s="7">
        <v>901</v>
      </c>
      <c r="D156" s="7" t="s">
        <v>196</v>
      </c>
      <c r="E156" s="12">
        <v>0</v>
      </c>
      <c r="F156" s="12">
        <v>0</v>
      </c>
      <c r="G156" s="12">
        <v>0</v>
      </c>
      <c r="H156" s="12">
        <v>0</v>
      </c>
      <c r="I156" s="12">
        <v>0</v>
      </c>
      <c r="J156" s="12"/>
      <c r="K156" s="12">
        <v>0</v>
      </c>
      <c r="L156" s="12">
        <v>0</v>
      </c>
      <c r="M156" s="12"/>
      <c r="N156" s="12">
        <v>0</v>
      </c>
      <c r="O156" s="12">
        <v>0</v>
      </c>
      <c r="P156" s="12">
        <v>0</v>
      </c>
      <c r="Q156" s="12">
        <v>0</v>
      </c>
      <c r="R156" s="12">
        <f>SUM(E156:Q156)</f>
        <v>0</v>
      </c>
      <c r="S156" s="7">
        <v>153</v>
      </c>
    </row>
    <row r="157" spans="1:19" x14ac:dyDescent="0.25">
      <c r="E157" s="12"/>
      <c r="F157" s="12"/>
      <c r="G157" s="12"/>
      <c r="H157" s="12"/>
      <c r="I157" s="12"/>
      <c r="J157" s="12"/>
      <c r="K157" s="12"/>
      <c r="L157" s="12"/>
      <c r="M157" s="12"/>
      <c r="N157" s="12"/>
      <c r="O157" s="12"/>
      <c r="P157" s="12"/>
      <c r="Q157" s="12"/>
      <c r="R157" s="12"/>
      <c r="S157" s="7">
        <v>154</v>
      </c>
    </row>
    <row r="158" spans="1:19" x14ac:dyDescent="0.25">
      <c r="D158" s="6" t="s">
        <v>197</v>
      </c>
      <c r="E158" s="75">
        <f>E155+E156</f>
        <v>89792</v>
      </c>
      <c r="F158" s="75">
        <f t="shared" ref="F158:R158" si="33">F155+F156</f>
        <v>-15370.52</v>
      </c>
      <c r="G158" s="75">
        <f t="shared" si="33"/>
        <v>18763.12</v>
      </c>
      <c r="H158" s="75">
        <f t="shared" si="33"/>
        <v>13233</v>
      </c>
      <c r="I158" s="75">
        <f t="shared" si="33"/>
        <v>13585.31</v>
      </c>
      <c r="J158" s="75">
        <f t="shared" si="33"/>
        <v>0</v>
      </c>
      <c r="K158" s="75">
        <f t="shared" si="33"/>
        <v>18069.509999999998</v>
      </c>
      <c r="L158" s="75">
        <f t="shared" si="33"/>
        <v>5815.81</v>
      </c>
      <c r="M158" s="75">
        <f t="shared" si="33"/>
        <v>0</v>
      </c>
      <c r="N158" s="75">
        <f t="shared" si="33"/>
        <v>-7888.14</v>
      </c>
      <c r="O158" s="75">
        <f t="shared" si="33"/>
        <v>343.19</v>
      </c>
      <c r="P158" s="75">
        <f t="shared" si="33"/>
        <v>-1406.69</v>
      </c>
      <c r="Q158" s="75">
        <f t="shared" si="33"/>
        <v>59355.03</v>
      </c>
      <c r="R158" s="75">
        <f t="shared" si="33"/>
        <v>194291.61999999997</v>
      </c>
      <c r="S158" s="7">
        <v>155</v>
      </c>
    </row>
    <row r="159" spans="1:19" x14ac:dyDescent="0.25">
      <c r="E159" s="12"/>
      <c r="F159" s="12"/>
      <c r="G159" s="12"/>
      <c r="H159" s="12"/>
      <c r="I159" s="12"/>
      <c r="J159" s="12"/>
      <c r="K159" s="12"/>
      <c r="L159" s="12"/>
      <c r="M159" s="12"/>
      <c r="N159" s="12"/>
      <c r="O159" s="12"/>
      <c r="P159" s="12"/>
      <c r="Q159" s="12"/>
      <c r="R159" s="12"/>
      <c r="S159" s="7">
        <v>156</v>
      </c>
    </row>
    <row r="160" spans="1:19" x14ac:dyDescent="0.25">
      <c r="D160" s="74"/>
      <c r="E160" s="75">
        <f t="shared" ref="E160:R160" si="34">E76-E5</f>
        <v>89792</v>
      </c>
      <c r="F160" s="75">
        <f t="shared" si="34"/>
        <v>-15370.520000000004</v>
      </c>
      <c r="G160" s="75">
        <f t="shared" si="34"/>
        <v>18763.119999999966</v>
      </c>
      <c r="H160" s="75">
        <f t="shared" si="34"/>
        <v>13232.999999999993</v>
      </c>
      <c r="I160" s="75">
        <f t="shared" si="34"/>
        <v>13585.309999999998</v>
      </c>
      <c r="J160" s="75">
        <f t="shared" si="34"/>
        <v>0</v>
      </c>
      <c r="K160" s="75">
        <f t="shared" si="34"/>
        <v>18069.510000000009</v>
      </c>
      <c r="L160" s="75">
        <f t="shared" si="34"/>
        <v>5815.8099999999977</v>
      </c>
      <c r="M160" s="75">
        <f t="shared" si="34"/>
        <v>0</v>
      </c>
      <c r="N160" s="75">
        <f t="shared" si="34"/>
        <v>-7888.1400000000031</v>
      </c>
      <c r="O160" s="75">
        <f t="shared" si="34"/>
        <v>343.19000000000233</v>
      </c>
      <c r="P160" s="75">
        <f t="shared" si="34"/>
        <v>-1406.6900000000314</v>
      </c>
      <c r="Q160" s="75">
        <f t="shared" si="34"/>
        <v>59355.030000000028</v>
      </c>
      <c r="R160" s="75">
        <f t="shared" si="34"/>
        <v>194291.61999999965</v>
      </c>
      <c r="S160" s="7">
        <v>157</v>
      </c>
    </row>
    <row r="161" spans="4:19" x14ac:dyDescent="0.25">
      <c r="D161" s="74" t="s">
        <v>68</v>
      </c>
      <c r="E161" s="21">
        <f t="shared" ref="E161:R161" si="35">E158-E160</f>
        <v>0</v>
      </c>
      <c r="F161" s="21">
        <f t="shared" si="35"/>
        <v>0</v>
      </c>
      <c r="G161" s="21">
        <f t="shared" si="35"/>
        <v>3.2741809263825417E-11</v>
      </c>
      <c r="H161" s="21">
        <f t="shared" si="35"/>
        <v>0</v>
      </c>
      <c r="I161" s="21">
        <f t="shared" si="35"/>
        <v>0</v>
      </c>
      <c r="J161" s="21">
        <f t="shared" si="35"/>
        <v>0</v>
      </c>
      <c r="K161" s="21">
        <f t="shared" si="35"/>
        <v>0</v>
      </c>
      <c r="L161" s="21">
        <f t="shared" si="35"/>
        <v>0</v>
      </c>
      <c r="M161" s="21">
        <f t="shared" si="35"/>
        <v>0</v>
      </c>
      <c r="N161" s="21">
        <f t="shared" si="35"/>
        <v>0</v>
      </c>
      <c r="O161" s="21">
        <f t="shared" si="35"/>
        <v>-2.3305801732931286E-12</v>
      </c>
      <c r="P161" s="21">
        <f t="shared" si="35"/>
        <v>3.1377567211166024E-11</v>
      </c>
      <c r="Q161" s="21">
        <f t="shared" si="35"/>
        <v>0</v>
      </c>
      <c r="R161" s="21">
        <f t="shared" si="35"/>
        <v>3.2014213502407074E-10</v>
      </c>
      <c r="S161" s="7">
        <v>158</v>
      </c>
    </row>
    <row r="162" spans="4:19" x14ac:dyDescent="0.25">
      <c r="M162" s="12"/>
      <c r="S162" s="7">
        <v>159</v>
      </c>
    </row>
    <row r="163" spans="4:19" x14ac:dyDescent="0.25">
      <c r="D163" s="74" t="s">
        <v>236</v>
      </c>
      <c r="E163" s="16">
        <f>E65-E141</f>
        <v>0</v>
      </c>
      <c r="F163" s="16">
        <f t="shared" ref="F163:R163" si="36">F65-F141</f>
        <v>0</v>
      </c>
      <c r="G163" s="16">
        <f t="shared" si="36"/>
        <v>0</v>
      </c>
      <c r="H163" s="16">
        <f t="shared" si="36"/>
        <v>0</v>
      </c>
      <c r="I163" s="16">
        <f t="shared" si="36"/>
        <v>0</v>
      </c>
      <c r="J163" s="16">
        <f t="shared" si="36"/>
        <v>0</v>
      </c>
      <c r="K163" s="16">
        <f t="shared" si="36"/>
        <v>0</v>
      </c>
      <c r="L163" s="16">
        <f t="shared" si="36"/>
        <v>0</v>
      </c>
      <c r="M163" s="16">
        <f t="shared" si="36"/>
        <v>0</v>
      </c>
      <c r="N163" s="16">
        <f t="shared" si="36"/>
        <v>0</v>
      </c>
      <c r="O163" s="16">
        <f t="shared" si="36"/>
        <v>0</v>
      </c>
      <c r="P163" s="16">
        <f t="shared" si="36"/>
        <v>24863.1</v>
      </c>
      <c r="Q163" s="16">
        <f t="shared" si="36"/>
        <v>0</v>
      </c>
      <c r="R163" s="16">
        <f t="shared" si="36"/>
        <v>24863.100000000035</v>
      </c>
      <c r="S163" s="7">
        <v>160</v>
      </c>
    </row>
    <row r="164" spans="4:19" x14ac:dyDescent="0.25">
      <c r="S164" s="7">
        <v>161</v>
      </c>
    </row>
    <row r="165" spans="4:19" x14ac:dyDescent="0.25">
      <c r="D165" s="7" t="s">
        <v>585</v>
      </c>
      <c r="E165" s="12">
        <f>E6+E16+E28+E40+E44+E54</f>
        <v>720071.22</v>
      </c>
      <c r="F165" s="12">
        <f t="shared" ref="F165:R165" si="37">F6+F16+F28+F40+F44+F54</f>
        <v>125826.77</v>
      </c>
      <c r="G165" s="12">
        <f t="shared" si="37"/>
        <v>124587.25000000001</v>
      </c>
      <c r="H165" s="12">
        <f t="shared" si="37"/>
        <v>43477.710000000006</v>
      </c>
      <c r="I165" s="12">
        <f t="shared" si="37"/>
        <v>287170.78000000003</v>
      </c>
      <c r="J165" s="12">
        <f t="shared" si="37"/>
        <v>0</v>
      </c>
      <c r="K165" s="12">
        <f t="shared" si="37"/>
        <v>77614.489999999991</v>
      </c>
      <c r="L165" s="12">
        <f t="shared" si="37"/>
        <v>186265.03</v>
      </c>
      <c r="M165" s="12">
        <f t="shared" si="37"/>
        <v>0</v>
      </c>
      <c r="N165" s="12">
        <f t="shared" si="37"/>
        <v>40635.29</v>
      </c>
      <c r="O165" s="12">
        <f t="shared" si="37"/>
        <v>170247.87</v>
      </c>
      <c r="P165" s="12">
        <f t="shared" si="37"/>
        <v>150756.04</v>
      </c>
      <c r="Q165" s="12">
        <f t="shared" si="37"/>
        <v>390679.6</v>
      </c>
      <c r="R165" s="12">
        <f t="shared" si="37"/>
        <v>2317332.0500000003</v>
      </c>
      <c r="S165" s="7">
        <v>162</v>
      </c>
    </row>
    <row r="166" spans="4:19" x14ac:dyDescent="0.25">
      <c r="D166" s="7" t="s">
        <v>586</v>
      </c>
      <c r="E166" s="12">
        <f>E77+E83+E89+E100+E118+E122+E129</f>
        <v>461305.9</v>
      </c>
      <c r="F166" s="12">
        <f t="shared" ref="F166:R166" si="38">F77+F83+F89+F100+F118+F122+F129</f>
        <v>66794.899999999994</v>
      </c>
      <c r="G166" s="12">
        <f t="shared" si="38"/>
        <v>127608.77</v>
      </c>
      <c r="H166" s="12">
        <f t="shared" si="38"/>
        <v>15356.25</v>
      </c>
      <c r="I166" s="12">
        <f t="shared" si="38"/>
        <v>190411.9</v>
      </c>
      <c r="J166" s="12">
        <f t="shared" si="38"/>
        <v>0</v>
      </c>
      <c r="K166" s="12">
        <f t="shared" si="38"/>
        <v>74900.55</v>
      </c>
      <c r="L166" s="12">
        <f t="shared" si="38"/>
        <v>179825.25</v>
      </c>
      <c r="M166" s="12">
        <f t="shared" si="38"/>
        <v>0</v>
      </c>
      <c r="N166" s="12">
        <f t="shared" si="38"/>
        <v>28376.1</v>
      </c>
      <c r="O166" s="12">
        <f t="shared" si="38"/>
        <v>119779.70000000001</v>
      </c>
      <c r="P166" s="12">
        <f t="shared" si="38"/>
        <v>89766</v>
      </c>
      <c r="Q166" s="12">
        <f t="shared" si="38"/>
        <v>421701.79000000004</v>
      </c>
      <c r="R166" s="12">
        <f t="shared" si="38"/>
        <v>1775827.1099999999</v>
      </c>
      <c r="S166" s="7">
        <v>163</v>
      </c>
    </row>
    <row r="168" spans="4:19" x14ac:dyDescent="0.25">
      <c r="L168" s="12"/>
    </row>
  </sheetData>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F0"/>
  </sheetPr>
  <dimension ref="A2:E161"/>
  <sheetViews>
    <sheetView workbookViewId="0"/>
  </sheetViews>
  <sheetFormatPr baseColWidth="10" defaultColWidth="11.44140625" defaultRowHeight="13.8" x14ac:dyDescent="0.25"/>
  <cols>
    <col min="1" max="2" width="5.6640625" style="7" customWidth="1"/>
    <col min="3" max="3" width="9" style="7" customWidth="1"/>
    <col min="4" max="4" width="66.109375" style="7" customWidth="1"/>
    <col min="5" max="5" width="23" style="7" customWidth="1"/>
    <col min="6" max="16384" width="11.44140625" style="7"/>
  </cols>
  <sheetData>
    <row r="2" spans="1:5" ht="21" x14ac:dyDescent="0.4">
      <c r="A2" s="79" t="s">
        <v>827</v>
      </c>
      <c r="B2" s="6"/>
      <c r="C2" s="6"/>
      <c r="D2" s="6"/>
    </row>
    <row r="4" spans="1:5" ht="14.4" thickBot="1" x14ac:dyDescent="0.3"/>
    <row r="5" spans="1:5" ht="14.4" thickBot="1" x14ac:dyDescent="0.3">
      <c r="A5" s="7" t="s">
        <v>734</v>
      </c>
      <c r="D5" s="83" t="s">
        <v>16</v>
      </c>
    </row>
    <row r="7" spans="1:5" x14ac:dyDescent="0.25">
      <c r="E7" s="29" t="s">
        <v>201</v>
      </c>
    </row>
    <row r="8" spans="1:5" ht="21" x14ac:dyDescent="0.4">
      <c r="A8" s="10">
        <v>3</v>
      </c>
      <c r="B8" s="10"/>
      <c r="C8" s="10"/>
      <c r="D8" s="10" t="s">
        <v>60</v>
      </c>
      <c r="E8" s="84">
        <f>HLOOKUP($D$5,'Bourgeoisies Comptes 2022'!$E$4:$R$166,2,0)</f>
        <v>190874.18</v>
      </c>
    </row>
    <row r="9" spans="1:5" x14ac:dyDescent="0.25">
      <c r="A9" s="66"/>
      <c r="B9" s="66">
        <v>30</v>
      </c>
      <c r="C9" s="66"/>
      <c r="D9" s="66" t="s">
        <v>61</v>
      </c>
      <c r="E9" s="67">
        <f>HLOOKUP($D$5,'Bourgeoisies Comptes 2022'!$E$4:$R$166,3,0)</f>
        <v>30622.850000000002</v>
      </c>
    </row>
    <row r="10" spans="1:5" x14ac:dyDescent="0.25">
      <c r="C10" s="7">
        <v>300</v>
      </c>
      <c r="D10" s="7" t="s">
        <v>80</v>
      </c>
      <c r="E10" s="12">
        <f>HLOOKUP($D$5,'Bourgeoisies Comptes 2022'!$E$4:$R$166,4,0)</f>
        <v>12520.35</v>
      </c>
    </row>
    <row r="11" spans="1:5" x14ac:dyDescent="0.25">
      <c r="C11" s="7">
        <v>301</v>
      </c>
      <c r="D11" s="7" t="s">
        <v>81</v>
      </c>
      <c r="E11" s="12">
        <f>HLOOKUP($D$5,'Bourgeoisies Comptes 2022'!$E$4:$R$166,5,0)</f>
        <v>15567.6</v>
      </c>
    </row>
    <row r="12" spans="1:5" x14ac:dyDescent="0.25">
      <c r="C12" s="7">
        <v>302</v>
      </c>
      <c r="D12" s="7" t="s">
        <v>82</v>
      </c>
      <c r="E12" s="12">
        <f>HLOOKUP($D$5,'Bourgeoisies Comptes 2022'!$E$4:$R$166,6,0)</f>
        <v>0</v>
      </c>
    </row>
    <row r="13" spans="1:5" x14ac:dyDescent="0.25">
      <c r="C13" s="7">
        <v>303</v>
      </c>
      <c r="D13" s="7" t="s">
        <v>83</v>
      </c>
      <c r="E13" s="12">
        <f>HLOOKUP($D$5,'Bourgeoisies Comptes 2022'!$E$4:$R$166,7,0)</f>
        <v>0</v>
      </c>
    </row>
    <row r="14" spans="1:5" x14ac:dyDescent="0.25">
      <c r="C14" s="7">
        <v>304</v>
      </c>
      <c r="D14" s="7" t="s">
        <v>578</v>
      </c>
      <c r="E14" s="12">
        <f>HLOOKUP($D$5,'Bourgeoisies Comptes 2022'!$E$4:$R$166,8,0)</f>
        <v>0</v>
      </c>
    </row>
    <row r="15" spans="1:5" x14ac:dyDescent="0.25">
      <c r="C15" s="7">
        <v>305</v>
      </c>
      <c r="D15" s="7" t="s">
        <v>84</v>
      </c>
      <c r="E15" s="12">
        <f>HLOOKUP($D$5,'Bourgeoisies Comptes 2022'!$E$4:$R$166,9,0)</f>
        <v>2534.9</v>
      </c>
    </row>
    <row r="16" spans="1:5" x14ac:dyDescent="0.25">
      <c r="C16" s="7">
        <v>306</v>
      </c>
      <c r="D16" s="7" t="s">
        <v>85</v>
      </c>
      <c r="E16" s="12">
        <f>HLOOKUP($D$5,'Bourgeoisies Comptes 2022'!$E$4:$R$166,10,0)</f>
        <v>0</v>
      </c>
    </row>
    <row r="17" spans="2:5" x14ac:dyDescent="0.25">
      <c r="C17" s="7">
        <v>309</v>
      </c>
      <c r="D17" s="7" t="s">
        <v>86</v>
      </c>
      <c r="E17" s="12">
        <f>HLOOKUP($D$5,'Bourgeoisies Comptes 2022'!$E$4:$R$166,11,0)</f>
        <v>0</v>
      </c>
    </row>
    <row r="18" spans="2:5" x14ac:dyDescent="0.25">
      <c r="E18" s="12"/>
    </row>
    <row r="19" spans="2:5" x14ac:dyDescent="0.25">
      <c r="B19" s="66">
        <v>31</v>
      </c>
      <c r="C19" s="66"/>
      <c r="D19" s="66" t="s">
        <v>87</v>
      </c>
      <c r="E19" s="67">
        <f>SUM(E20:E29)</f>
        <v>109038.73999999999</v>
      </c>
    </row>
    <row r="20" spans="2:5" x14ac:dyDescent="0.25">
      <c r="C20" s="7">
        <v>310</v>
      </c>
      <c r="D20" s="7" t="s">
        <v>88</v>
      </c>
      <c r="E20" s="12">
        <f>HLOOKUP($D$5,'Bourgeoisies Comptes 2022'!$E$4:$R$166,14,0)</f>
        <v>2420.35</v>
      </c>
    </row>
    <row r="21" spans="2:5" x14ac:dyDescent="0.25">
      <c r="C21" s="7">
        <v>311</v>
      </c>
      <c r="D21" s="7" t="s">
        <v>449</v>
      </c>
      <c r="E21" s="12">
        <f>HLOOKUP($D$5,'Bourgeoisies Comptes 2022'!$E$4:$R$166,15,0)</f>
        <v>1750.6</v>
      </c>
    </row>
    <row r="22" spans="2:5" x14ac:dyDescent="0.25">
      <c r="C22" s="7">
        <v>312</v>
      </c>
      <c r="D22" s="7" t="s">
        <v>90</v>
      </c>
      <c r="E22" s="12">
        <f>HLOOKUP($D$5,'Bourgeoisies Comptes 2022'!$E$4:$R$166,16,0)</f>
        <v>0</v>
      </c>
    </row>
    <row r="23" spans="2:5" x14ac:dyDescent="0.25">
      <c r="C23" s="7">
        <v>313</v>
      </c>
      <c r="D23" s="7" t="s">
        <v>91</v>
      </c>
      <c r="E23" s="12">
        <f>HLOOKUP($D$5,'Bourgeoisies Comptes 2022'!$E$4:$R$166,17,0)</f>
        <v>104867.79</v>
      </c>
    </row>
    <row r="24" spans="2:5" x14ac:dyDescent="0.25">
      <c r="C24" s="7">
        <v>314</v>
      </c>
      <c r="D24" s="7" t="s">
        <v>841</v>
      </c>
      <c r="E24" s="12">
        <f>HLOOKUP($D$5,'Bourgeoisies Comptes 2022'!$E$4:$R$166,18,0)</f>
        <v>0</v>
      </c>
    </row>
    <row r="25" spans="2:5" x14ac:dyDescent="0.25">
      <c r="C25" s="7">
        <v>315</v>
      </c>
      <c r="D25" s="7" t="s">
        <v>92</v>
      </c>
      <c r="E25" s="12">
        <f>HLOOKUP($D$5,'Bourgeoisies Comptes 2022'!$E$4:$R$166,19,0)</f>
        <v>0</v>
      </c>
    </row>
    <row r="26" spans="2:5" x14ac:dyDescent="0.25">
      <c r="C26" s="7">
        <v>316</v>
      </c>
      <c r="D26" s="7" t="s">
        <v>93</v>
      </c>
      <c r="E26" s="12">
        <f>HLOOKUP($D$5,'Bourgeoisies Comptes 2022'!$E$4:$R$166,20,0)</f>
        <v>0</v>
      </c>
    </row>
    <row r="27" spans="2:5" x14ac:dyDescent="0.25">
      <c r="C27" s="7">
        <v>317</v>
      </c>
      <c r="D27" s="7" t="s">
        <v>94</v>
      </c>
      <c r="E27" s="12">
        <f>HLOOKUP($D$5,'Bourgeoisies Comptes 2022'!$E$4:$R$166,21,0)</f>
        <v>0</v>
      </c>
    </row>
    <row r="28" spans="2:5" x14ac:dyDescent="0.25">
      <c r="C28" s="7">
        <v>318</v>
      </c>
      <c r="D28" s="7" t="s">
        <v>95</v>
      </c>
      <c r="E28" s="12">
        <f>HLOOKUP($D$5,'Bourgeoisies Comptes 2022'!$E$4:$R$166,22,0)</f>
        <v>0</v>
      </c>
    </row>
    <row r="29" spans="2:5" x14ac:dyDescent="0.25">
      <c r="C29" s="7">
        <v>319</v>
      </c>
      <c r="D29" s="7" t="s">
        <v>96</v>
      </c>
      <c r="E29" s="12">
        <f>HLOOKUP($D$5,'Bourgeoisies Comptes 2022'!$E$4:$R$166,23,0)</f>
        <v>0</v>
      </c>
    </row>
    <row r="30" spans="2:5" x14ac:dyDescent="0.25">
      <c r="E30" s="12"/>
    </row>
    <row r="31" spans="2:5" x14ac:dyDescent="0.25">
      <c r="B31" s="66">
        <v>33</v>
      </c>
      <c r="C31" s="66"/>
      <c r="D31" s="66" t="s">
        <v>97</v>
      </c>
      <c r="E31" s="67">
        <f>SUM(E32:E33)</f>
        <v>0</v>
      </c>
    </row>
    <row r="32" spans="2:5" x14ac:dyDescent="0.25">
      <c r="C32" s="7">
        <v>330</v>
      </c>
      <c r="D32" s="7" t="s">
        <v>99</v>
      </c>
      <c r="E32" s="12">
        <f>HLOOKUP($D$5,'Bourgeoisies Comptes 2022'!$E$4:$R$166,26,0)</f>
        <v>0</v>
      </c>
    </row>
    <row r="33" spans="2:5" x14ac:dyDescent="0.25">
      <c r="C33" s="7">
        <v>332</v>
      </c>
      <c r="D33" s="7" t="s">
        <v>98</v>
      </c>
      <c r="E33" s="12">
        <f>HLOOKUP($D$5,'Bourgeoisies Comptes 2022'!$E$4:$R$166,27,0)</f>
        <v>0</v>
      </c>
    </row>
    <row r="34" spans="2:5" x14ac:dyDescent="0.25">
      <c r="E34" s="12"/>
    </row>
    <row r="35" spans="2:5" x14ac:dyDescent="0.25">
      <c r="B35" s="66">
        <v>34</v>
      </c>
      <c r="C35" s="66"/>
      <c r="D35" s="66" t="s">
        <v>100</v>
      </c>
      <c r="E35" s="67">
        <f>SUM(E36:E41)</f>
        <v>3571.35</v>
      </c>
    </row>
    <row r="36" spans="2:5" x14ac:dyDescent="0.25">
      <c r="C36" s="7">
        <v>340</v>
      </c>
      <c r="D36" s="7" t="s">
        <v>101</v>
      </c>
      <c r="E36" s="12">
        <f>HLOOKUP($D$5,'Bourgeoisies Comptes 2022'!$E$4:$R$166,30,0)</f>
        <v>0</v>
      </c>
    </row>
    <row r="37" spans="2:5" x14ac:dyDescent="0.25">
      <c r="C37" s="7">
        <v>341</v>
      </c>
      <c r="D37" s="7" t="s">
        <v>102</v>
      </c>
      <c r="E37" s="12">
        <f>HLOOKUP($D$5,'Bourgeoisies Comptes 2022'!$E$4:$R$166,31,0)</f>
        <v>0</v>
      </c>
    </row>
    <row r="38" spans="2:5" x14ac:dyDescent="0.25">
      <c r="C38" s="7">
        <v>342</v>
      </c>
      <c r="D38" s="7" t="s">
        <v>103</v>
      </c>
      <c r="E38" s="12">
        <f>HLOOKUP($D$5,'Bourgeoisies Comptes 2022'!$E$4:$R$166,32,0)</f>
        <v>0</v>
      </c>
    </row>
    <row r="39" spans="2:5" x14ac:dyDescent="0.25">
      <c r="C39" s="7">
        <v>343</v>
      </c>
      <c r="D39" s="7" t="s">
        <v>104</v>
      </c>
      <c r="E39" s="12">
        <f>HLOOKUP($D$5,'Bourgeoisies Comptes 2022'!$E$4:$R$166,33,0)</f>
        <v>0</v>
      </c>
    </row>
    <row r="40" spans="2:5" x14ac:dyDescent="0.25">
      <c r="C40" s="7">
        <v>344</v>
      </c>
      <c r="D40" s="7" t="s">
        <v>105</v>
      </c>
      <c r="E40" s="12">
        <f>HLOOKUP($D$5,'Bourgeoisies Comptes 2022'!$E$4:$R$166,34,0)</f>
        <v>0</v>
      </c>
    </row>
    <row r="41" spans="2:5" x14ac:dyDescent="0.25">
      <c r="C41" s="7">
        <v>349</v>
      </c>
      <c r="D41" s="7" t="s">
        <v>106</v>
      </c>
      <c r="E41" s="12">
        <f>HLOOKUP($D$5,'Bourgeoisies Comptes 2022'!$E$4:$R$166,35,0)</f>
        <v>3571.35</v>
      </c>
    </row>
    <row r="42" spans="2:5" x14ac:dyDescent="0.25">
      <c r="E42" s="12"/>
    </row>
    <row r="43" spans="2:5" x14ac:dyDescent="0.25">
      <c r="B43" s="66">
        <v>35</v>
      </c>
      <c r="C43" s="66"/>
      <c r="D43" s="66" t="s">
        <v>108</v>
      </c>
      <c r="E43" s="67">
        <f>SUM(E44:E45)</f>
        <v>5321.35</v>
      </c>
    </row>
    <row r="44" spans="2:5" x14ac:dyDescent="0.25">
      <c r="C44" s="7">
        <v>350</v>
      </c>
      <c r="D44" s="7" t="s">
        <v>108</v>
      </c>
      <c r="E44" s="12">
        <f>HLOOKUP($D$5,'Bourgeoisies Comptes 2022'!$E$4:$R$166,38,0)</f>
        <v>0</v>
      </c>
    </row>
    <row r="45" spans="2:5" x14ac:dyDescent="0.25">
      <c r="C45" s="7">
        <v>351</v>
      </c>
      <c r="D45" s="7" t="s">
        <v>107</v>
      </c>
      <c r="E45" s="12">
        <f>HLOOKUP($D$5,'Bourgeoisies Comptes 2022'!$E$4:$R$166,39,0)</f>
        <v>5321.35</v>
      </c>
    </row>
    <row r="46" spans="2:5" x14ac:dyDescent="0.25">
      <c r="E46" s="12"/>
    </row>
    <row r="47" spans="2:5" x14ac:dyDescent="0.25">
      <c r="B47" s="66">
        <v>36</v>
      </c>
      <c r="C47" s="66"/>
      <c r="D47" s="66" t="s">
        <v>109</v>
      </c>
      <c r="E47" s="67">
        <f>SUM(E48:E55)</f>
        <v>41282.089999999997</v>
      </c>
    </row>
    <row r="48" spans="2:5" x14ac:dyDescent="0.25">
      <c r="C48" s="7">
        <v>360</v>
      </c>
      <c r="D48" s="7" t="s">
        <v>110</v>
      </c>
      <c r="E48" s="12">
        <f>HLOOKUP($D$5,'Bourgeoisies Comptes 2022'!$E$4:$R$166,42,0)</f>
        <v>0</v>
      </c>
    </row>
    <row r="49" spans="2:5" x14ac:dyDescent="0.25">
      <c r="C49" s="7">
        <v>361</v>
      </c>
      <c r="D49" s="7" t="s">
        <v>111</v>
      </c>
      <c r="E49" s="12">
        <f>HLOOKUP($D$5,'Bourgeoisies Comptes 2022'!$E$4:$R$166,43,0)</f>
        <v>0</v>
      </c>
    </row>
    <row r="50" spans="2:5" x14ac:dyDescent="0.25">
      <c r="C50" s="7">
        <v>362</v>
      </c>
      <c r="D50" s="7" t="s">
        <v>112</v>
      </c>
      <c r="E50" s="12">
        <f>HLOOKUP($D$5,'Bourgeoisies Comptes 2022'!$E$4:$R$166,44,0)</f>
        <v>0</v>
      </c>
    </row>
    <row r="51" spans="2:5" x14ac:dyDescent="0.25">
      <c r="C51" s="7">
        <v>363</v>
      </c>
      <c r="D51" s="7" t="s">
        <v>113</v>
      </c>
      <c r="E51" s="12">
        <f>HLOOKUP($D$5,'Bourgeoisies Comptes 2022'!$E$4:$R$166,45,0)</f>
        <v>41282.089999999997</v>
      </c>
    </row>
    <row r="52" spans="2:5" x14ac:dyDescent="0.25">
      <c r="C52" s="7">
        <v>364</v>
      </c>
      <c r="D52" s="7" t="s">
        <v>114</v>
      </c>
      <c r="E52" s="12">
        <f>HLOOKUP($D$5,'Bourgeoisies Comptes 2022'!$E$4:$R$166,46,0)</f>
        <v>0</v>
      </c>
    </row>
    <row r="53" spans="2:5" x14ac:dyDescent="0.25">
      <c r="C53" s="7">
        <v>365</v>
      </c>
      <c r="D53" s="7" t="s">
        <v>115</v>
      </c>
      <c r="E53" s="12">
        <f>HLOOKUP($D$5,'Bourgeoisies Comptes 2022'!$E$4:$R$166,47,0)</f>
        <v>0</v>
      </c>
    </row>
    <row r="54" spans="2:5" x14ac:dyDescent="0.25">
      <c r="C54" s="7">
        <v>366</v>
      </c>
      <c r="D54" s="7" t="s">
        <v>116</v>
      </c>
      <c r="E54" s="12">
        <f>HLOOKUP($D$5,'Bourgeoisies Comptes 2022'!$E$4:$R$166,48,0)</f>
        <v>0</v>
      </c>
    </row>
    <row r="55" spans="2:5" x14ac:dyDescent="0.25">
      <c r="C55" s="7">
        <v>369</v>
      </c>
      <c r="D55" s="7" t="s">
        <v>117</v>
      </c>
      <c r="E55" s="12">
        <f>HLOOKUP($D$5,'Bourgeoisies Comptes 2022'!$E$4:$R$166,49,0)</f>
        <v>0</v>
      </c>
    </row>
    <row r="56" spans="2:5" x14ac:dyDescent="0.25">
      <c r="E56" s="12"/>
    </row>
    <row r="57" spans="2:5" x14ac:dyDescent="0.25">
      <c r="B57" s="66">
        <v>37</v>
      </c>
      <c r="C57" s="66"/>
      <c r="D57" s="66" t="s">
        <v>118</v>
      </c>
      <c r="E57" s="67">
        <f>SUM(E58)</f>
        <v>0</v>
      </c>
    </row>
    <row r="58" spans="2:5" x14ac:dyDescent="0.25">
      <c r="C58" s="7">
        <v>370</v>
      </c>
      <c r="D58" s="7" t="s">
        <v>119</v>
      </c>
      <c r="E58" s="12">
        <f>HLOOKUP($D$5,'Bourgeoisies Comptes 2022'!$E$4:$R$166,52,0)</f>
        <v>0</v>
      </c>
    </row>
    <row r="59" spans="2:5" x14ac:dyDescent="0.25">
      <c r="E59" s="12"/>
    </row>
    <row r="60" spans="2:5" x14ac:dyDescent="0.25">
      <c r="B60" s="66">
        <v>38</v>
      </c>
      <c r="C60" s="66"/>
      <c r="D60" s="66" t="s">
        <v>120</v>
      </c>
      <c r="E60" s="67">
        <f>SUM(E61:E66)</f>
        <v>0</v>
      </c>
    </row>
    <row r="61" spans="2:5" x14ac:dyDescent="0.25">
      <c r="C61" s="7">
        <v>380</v>
      </c>
      <c r="D61" s="7" t="s">
        <v>121</v>
      </c>
      <c r="E61" s="12">
        <f>HLOOKUP($D$5,'Bourgeoisies Comptes 2022'!$E$4:$R$166,55,0)</f>
        <v>0</v>
      </c>
    </row>
    <row r="62" spans="2:5" x14ac:dyDescent="0.25">
      <c r="C62" s="7">
        <v>381</v>
      </c>
      <c r="D62" s="7" t="s">
        <v>122</v>
      </c>
      <c r="E62" s="12">
        <f>HLOOKUP($D$5,'Bourgeoisies Comptes 2022'!$E$4:$R$166,56,0)</f>
        <v>0</v>
      </c>
    </row>
    <row r="63" spans="2:5" x14ac:dyDescent="0.25">
      <c r="C63" s="7">
        <v>384</v>
      </c>
      <c r="D63" s="7" t="s">
        <v>123</v>
      </c>
      <c r="E63" s="12">
        <f>HLOOKUP($D$5,'Bourgeoisies Comptes 2022'!$E$4:$R$166,57,0)</f>
        <v>0</v>
      </c>
    </row>
    <row r="64" spans="2:5" x14ac:dyDescent="0.25">
      <c r="C64" s="7">
        <v>385</v>
      </c>
      <c r="D64" s="7" t="s">
        <v>124</v>
      </c>
      <c r="E64" s="12">
        <f>HLOOKUP($D$5,'Bourgeoisies Comptes 2022'!$E$4:$R$166,58,0)</f>
        <v>0</v>
      </c>
    </row>
    <row r="65" spans="1:5" x14ac:dyDescent="0.25">
      <c r="C65" s="7">
        <v>386</v>
      </c>
      <c r="D65" s="7" t="s">
        <v>125</v>
      </c>
      <c r="E65" s="12">
        <f>HLOOKUP($D$5,'Bourgeoisies Comptes 2022'!$E$4:$R$166,59,0)</f>
        <v>0</v>
      </c>
    </row>
    <row r="66" spans="1:5" x14ac:dyDescent="0.25">
      <c r="C66" s="7">
        <v>389</v>
      </c>
      <c r="D66" s="7" t="s">
        <v>289</v>
      </c>
      <c r="E66" s="12">
        <f>HLOOKUP($D$5,'Bourgeoisies Comptes 2022'!$E$4:$R$166,60,0)</f>
        <v>0</v>
      </c>
    </row>
    <row r="67" spans="1:5" x14ac:dyDescent="0.25">
      <c r="E67" s="12"/>
    </row>
    <row r="68" spans="1:5" x14ac:dyDescent="0.25">
      <c r="B68" s="66">
        <v>39</v>
      </c>
      <c r="C68" s="66"/>
      <c r="D68" s="66" t="s">
        <v>127</v>
      </c>
      <c r="E68" s="67">
        <f>SUM(E69:E76)</f>
        <v>1037.8</v>
      </c>
    </row>
    <row r="69" spans="1:5" x14ac:dyDescent="0.25">
      <c r="C69" s="7">
        <v>390</v>
      </c>
      <c r="D69" s="7" t="s">
        <v>128</v>
      </c>
      <c r="E69" s="12">
        <f>HLOOKUP($D$5,'Bourgeoisies Comptes 2022'!$E$4:$R$166,63,0)</f>
        <v>0</v>
      </c>
    </row>
    <row r="70" spans="1:5" x14ac:dyDescent="0.25">
      <c r="C70" s="7">
        <v>391</v>
      </c>
      <c r="D70" s="7" t="s">
        <v>129</v>
      </c>
      <c r="E70" s="12">
        <f>HLOOKUP($D$5,'Bourgeoisies Comptes 2022'!$E$4:$R$166,64,0)</f>
        <v>1037.8</v>
      </c>
    </row>
    <row r="71" spans="1:5" x14ac:dyDescent="0.25">
      <c r="C71" s="7">
        <v>392</v>
      </c>
      <c r="D71" s="7" t="s">
        <v>130</v>
      </c>
      <c r="E71" s="12">
        <f>HLOOKUP($D$5,'Bourgeoisies Comptes 2022'!$E$4:$R$166,65,0)</f>
        <v>0</v>
      </c>
    </row>
    <row r="72" spans="1:5" x14ac:dyDescent="0.25">
      <c r="C72" s="7">
        <v>393</v>
      </c>
      <c r="D72" s="7" t="s">
        <v>131</v>
      </c>
      <c r="E72" s="12">
        <f>HLOOKUP($D$5,'Bourgeoisies Comptes 2022'!$E$4:$R$166,66,0)</f>
        <v>0</v>
      </c>
    </row>
    <row r="73" spans="1:5" x14ac:dyDescent="0.25">
      <c r="C73" s="7">
        <v>394</v>
      </c>
      <c r="D73" s="7" t="s">
        <v>132</v>
      </c>
      <c r="E73" s="12">
        <f>HLOOKUP($D$5,'Bourgeoisies Comptes 2022'!$E$4:$R$166,67,0)</f>
        <v>0</v>
      </c>
    </row>
    <row r="74" spans="1:5" x14ac:dyDescent="0.25">
      <c r="C74" s="7">
        <v>395</v>
      </c>
      <c r="D74" s="7" t="s">
        <v>133</v>
      </c>
      <c r="E74" s="12">
        <f>HLOOKUP($D$5,'Bourgeoisies Comptes 2022'!$E$4:$R$166,68,0)</f>
        <v>0</v>
      </c>
    </row>
    <row r="75" spans="1:5" x14ac:dyDescent="0.25">
      <c r="C75" s="7">
        <v>398</v>
      </c>
      <c r="D75" s="7" t="s">
        <v>134</v>
      </c>
      <c r="E75" s="12">
        <f>HLOOKUP($D$5,'Bourgeoisies Comptes 2022'!$E$4:$R$166,69,0)</f>
        <v>0</v>
      </c>
    </row>
    <row r="76" spans="1:5" x14ac:dyDescent="0.25">
      <c r="C76" s="7">
        <v>399</v>
      </c>
      <c r="D76" s="7" t="s">
        <v>135</v>
      </c>
      <c r="E76" s="12">
        <f>HLOOKUP($D$5,'Bourgeoisies Comptes 2022'!$E$4:$R$166,70,0)</f>
        <v>0</v>
      </c>
    </row>
    <row r="77" spans="1:5" x14ac:dyDescent="0.25">
      <c r="E77" s="12"/>
    </row>
    <row r="78" spans="1:5" x14ac:dyDescent="0.25">
      <c r="E78" s="12"/>
    </row>
    <row r="79" spans="1:5" ht="21" x14ac:dyDescent="0.4">
      <c r="A79" s="13">
        <v>4</v>
      </c>
      <c r="B79" s="13"/>
      <c r="C79" s="13"/>
      <c r="D79" s="13" t="s">
        <v>136</v>
      </c>
      <c r="E79" s="85">
        <f>HLOOKUP($D$5,'Bourgeoisies Comptes 2022'!$E$4:$R$166,73,0)</f>
        <v>196689.99</v>
      </c>
    </row>
    <row r="80" spans="1:5" x14ac:dyDescent="0.25">
      <c r="A80" s="6"/>
      <c r="B80" s="68">
        <v>40</v>
      </c>
      <c r="C80" s="68"/>
      <c r="D80" s="68" t="s">
        <v>79</v>
      </c>
      <c r="E80" s="69">
        <f>SUM(E81:E84)</f>
        <v>0</v>
      </c>
    </row>
    <row r="81" spans="2:5" x14ac:dyDescent="0.25">
      <c r="C81" s="7">
        <v>400</v>
      </c>
      <c r="D81" s="7" t="s">
        <v>137</v>
      </c>
      <c r="E81" s="12">
        <f>HLOOKUP($D$5,'Bourgeoisies Comptes 2022'!$E$4:$R$166,75,0)</f>
        <v>0</v>
      </c>
    </row>
    <row r="82" spans="2:5" x14ac:dyDescent="0.25">
      <c r="C82" s="7">
        <v>401</v>
      </c>
      <c r="D82" s="7" t="s">
        <v>138</v>
      </c>
      <c r="E82" s="12">
        <f>HLOOKUP($D$5,'Bourgeoisies Comptes 2022'!$E$4:$R$166,76,0)</f>
        <v>0</v>
      </c>
    </row>
    <row r="83" spans="2:5" x14ac:dyDescent="0.25">
      <c r="C83" s="7">
        <v>402</v>
      </c>
      <c r="D83" s="7" t="s">
        <v>139</v>
      </c>
      <c r="E83" s="12">
        <f>HLOOKUP($D$5,'Bourgeoisies Comptes 2022'!$E$4:$R$166,77,0)</f>
        <v>0</v>
      </c>
    </row>
    <row r="84" spans="2:5" x14ac:dyDescent="0.25">
      <c r="C84" s="7">
        <v>403</v>
      </c>
      <c r="D84" s="7" t="s">
        <v>140</v>
      </c>
      <c r="E84" s="12">
        <f>HLOOKUP($D$5,'Bourgeoisies Comptes 2022'!$E$4:$R$166,78,0)</f>
        <v>0</v>
      </c>
    </row>
    <row r="85" spans="2:5" x14ac:dyDescent="0.25">
      <c r="E85" s="12"/>
    </row>
    <row r="86" spans="2:5" x14ac:dyDescent="0.25">
      <c r="B86" s="68">
        <v>41</v>
      </c>
      <c r="C86" s="68"/>
      <c r="D86" s="68" t="s">
        <v>141</v>
      </c>
      <c r="E86" s="69">
        <f>SUM(E87:E90)</f>
        <v>0</v>
      </c>
    </row>
    <row r="87" spans="2:5" x14ac:dyDescent="0.25">
      <c r="C87" s="7">
        <v>410</v>
      </c>
      <c r="D87" s="7" t="s">
        <v>142</v>
      </c>
      <c r="E87" s="12">
        <f>HLOOKUP($D$5,'Bourgeoisies Comptes 2022'!$E$4:$R$166,81,0)</f>
        <v>0</v>
      </c>
    </row>
    <row r="88" spans="2:5" x14ac:dyDescent="0.25">
      <c r="C88" s="7">
        <v>411</v>
      </c>
      <c r="D88" s="7" t="s">
        <v>143</v>
      </c>
      <c r="E88" s="12">
        <f>HLOOKUP($D$5,'Bourgeoisies Comptes 2022'!$E$4:$R$166,82,0)</f>
        <v>0</v>
      </c>
    </row>
    <row r="89" spans="2:5" x14ac:dyDescent="0.25">
      <c r="C89" s="7">
        <v>412</v>
      </c>
      <c r="D89" s="7" t="s">
        <v>144</v>
      </c>
      <c r="E89" s="12">
        <f>HLOOKUP($D$5,'Bourgeoisies Comptes 2022'!$E$4:$R$166,83,0)</f>
        <v>0</v>
      </c>
    </row>
    <row r="90" spans="2:5" x14ac:dyDescent="0.25">
      <c r="C90" s="7">
        <v>413</v>
      </c>
      <c r="D90" s="7" t="s">
        <v>145</v>
      </c>
      <c r="E90" s="12">
        <f>HLOOKUP($D$5,'Bourgeoisies Comptes 2022'!$E$4:$R$166,84,0)</f>
        <v>0</v>
      </c>
    </row>
    <row r="91" spans="2:5" x14ac:dyDescent="0.25">
      <c r="E91" s="12"/>
    </row>
    <row r="92" spans="2:5" x14ac:dyDescent="0.25">
      <c r="B92" s="68">
        <v>42</v>
      </c>
      <c r="C92" s="68"/>
      <c r="D92" s="68" t="s">
        <v>146</v>
      </c>
      <c r="E92" s="69">
        <f>SUM(E93:E101)</f>
        <v>147489.15</v>
      </c>
    </row>
    <row r="93" spans="2:5" x14ac:dyDescent="0.25">
      <c r="C93" s="7">
        <v>420</v>
      </c>
      <c r="D93" s="7" t="s">
        <v>147</v>
      </c>
      <c r="E93" s="12">
        <f>HLOOKUP($D$5,'Bourgeoisies Comptes 2022'!$E$4:$R$166,87,0)</f>
        <v>0</v>
      </c>
    </row>
    <row r="94" spans="2:5" x14ac:dyDescent="0.25">
      <c r="C94" s="7">
        <v>421</v>
      </c>
      <c r="D94" s="7" t="s">
        <v>148</v>
      </c>
      <c r="E94" s="12">
        <f>HLOOKUP($D$5,'Bourgeoisies Comptes 2022'!$E$4:$R$166,88,0)</f>
        <v>600</v>
      </c>
    </row>
    <row r="95" spans="2:5" x14ac:dyDescent="0.25">
      <c r="C95" s="7">
        <v>422</v>
      </c>
      <c r="D95" s="7" t="s">
        <v>149</v>
      </c>
      <c r="E95" s="12">
        <f>HLOOKUP($D$5,'Bourgeoisies Comptes 2022'!$E$4:$R$166,89,0)</f>
        <v>0</v>
      </c>
    </row>
    <row r="96" spans="2:5" x14ac:dyDescent="0.25">
      <c r="C96" s="7">
        <v>423</v>
      </c>
      <c r="D96" s="7" t="s">
        <v>150</v>
      </c>
      <c r="E96" s="12">
        <f>HLOOKUP($D$5,'Bourgeoisies Comptes 2022'!$E$4:$R$166,90,0)</f>
        <v>0</v>
      </c>
    </row>
    <row r="97" spans="2:5" x14ac:dyDescent="0.25">
      <c r="C97" s="7">
        <v>424</v>
      </c>
      <c r="D97" s="7" t="s">
        <v>151</v>
      </c>
      <c r="E97" s="12">
        <f>HLOOKUP($D$5,'Bourgeoisies Comptes 2022'!$E$4:$R$166,91,0)</f>
        <v>0</v>
      </c>
    </row>
    <row r="98" spans="2:5" x14ac:dyDescent="0.25">
      <c r="C98" s="7">
        <v>425</v>
      </c>
      <c r="D98" s="7" t="s">
        <v>152</v>
      </c>
      <c r="E98" s="12">
        <f>HLOOKUP($D$5,'Bourgeoisies Comptes 2022'!$E$4:$R$166,92,0)</f>
        <v>146889.15</v>
      </c>
    </row>
    <row r="99" spans="2:5" x14ac:dyDescent="0.25">
      <c r="C99" s="7">
        <v>426</v>
      </c>
      <c r="D99" s="7" t="s">
        <v>153</v>
      </c>
      <c r="E99" s="12">
        <f>HLOOKUP($D$5,'Bourgeoisies Comptes 2022'!$E$4:$R$166,93,0)</f>
        <v>0</v>
      </c>
    </row>
    <row r="100" spans="2:5" x14ac:dyDescent="0.25">
      <c r="C100" s="7">
        <v>427</v>
      </c>
      <c r="D100" s="7" t="s">
        <v>154</v>
      </c>
      <c r="E100" s="12">
        <f>HLOOKUP($D$5,'Bourgeoisies Comptes 2022'!$E$4:$R$166,94,0)</f>
        <v>0</v>
      </c>
    </row>
    <row r="101" spans="2:5" x14ac:dyDescent="0.25">
      <c r="C101" s="7">
        <v>429</v>
      </c>
      <c r="D101" s="7" t="s">
        <v>155</v>
      </c>
      <c r="E101" s="12">
        <f>HLOOKUP($D$5,'Bourgeoisies Comptes 2022'!$E$4:$R$166,95,0)</f>
        <v>0</v>
      </c>
    </row>
    <row r="102" spans="2:5" x14ac:dyDescent="0.25">
      <c r="E102" s="12"/>
    </row>
    <row r="103" spans="2:5" x14ac:dyDescent="0.25">
      <c r="B103" s="68">
        <v>43</v>
      </c>
      <c r="C103" s="68"/>
      <c r="D103" s="68" t="s">
        <v>156</v>
      </c>
      <c r="E103" s="69">
        <f>SUM(E104:E107)</f>
        <v>0</v>
      </c>
    </row>
    <row r="104" spans="2:5" x14ac:dyDescent="0.25">
      <c r="C104" s="7">
        <v>430</v>
      </c>
      <c r="D104" s="7" t="s">
        <v>157</v>
      </c>
      <c r="E104" s="12">
        <f>HLOOKUP($D$5,'Bourgeoisies Comptes 2022'!$E$4:$R$166,98,0)</f>
        <v>0</v>
      </c>
    </row>
    <row r="105" spans="2:5" x14ac:dyDescent="0.25">
      <c r="C105" s="7">
        <v>431</v>
      </c>
      <c r="D105" s="7" t="s">
        <v>158</v>
      </c>
      <c r="E105" s="12">
        <f>HLOOKUP($D$5,'Bourgeoisies Comptes 2022'!$E$4:$R$166,99,0)</f>
        <v>0</v>
      </c>
    </row>
    <row r="106" spans="2:5" x14ac:dyDescent="0.25">
      <c r="C106" s="7">
        <v>432</v>
      </c>
      <c r="D106" s="7" t="s">
        <v>159</v>
      </c>
      <c r="E106" s="12">
        <f>HLOOKUP($D$5,'Bourgeoisies Comptes 2022'!$E$4:$R$166,100,0)</f>
        <v>0</v>
      </c>
    </row>
    <row r="107" spans="2:5" x14ac:dyDescent="0.25">
      <c r="C107" s="7">
        <v>439</v>
      </c>
      <c r="D107" s="7" t="s">
        <v>160</v>
      </c>
      <c r="E107" s="12">
        <f>HLOOKUP($D$5,'Bourgeoisies Comptes 2022'!$E$4:$R$166,101,0)</f>
        <v>0</v>
      </c>
    </row>
    <row r="108" spans="2:5" x14ac:dyDescent="0.25">
      <c r="E108" s="12"/>
    </row>
    <row r="109" spans="2:5" x14ac:dyDescent="0.25">
      <c r="B109" s="68">
        <v>44</v>
      </c>
      <c r="C109" s="68"/>
      <c r="D109" s="68" t="s">
        <v>161</v>
      </c>
      <c r="E109" s="69">
        <f>SUM(E110:E119)</f>
        <v>15826.939999999999</v>
      </c>
    </row>
    <row r="110" spans="2:5" x14ac:dyDescent="0.25">
      <c r="C110" s="7">
        <v>440</v>
      </c>
      <c r="D110" s="7" t="s">
        <v>162</v>
      </c>
      <c r="E110" s="12">
        <f>HLOOKUP($D$5,'Bourgeoisies Comptes 2022'!$E$4:$R$166,104,0)</f>
        <v>610.59</v>
      </c>
    </row>
    <row r="111" spans="2:5" x14ac:dyDescent="0.25">
      <c r="C111" s="7">
        <v>441</v>
      </c>
      <c r="D111" s="7" t="s">
        <v>163</v>
      </c>
      <c r="E111" s="12">
        <f>HLOOKUP($D$5,'Bourgeoisies Comptes 2022'!$E$4:$R$166,105,0)</f>
        <v>0</v>
      </c>
    </row>
    <row r="112" spans="2:5" x14ac:dyDescent="0.25">
      <c r="C112" s="7">
        <v>442</v>
      </c>
      <c r="D112" s="7" t="s">
        <v>164</v>
      </c>
      <c r="E112" s="12">
        <f>HLOOKUP($D$5,'Bourgeoisies Comptes 2022'!$E$4:$R$166,106,0)</f>
        <v>18216.349999999999</v>
      </c>
    </row>
    <row r="113" spans="2:5" x14ac:dyDescent="0.25">
      <c r="C113" s="7">
        <v>443</v>
      </c>
      <c r="D113" s="7" t="s">
        <v>165</v>
      </c>
      <c r="E113" s="12">
        <f>HLOOKUP($D$5,'Bourgeoisies Comptes 2022'!$E$4:$R$166,107,0)</f>
        <v>-3000</v>
      </c>
    </row>
    <row r="114" spans="2:5" x14ac:dyDescent="0.25">
      <c r="C114" s="7">
        <v>444</v>
      </c>
      <c r="D114" s="7" t="s">
        <v>105</v>
      </c>
      <c r="E114" s="12">
        <f>HLOOKUP($D$5,'Bourgeoisies Comptes 2022'!$E$4:$R$166,108,0)</f>
        <v>0</v>
      </c>
    </row>
    <row r="115" spans="2:5" x14ac:dyDescent="0.25">
      <c r="C115" s="7">
        <v>445</v>
      </c>
      <c r="D115" s="7" t="s">
        <v>166</v>
      </c>
      <c r="E115" s="12">
        <f>HLOOKUP($D$5,'Bourgeoisies Comptes 2022'!$E$4:$R$166,109,0)</f>
        <v>0</v>
      </c>
    </row>
    <row r="116" spans="2:5" x14ac:dyDescent="0.25">
      <c r="C116" s="7">
        <v>446</v>
      </c>
      <c r="D116" s="7" t="s">
        <v>167</v>
      </c>
      <c r="E116" s="12">
        <f>HLOOKUP($D$5,'Bourgeoisies Comptes 2022'!$E$4:$R$166,110,0)</f>
        <v>0</v>
      </c>
    </row>
    <row r="117" spans="2:5" x14ac:dyDescent="0.25">
      <c r="C117" s="7">
        <v>447</v>
      </c>
      <c r="D117" s="7" t="s">
        <v>168</v>
      </c>
      <c r="E117" s="12">
        <f>HLOOKUP($D$5,'Bourgeoisies Comptes 2022'!$E$4:$R$166,111,0)</f>
        <v>0</v>
      </c>
    </row>
    <row r="118" spans="2:5" x14ac:dyDescent="0.25">
      <c r="C118" s="7">
        <v>448</v>
      </c>
      <c r="D118" s="7" t="s">
        <v>169</v>
      </c>
      <c r="E118" s="12">
        <f>HLOOKUP($D$5,'Bourgeoisies Comptes 2022'!$E$4:$R$166,112,0)</f>
        <v>0</v>
      </c>
    </row>
    <row r="119" spans="2:5" x14ac:dyDescent="0.25">
      <c r="C119" s="7">
        <v>449</v>
      </c>
      <c r="D119" s="7" t="s">
        <v>170</v>
      </c>
      <c r="E119" s="12">
        <f>HLOOKUP($D$5,'Bourgeoisies Comptes 2022'!$E$4:$R$166,113,0)</f>
        <v>0</v>
      </c>
    </row>
    <row r="120" spans="2:5" x14ac:dyDescent="0.25">
      <c r="E120" s="12"/>
    </row>
    <row r="121" spans="2:5" x14ac:dyDescent="0.25">
      <c r="B121" s="68">
        <v>45</v>
      </c>
      <c r="C121" s="68"/>
      <c r="D121" s="68" t="s">
        <v>173</v>
      </c>
      <c r="E121" s="69">
        <f>SUM(E122:E123)</f>
        <v>2200</v>
      </c>
    </row>
    <row r="122" spans="2:5" x14ac:dyDescent="0.25">
      <c r="C122" s="7">
        <v>450</v>
      </c>
      <c r="D122" s="7" t="s">
        <v>171</v>
      </c>
      <c r="E122" s="12">
        <f>HLOOKUP($D$5,'Bourgeoisies Comptes 2022'!$E$4:$R$166,116,0)</f>
        <v>2200</v>
      </c>
    </row>
    <row r="123" spans="2:5" x14ac:dyDescent="0.25">
      <c r="C123" s="7">
        <v>451</v>
      </c>
      <c r="D123" s="7" t="s">
        <v>172</v>
      </c>
      <c r="E123" s="12">
        <f>HLOOKUP($D$5,'Bourgeoisies Comptes 2022'!$E$4:$R$166,117,0)</f>
        <v>0</v>
      </c>
    </row>
    <row r="124" spans="2:5" x14ac:dyDescent="0.25">
      <c r="E124" s="12"/>
    </row>
    <row r="125" spans="2:5" x14ac:dyDescent="0.25">
      <c r="B125" s="68">
        <v>46</v>
      </c>
      <c r="C125" s="68"/>
      <c r="D125" s="68" t="s">
        <v>174</v>
      </c>
      <c r="E125" s="69">
        <f>SUM(E126:E130)</f>
        <v>30136.1</v>
      </c>
    </row>
    <row r="126" spans="2:5" x14ac:dyDescent="0.25">
      <c r="C126" s="7">
        <v>460</v>
      </c>
      <c r="D126" s="7" t="s">
        <v>175</v>
      </c>
      <c r="E126" s="12">
        <f>HLOOKUP($D$5,'Bourgeoisies Comptes 2022'!$E$4:$R$166,120,0)</f>
        <v>0</v>
      </c>
    </row>
    <row r="127" spans="2:5" x14ac:dyDescent="0.25">
      <c r="C127" s="7">
        <v>461</v>
      </c>
      <c r="D127" s="7" t="s">
        <v>176</v>
      </c>
      <c r="E127" s="12">
        <f>HLOOKUP($D$5,'Bourgeoisies Comptes 2022'!$E$4:$R$166,121,0)</f>
        <v>0</v>
      </c>
    </row>
    <row r="128" spans="2:5" x14ac:dyDescent="0.25">
      <c r="C128" s="7">
        <v>462</v>
      </c>
      <c r="D128" s="7" t="s">
        <v>112</v>
      </c>
      <c r="E128" s="12">
        <f>HLOOKUP($D$5,'Bourgeoisies Comptes 2022'!$E$4:$R$166,122,0)</f>
        <v>0</v>
      </c>
    </row>
    <row r="129" spans="2:5" x14ac:dyDescent="0.25">
      <c r="C129" s="7">
        <v>463</v>
      </c>
      <c r="D129" s="7" t="s">
        <v>177</v>
      </c>
      <c r="E129" s="12">
        <f>HLOOKUP($D$5,'Bourgeoisies Comptes 2022'!$E$4:$R$166,123,0)</f>
        <v>29265.55</v>
      </c>
    </row>
    <row r="130" spans="2:5" x14ac:dyDescent="0.25">
      <c r="C130" s="7">
        <v>469</v>
      </c>
      <c r="D130" s="7" t="s">
        <v>178</v>
      </c>
      <c r="E130" s="12">
        <f>HLOOKUP($D$5,'Bourgeoisies Comptes 2022'!$E$4:$R$166,124,0)</f>
        <v>870.55</v>
      </c>
    </row>
    <row r="131" spans="2:5" x14ac:dyDescent="0.25">
      <c r="E131" s="12"/>
    </row>
    <row r="132" spans="2:5" x14ac:dyDescent="0.25">
      <c r="B132" s="68">
        <v>47</v>
      </c>
      <c r="C132" s="68"/>
      <c r="D132" s="68" t="s">
        <v>118</v>
      </c>
      <c r="E132" s="69">
        <f>SUM(E133)</f>
        <v>0</v>
      </c>
    </row>
    <row r="133" spans="2:5" x14ac:dyDescent="0.25">
      <c r="C133" s="7">
        <v>470</v>
      </c>
      <c r="D133" s="7" t="s">
        <v>179</v>
      </c>
      <c r="E133" s="12">
        <f>HLOOKUP($D$5,'Bourgeoisies Comptes 2022'!$E$4:$R$166,127,0)</f>
        <v>0</v>
      </c>
    </row>
    <row r="134" spans="2:5" x14ac:dyDescent="0.25">
      <c r="E134" s="12"/>
    </row>
    <row r="135" spans="2:5" x14ac:dyDescent="0.25">
      <c r="B135" s="68">
        <v>48</v>
      </c>
      <c r="C135" s="68"/>
      <c r="D135" s="68" t="s">
        <v>180</v>
      </c>
      <c r="E135" s="69">
        <f>SUM(E136:E142)</f>
        <v>0</v>
      </c>
    </row>
    <row r="136" spans="2:5" x14ac:dyDescent="0.25">
      <c r="C136" s="7">
        <v>481</v>
      </c>
      <c r="D136" s="7" t="s">
        <v>181</v>
      </c>
      <c r="E136" s="12">
        <f>HLOOKUP($D$5,'Bourgeoisies Comptes 2022'!$E$4:$R$166,130,0)</f>
        <v>0</v>
      </c>
    </row>
    <row r="137" spans="2:5" x14ac:dyDescent="0.25">
      <c r="C137" s="7">
        <v>482</v>
      </c>
      <c r="D137" s="7" t="s">
        <v>182</v>
      </c>
      <c r="E137" s="12">
        <f>HLOOKUP($D$5,'Bourgeoisies Comptes 2022'!$E$4:$R$166,131,0)</f>
        <v>0</v>
      </c>
    </row>
    <row r="138" spans="2:5" x14ac:dyDescent="0.25">
      <c r="C138" s="7">
        <v>483</v>
      </c>
      <c r="D138" s="7" t="s">
        <v>183</v>
      </c>
      <c r="E138" s="12">
        <f>HLOOKUP($D$5,'Bourgeoisies Comptes 2022'!$E$4:$R$166,132,0)</f>
        <v>0</v>
      </c>
    </row>
    <row r="139" spans="2:5" x14ac:dyDescent="0.25">
      <c r="C139" s="7">
        <v>484</v>
      </c>
      <c r="D139" s="7" t="s">
        <v>184</v>
      </c>
      <c r="E139" s="12">
        <f>HLOOKUP($D$5,'Bourgeoisies Comptes 2022'!$E$4:$R$166,133,0)</f>
        <v>0</v>
      </c>
    </row>
    <row r="140" spans="2:5" x14ac:dyDescent="0.25">
      <c r="C140" s="7">
        <v>485</v>
      </c>
      <c r="D140" s="7" t="s">
        <v>185</v>
      </c>
      <c r="E140" s="12">
        <f>HLOOKUP($D$5,'Bourgeoisies Comptes 2022'!$E$4:$R$166,134,0)</f>
        <v>0</v>
      </c>
    </row>
    <row r="141" spans="2:5" x14ac:dyDescent="0.25">
      <c r="C141" s="7">
        <v>486</v>
      </c>
      <c r="D141" s="7" t="s">
        <v>186</v>
      </c>
      <c r="E141" s="12">
        <f>HLOOKUP($D$5,'Bourgeoisies Comptes 2022'!$E$4:$R$166,135,0)</f>
        <v>0</v>
      </c>
    </row>
    <row r="142" spans="2:5" x14ac:dyDescent="0.25">
      <c r="C142" s="7">
        <v>489</v>
      </c>
      <c r="D142" s="7" t="s">
        <v>187</v>
      </c>
      <c r="E142" s="12">
        <f>HLOOKUP($D$5,'Bourgeoisies Comptes 2022'!$E$4:$R$166,136,0)</f>
        <v>0</v>
      </c>
    </row>
    <row r="143" spans="2:5" x14ac:dyDescent="0.25">
      <c r="E143" s="12"/>
    </row>
    <row r="144" spans="2:5" x14ac:dyDescent="0.25">
      <c r="B144" s="68">
        <v>49</v>
      </c>
      <c r="C144" s="68"/>
      <c r="D144" s="68" t="s">
        <v>127</v>
      </c>
      <c r="E144" s="69">
        <f>SUM(E145:E152)</f>
        <v>1037.8</v>
      </c>
    </row>
    <row r="145" spans="1:5" x14ac:dyDescent="0.25">
      <c r="C145" s="7">
        <v>490</v>
      </c>
      <c r="D145" s="7" t="s">
        <v>128</v>
      </c>
      <c r="E145" s="12">
        <f>HLOOKUP($D$5,'Bourgeoisies Comptes 2022'!$E$4:$R$166,139,0)</f>
        <v>0</v>
      </c>
    </row>
    <row r="146" spans="1:5" x14ac:dyDescent="0.25">
      <c r="C146" s="7">
        <v>491</v>
      </c>
      <c r="D146" s="7" t="s">
        <v>129</v>
      </c>
      <c r="E146" s="12">
        <f>HLOOKUP($D$5,'Bourgeoisies Comptes 2022'!$E$4:$R$166,140,0)</f>
        <v>1037.8</v>
      </c>
    </row>
    <row r="147" spans="1:5" x14ac:dyDescent="0.25">
      <c r="C147" s="7">
        <v>492</v>
      </c>
      <c r="D147" s="7" t="s">
        <v>188</v>
      </c>
      <c r="E147" s="12">
        <f>HLOOKUP($D$5,'Bourgeoisies Comptes 2022'!$E$4:$R$166,141,0)</f>
        <v>0</v>
      </c>
    </row>
    <row r="148" spans="1:5" x14ac:dyDescent="0.25">
      <c r="C148" s="7">
        <v>493</v>
      </c>
      <c r="D148" s="7" t="s">
        <v>189</v>
      </c>
      <c r="E148" s="12">
        <f>HLOOKUP($D$5,'Bourgeoisies Comptes 2022'!$E$4:$R$166,142,0)</f>
        <v>0</v>
      </c>
    </row>
    <row r="149" spans="1:5" x14ac:dyDescent="0.25">
      <c r="C149" s="7">
        <v>494</v>
      </c>
      <c r="D149" s="7" t="s">
        <v>132</v>
      </c>
      <c r="E149" s="12">
        <f>HLOOKUP($D$5,'Bourgeoisies Comptes 2022'!$E$4:$R$166,143,0)</f>
        <v>0</v>
      </c>
    </row>
    <row r="150" spans="1:5" x14ac:dyDescent="0.25">
      <c r="C150" s="7">
        <v>495</v>
      </c>
      <c r="D150" s="7" t="s">
        <v>190</v>
      </c>
      <c r="E150" s="12">
        <f>HLOOKUP($D$5,'Bourgeoisies Comptes 2022'!$E$4:$R$166,144,0)</f>
        <v>0</v>
      </c>
    </row>
    <row r="151" spans="1:5" x14ac:dyDescent="0.25">
      <c r="C151" s="7">
        <v>498</v>
      </c>
      <c r="D151" s="7" t="s">
        <v>191</v>
      </c>
      <c r="E151" s="12">
        <f>HLOOKUP($D$5,'Bourgeoisies Comptes 2022'!$E$4:$R$166,145,0)</f>
        <v>0</v>
      </c>
    </row>
    <row r="152" spans="1:5" x14ac:dyDescent="0.25">
      <c r="C152" s="7">
        <v>499</v>
      </c>
      <c r="D152" s="7" t="s">
        <v>135</v>
      </c>
      <c r="E152" s="12">
        <f>HLOOKUP($D$5,'Bourgeoisies Comptes 2022'!$E$4:$R$166,146,0)</f>
        <v>0</v>
      </c>
    </row>
    <row r="153" spans="1:5" x14ac:dyDescent="0.25">
      <c r="E153" s="12"/>
    </row>
    <row r="154" spans="1:5" x14ac:dyDescent="0.25">
      <c r="E154" s="12"/>
    </row>
    <row r="155" spans="1:5" x14ac:dyDescent="0.25">
      <c r="E155" s="12"/>
    </row>
    <row r="156" spans="1:5" x14ac:dyDescent="0.25">
      <c r="A156" s="70">
        <v>9</v>
      </c>
      <c r="B156" s="70"/>
      <c r="C156" s="70"/>
      <c r="D156" s="70" t="s">
        <v>193</v>
      </c>
      <c r="E156" s="71"/>
    </row>
    <row r="157" spans="1:5" x14ac:dyDescent="0.25">
      <c r="A157" s="70"/>
      <c r="B157" s="70">
        <v>90</v>
      </c>
      <c r="C157" s="70"/>
      <c r="D157" s="70" t="s">
        <v>194</v>
      </c>
      <c r="E157" s="72">
        <f>SUM(E158:E159)</f>
        <v>5815.81</v>
      </c>
    </row>
    <row r="158" spans="1:5" x14ac:dyDescent="0.25">
      <c r="C158" s="7">
        <v>900</v>
      </c>
      <c r="D158" s="7" t="s">
        <v>195</v>
      </c>
      <c r="E158" s="12">
        <f>HLOOKUP($D$5,'Bourgeoisies Comptes 2022'!$E$4:$R$166,152,0)</f>
        <v>5815.81</v>
      </c>
    </row>
    <row r="159" spans="1:5" x14ac:dyDescent="0.25">
      <c r="C159" s="7">
        <v>901</v>
      </c>
      <c r="D159" s="7" t="s">
        <v>196</v>
      </c>
      <c r="E159" s="12">
        <f>HLOOKUP($D$5,'Bourgeoisies Comptes 2022'!$E$4:$R$166,153,0)</f>
        <v>0</v>
      </c>
    </row>
    <row r="160" spans="1:5" x14ac:dyDescent="0.25">
      <c r="E160" s="12"/>
    </row>
    <row r="161" spans="4:5" x14ac:dyDescent="0.25">
      <c r="D161" s="6" t="s">
        <v>197</v>
      </c>
      <c r="E161" s="12">
        <f>HLOOKUP($D$5,'Bourgeoisies Comptes 2022'!$E$4:$R$166,155,0)</f>
        <v>5815.81</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600-000000000000}">
          <x14:formula1>
            <xm:f>'Bourgeoisies Comptes 2022'!$E$4:$R$4</xm:f>
          </x14:formula1>
          <xm:sqref>D5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pageSetUpPr fitToPage="1"/>
  </sheetPr>
  <dimension ref="A1:O59"/>
  <sheetViews>
    <sheetView zoomScaleNormal="100" workbookViewId="0"/>
  </sheetViews>
  <sheetFormatPr baseColWidth="10" defaultColWidth="11.44140625" defaultRowHeight="13.2" x14ac:dyDescent="0.25"/>
  <cols>
    <col min="1" max="1" width="3.44140625" style="41" customWidth="1"/>
    <col min="2" max="2" width="14" style="41" customWidth="1"/>
    <col min="3" max="12" width="11.44140625" style="41"/>
    <col min="13" max="13" width="3.44140625" style="41" customWidth="1"/>
    <col min="14" max="14" width="14" style="41" customWidth="1"/>
    <col min="15" max="16384" width="11.44140625" style="41"/>
  </cols>
  <sheetData>
    <row r="1" spans="1:15" ht="13.8" thickBot="1" x14ac:dyDescent="0.3">
      <c r="A1" s="40" t="s">
        <v>70</v>
      </c>
      <c r="B1" s="40" t="s">
        <v>67</v>
      </c>
      <c r="C1" s="40">
        <v>2022</v>
      </c>
      <c r="D1" s="40"/>
      <c r="E1" s="40"/>
      <c r="F1" s="40"/>
      <c r="G1" s="40"/>
      <c r="H1" s="40"/>
      <c r="I1" s="40"/>
      <c r="M1" s="40" t="s">
        <v>70</v>
      </c>
      <c r="N1" s="40" t="s">
        <v>67</v>
      </c>
      <c r="O1" s="40">
        <v>2022</v>
      </c>
    </row>
    <row r="2" spans="1:15" ht="13.8" thickBot="1" x14ac:dyDescent="0.3">
      <c r="A2" s="42">
        <v>1</v>
      </c>
      <c r="B2" s="42" t="s">
        <v>56</v>
      </c>
      <c r="C2" s="43">
        <v>951</v>
      </c>
      <c r="D2" s="44"/>
      <c r="G2" s="181" t="s">
        <v>725</v>
      </c>
      <c r="H2" s="182"/>
      <c r="I2" s="182"/>
      <c r="J2" s="182"/>
      <c r="K2" s="183"/>
      <c r="M2" s="45">
        <v>1</v>
      </c>
      <c r="N2" s="46" t="s">
        <v>52</v>
      </c>
      <c r="O2" s="47">
        <f>C34</f>
        <v>1882</v>
      </c>
    </row>
    <row r="3" spans="1:15" x14ac:dyDescent="0.25">
      <c r="A3" s="42">
        <v>2</v>
      </c>
      <c r="B3" s="42" t="s">
        <v>18</v>
      </c>
      <c r="C3" s="43">
        <v>258</v>
      </c>
      <c r="D3" s="44"/>
      <c r="M3" s="45">
        <v>2</v>
      </c>
      <c r="N3" s="46" t="s">
        <v>32</v>
      </c>
      <c r="O3" s="47">
        <f>C36</f>
        <v>1217</v>
      </c>
    </row>
    <row r="4" spans="1:15" x14ac:dyDescent="0.25">
      <c r="A4" s="42">
        <v>3</v>
      </c>
      <c r="B4" s="42" t="s">
        <v>57</v>
      </c>
      <c r="C4" s="43">
        <v>471</v>
      </c>
      <c r="D4" s="44"/>
      <c r="M4" s="45">
        <v>3</v>
      </c>
      <c r="N4" s="46" t="s">
        <v>29</v>
      </c>
      <c r="O4" s="47">
        <f>C37</f>
        <v>117</v>
      </c>
    </row>
    <row r="5" spans="1:15" x14ac:dyDescent="0.25">
      <c r="A5" s="42">
        <v>4</v>
      </c>
      <c r="B5" s="42" t="s">
        <v>53</v>
      </c>
      <c r="C5" s="43">
        <v>441</v>
      </c>
      <c r="D5" s="44"/>
      <c r="F5" s="48" t="s">
        <v>72</v>
      </c>
      <c r="M5" s="45">
        <v>4</v>
      </c>
      <c r="N5" s="42" t="s">
        <v>56</v>
      </c>
      <c r="O5" s="43">
        <f>C2</f>
        <v>951</v>
      </c>
    </row>
    <row r="6" spans="1:15" x14ac:dyDescent="0.25">
      <c r="A6" s="42">
        <v>5</v>
      </c>
      <c r="B6" s="42" t="s">
        <v>33</v>
      </c>
      <c r="C6" s="43">
        <v>3686</v>
      </c>
      <c r="D6" s="44"/>
      <c r="F6" s="49" t="s">
        <v>28</v>
      </c>
      <c r="G6" s="49"/>
      <c r="H6" s="50">
        <f>SUM(C2:C20)</f>
        <v>39309</v>
      </c>
      <c r="M6" s="45">
        <v>5</v>
      </c>
      <c r="N6" s="46" t="s">
        <v>26</v>
      </c>
      <c r="O6" s="47">
        <f>C38</f>
        <v>1205</v>
      </c>
    </row>
    <row r="7" spans="1:15" x14ac:dyDescent="0.25">
      <c r="A7" s="42">
        <v>6</v>
      </c>
      <c r="B7" s="42" t="s">
        <v>10</v>
      </c>
      <c r="C7" s="43">
        <v>3313</v>
      </c>
      <c r="D7" s="44"/>
      <c r="F7" s="51" t="s">
        <v>64</v>
      </c>
      <c r="G7" s="51"/>
      <c r="H7" s="52">
        <f>SUM(C21:C33)</f>
        <v>10433</v>
      </c>
      <c r="M7" s="45">
        <v>6</v>
      </c>
      <c r="N7" s="46" t="s">
        <v>48</v>
      </c>
      <c r="O7" s="47">
        <f>C39</f>
        <v>625</v>
      </c>
    </row>
    <row r="8" spans="1:15" x14ac:dyDescent="0.25">
      <c r="A8" s="42">
        <v>7</v>
      </c>
      <c r="B8" s="42" t="s">
        <v>15</v>
      </c>
      <c r="C8" s="43">
        <v>2654</v>
      </c>
      <c r="D8" s="44"/>
      <c r="F8" s="46" t="s">
        <v>16</v>
      </c>
      <c r="G8" s="46"/>
      <c r="H8" s="53">
        <f>SUM(C34:C54)</f>
        <v>24123</v>
      </c>
      <c r="M8" s="45">
        <v>7</v>
      </c>
      <c r="N8" s="42" t="s">
        <v>18</v>
      </c>
      <c r="O8" s="43">
        <f>C3</f>
        <v>258</v>
      </c>
    </row>
    <row r="9" spans="1:15" x14ac:dyDescent="0.25">
      <c r="A9" s="42">
        <v>8</v>
      </c>
      <c r="B9" s="42" t="s">
        <v>28</v>
      </c>
      <c r="C9" s="43">
        <v>12636</v>
      </c>
      <c r="D9" s="44"/>
      <c r="H9" s="54">
        <f>SUM(H6:H8)</f>
        <v>73865</v>
      </c>
      <c r="M9" s="45">
        <v>8</v>
      </c>
      <c r="N9" s="46" t="s">
        <v>44</v>
      </c>
      <c r="O9" s="47">
        <f>C40</f>
        <v>631</v>
      </c>
    </row>
    <row r="10" spans="1:15" x14ac:dyDescent="0.25">
      <c r="A10" s="42">
        <v>9</v>
      </c>
      <c r="B10" s="42" t="s">
        <v>42</v>
      </c>
      <c r="C10" s="43">
        <v>1360</v>
      </c>
      <c r="D10" s="44"/>
      <c r="M10" s="45">
        <v>9</v>
      </c>
      <c r="N10" s="42" t="s">
        <v>57</v>
      </c>
      <c r="O10" s="43">
        <f>C4</f>
        <v>471</v>
      </c>
    </row>
    <row r="11" spans="1:15" x14ac:dyDescent="0.25">
      <c r="A11" s="42">
        <v>10</v>
      </c>
      <c r="B11" s="42" t="s">
        <v>23</v>
      </c>
      <c r="C11" s="43">
        <v>112</v>
      </c>
      <c r="D11" s="44"/>
      <c r="M11" s="45">
        <v>10</v>
      </c>
      <c r="N11" s="46" t="s">
        <v>37</v>
      </c>
      <c r="O11" s="47">
        <f>C41</f>
        <v>1275</v>
      </c>
    </row>
    <row r="12" spans="1:15" x14ac:dyDescent="0.25">
      <c r="A12" s="42">
        <v>11</v>
      </c>
      <c r="B12" s="42" t="s">
        <v>22</v>
      </c>
      <c r="C12" s="43">
        <v>7319</v>
      </c>
      <c r="D12" s="44"/>
      <c r="M12" s="45">
        <v>11</v>
      </c>
      <c r="N12" s="46" t="s">
        <v>51</v>
      </c>
      <c r="O12" s="47">
        <f>C42</f>
        <v>718</v>
      </c>
    </row>
    <row r="13" spans="1:15" x14ac:dyDescent="0.25">
      <c r="A13" s="42">
        <v>12</v>
      </c>
      <c r="B13" s="42" t="s">
        <v>13</v>
      </c>
      <c r="C13" s="43">
        <v>522</v>
      </c>
      <c r="D13" s="44"/>
      <c r="M13" s="45">
        <v>12</v>
      </c>
      <c r="N13" s="46" t="s">
        <v>8</v>
      </c>
      <c r="O13" s="47">
        <f>C43</f>
        <v>1018</v>
      </c>
    </row>
    <row r="14" spans="1:15" x14ac:dyDescent="0.25">
      <c r="A14" s="42">
        <v>13</v>
      </c>
      <c r="B14" s="42" t="s">
        <v>17</v>
      </c>
      <c r="C14" s="43">
        <v>106</v>
      </c>
      <c r="D14" s="44"/>
      <c r="M14" s="45">
        <v>13</v>
      </c>
      <c r="N14" s="42" t="s">
        <v>53</v>
      </c>
      <c r="O14" s="43">
        <f>C5</f>
        <v>441</v>
      </c>
    </row>
    <row r="15" spans="1:15" x14ac:dyDescent="0.25">
      <c r="A15" s="42">
        <v>14</v>
      </c>
      <c r="B15" s="42" t="s">
        <v>43</v>
      </c>
      <c r="C15" s="43">
        <v>425</v>
      </c>
      <c r="D15" s="44"/>
      <c r="M15" s="45">
        <v>14</v>
      </c>
      <c r="N15" s="46" t="s">
        <v>24</v>
      </c>
      <c r="O15" s="47">
        <f>C44</f>
        <v>293</v>
      </c>
    </row>
    <row r="16" spans="1:15" x14ac:dyDescent="0.25">
      <c r="A16" s="42">
        <v>15</v>
      </c>
      <c r="B16" s="42" t="s">
        <v>40</v>
      </c>
      <c r="C16" s="43">
        <v>350</v>
      </c>
      <c r="D16" s="44"/>
      <c r="M16" s="45">
        <v>15</v>
      </c>
      <c r="N16" s="46" t="s">
        <v>9</v>
      </c>
      <c r="O16" s="47">
        <f>C45</f>
        <v>2435</v>
      </c>
    </row>
    <row r="17" spans="1:15" x14ac:dyDescent="0.25">
      <c r="A17" s="42">
        <v>16</v>
      </c>
      <c r="B17" s="42" t="s">
        <v>31</v>
      </c>
      <c r="C17" s="43">
        <v>733</v>
      </c>
      <c r="D17" s="44"/>
      <c r="M17" s="45">
        <v>16</v>
      </c>
      <c r="N17" s="42" t="s">
        <v>33</v>
      </c>
      <c r="O17" s="43">
        <f>C6</f>
        <v>3686</v>
      </c>
    </row>
    <row r="18" spans="1:15" x14ac:dyDescent="0.25">
      <c r="A18" s="42">
        <v>17</v>
      </c>
      <c r="B18" s="42" t="s">
        <v>12</v>
      </c>
      <c r="C18" s="43">
        <v>270</v>
      </c>
      <c r="D18" s="44"/>
      <c r="M18" s="45">
        <v>17</v>
      </c>
      <c r="N18" s="42" t="s">
        <v>10</v>
      </c>
      <c r="O18" s="43">
        <f>C7</f>
        <v>3313</v>
      </c>
    </row>
    <row r="19" spans="1:15" x14ac:dyDescent="0.25">
      <c r="A19" s="42">
        <v>18</v>
      </c>
      <c r="B19" s="42" t="s">
        <v>59</v>
      </c>
      <c r="C19" s="43">
        <v>417</v>
      </c>
      <c r="D19" s="44"/>
      <c r="M19" s="45">
        <v>18</v>
      </c>
      <c r="N19" s="46" t="s">
        <v>62</v>
      </c>
      <c r="O19" s="47">
        <f>C46</f>
        <v>786</v>
      </c>
    </row>
    <row r="20" spans="1:15" x14ac:dyDescent="0.25">
      <c r="A20" s="42">
        <v>19</v>
      </c>
      <c r="B20" s="42" t="s">
        <v>27</v>
      </c>
      <c r="C20" s="43">
        <v>3285</v>
      </c>
      <c r="D20" s="44"/>
      <c r="M20" s="45">
        <v>19</v>
      </c>
      <c r="N20" s="42" t="s">
        <v>15</v>
      </c>
      <c r="O20" s="43">
        <f>C8</f>
        <v>2654</v>
      </c>
    </row>
    <row r="21" spans="1:15" x14ac:dyDescent="0.25">
      <c r="A21" s="55">
        <v>20</v>
      </c>
      <c r="B21" s="55" t="s">
        <v>30</v>
      </c>
      <c r="C21" s="56">
        <v>308</v>
      </c>
      <c r="D21" s="44"/>
      <c r="M21" s="45">
        <v>20</v>
      </c>
      <c r="N21" s="46" t="s">
        <v>46</v>
      </c>
      <c r="O21" s="47">
        <f>C47</f>
        <v>184</v>
      </c>
    </row>
    <row r="22" spans="1:15" x14ac:dyDescent="0.25">
      <c r="A22" s="55">
        <v>21</v>
      </c>
      <c r="B22" s="55" t="s">
        <v>20</v>
      </c>
      <c r="C22" s="56">
        <v>1258</v>
      </c>
      <c r="D22" s="44"/>
      <c r="M22" s="45">
        <v>21</v>
      </c>
      <c r="N22" s="42" t="s">
        <v>28</v>
      </c>
      <c r="O22" s="43">
        <f>C9</f>
        <v>12636</v>
      </c>
    </row>
    <row r="23" spans="1:15" x14ac:dyDescent="0.25">
      <c r="A23" s="55">
        <v>22</v>
      </c>
      <c r="B23" s="55" t="s">
        <v>45</v>
      </c>
      <c r="C23" s="56">
        <v>1524</v>
      </c>
      <c r="D23" s="44"/>
      <c r="E23" s="44"/>
      <c r="M23" s="45">
        <v>22</v>
      </c>
      <c r="N23" s="42" t="s">
        <v>42</v>
      </c>
      <c r="O23" s="43">
        <f>C10</f>
        <v>1360</v>
      </c>
    </row>
    <row r="24" spans="1:15" x14ac:dyDescent="0.25">
      <c r="A24" s="55">
        <v>23</v>
      </c>
      <c r="B24" s="55" t="s">
        <v>71</v>
      </c>
      <c r="C24" s="56">
        <v>87</v>
      </c>
      <c r="D24" s="44"/>
      <c r="M24" s="45">
        <v>23</v>
      </c>
      <c r="N24" s="42" t="s">
        <v>23</v>
      </c>
      <c r="O24" s="43">
        <f>C11</f>
        <v>112</v>
      </c>
    </row>
    <row r="25" spans="1:15" x14ac:dyDescent="0.25">
      <c r="A25" s="55">
        <v>24</v>
      </c>
      <c r="B25" s="55" t="s">
        <v>39</v>
      </c>
      <c r="C25" s="56">
        <v>156</v>
      </c>
      <c r="D25" s="44"/>
      <c r="M25" s="45">
        <v>24</v>
      </c>
      <c r="N25" s="46" t="s">
        <v>35</v>
      </c>
      <c r="O25" s="47">
        <f>C48</f>
        <v>333</v>
      </c>
    </row>
    <row r="26" spans="1:15" x14ac:dyDescent="0.25">
      <c r="A26" s="55">
        <v>25</v>
      </c>
      <c r="B26" s="55" t="s">
        <v>19</v>
      </c>
      <c r="C26" s="56">
        <v>510</v>
      </c>
      <c r="D26" s="44"/>
      <c r="M26" s="45">
        <v>25</v>
      </c>
      <c r="N26" s="46" t="s">
        <v>49</v>
      </c>
      <c r="O26" s="47">
        <f>C49</f>
        <v>1674</v>
      </c>
    </row>
    <row r="27" spans="1:15" x14ac:dyDescent="0.25">
      <c r="A27" s="55">
        <v>26</v>
      </c>
      <c r="B27" s="55" t="s">
        <v>41</v>
      </c>
      <c r="C27" s="56">
        <v>705</v>
      </c>
      <c r="D27" s="44"/>
      <c r="M27" s="45">
        <v>26</v>
      </c>
      <c r="N27" s="46" t="s">
        <v>47</v>
      </c>
      <c r="O27" s="47">
        <f>C50</f>
        <v>391</v>
      </c>
    </row>
    <row r="28" spans="1:15" x14ac:dyDescent="0.25">
      <c r="A28" s="55">
        <v>27</v>
      </c>
      <c r="B28" s="55" t="s">
        <v>36</v>
      </c>
      <c r="C28" s="56">
        <v>551</v>
      </c>
      <c r="D28" s="44"/>
      <c r="M28" s="45">
        <v>27</v>
      </c>
      <c r="N28" s="46" t="s">
        <v>58</v>
      </c>
      <c r="O28" s="47">
        <f>C51</f>
        <v>1052</v>
      </c>
    </row>
    <row r="29" spans="1:15" x14ac:dyDescent="0.25">
      <c r="A29" s="55">
        <v>28</v>
      </c>
      <c r="B29" s="55" t="s">
        <v>7</v>
      </c>
      <c r="C29" s="56">
        <v>511</v>
      </c>
      <c r="D29" s="44"/>
      <c r="M29" s="45">
        <v>28</v>
      </c>
      <c r="N29" s="42" t="s">
        <v>22</v>
      </c>
      <c r="O29" s="43">
        <f>C12</f>
        <v>7319</v>
      </c>
    </row>
    <row r="30" spans="1:15" x14ac:dyDescent="0.25">
      <c r="A30" s="55">
        <v>29</v>
      </c>
      <c r="B30" s="55" t="s">
        <v>55</v>
      </c>
      <c r="C30" s="56">
        <v>1902</v>
      </c>
      <c r="D30" s="44"/>
      <c r="M30" s="45">
        <v>29</v>
      </c>
      <c r="N30" s="46" t="s">
        <v>14</v>
      </c>
      <c r="O30" s="47">
        <f>C35</f>
        <v>1114</v>
      </c>
    </row>
    <row r="31" spans="1:15" x14ac:dyDescent="0.25">
      <c r="A31" s="55">
        <v>30</v>
      </c>
      <c r="B31" s="55" t="s">
        <v>21</v>
      </c>
      <c r="C31" s="56">
        <v>2575</v>
      </c>
      <c r="D31" s="44"/>
      <c r="M31" s="45">
        <v>30</v>
      </c>
      <c r="N31" s="55" t="s">
        <v>71</v>
      </c>
      <c r="O31" s="56">
        <f>C24</f>
        <v>87</v>
      </c>
    </row>
    <row r="32" spans="1:15" x14ac:dyDescent="0.25">
      <c r="A32" s="55">
        <v>31</v>
      </c>
      <c r="B32" s="55" t="s">
        <v>6</v>
      </c>
      <c r="C32" s="56">
        <v>228</v>
      </c>
      <c r="D32" s="44"/>
      <c r="M32" s="45">
        <v>31</v>
      </c>
      <c r="N32" s="55" t="s">
        <v>41</v>
      </c>
      <c r="O32" s="56">
        <f>C27</f>
        <v>705</v>
      </c>
    </row>
    <row r="33" spans="1:15" x14ac:dyDescent="0.25">
      <c r="A33" s="55">
        <v>32</v>
      </c>
      <c r="B33" s="55" t="s">
        <v>34</v>
      </c>
      <c r="C33" s="56">
        <v>118</v>
      </c>
      <c r="D33" s="44"/>
      <c r="M33" s="45">
        <v>32</v>
      </c>
      <c r="N33" s="55" t="s">
        <v>30</v>
      </c>
      <c r="O33" s="56">
        <f>C21</f>
        <v>308</v>
      </c>
    </row>
    <row r="34" spans="1:15" x14ac:dyDescent="0.25">
      <c r="A34" s="46">
        <v>33</v>
      </c>
      <c r="B34" s="46" t="s">
        <v>52</v>
      </c>
      <c r="C34" s="47">
        <v>1882</v>
      </c>
      <c r="D34" s="44"/>
      <c r="M34" s="45">
        <v>33</v>
      </c>
      <c r="N34" s="55" t="s">
        <v>55</v>
      </c>
      <c r="O34" s="56">
        <f>C30</f>
        <v>1902</v>
      </c>
    </row>
    <row r="35" spans="1:15" x14ac:dyDescent="0.25">
      <c r="A35" s="46">
        <v>34</v>
      </c>
      <c r="B35" s="46" t="s">
        <v>14</v>
      </c>
      <c r="C35" s="47">
        <v>1114</v>
      </c>
      <c r="D35" s="44"/>
      <c r="M35" s="45">
        <v>34</v>
      </c>
      <c r="N35" s="55" t="s">
        <v>20</v>
      </c>
      <c r="O35" s="56">
        <f>C22</f>
        <v>1258</v>
      </c>
    </row>
    <row r="36" spans="1:15" x14ac:dyDescent="0.25">
      <c r="A36" s="46">
        <v>35</v>
      </c>
      <c r="B36" s="46" t="s">
        <v>32</v>
      </c>
      <c r="C36" s="47">
        <v>1217</v>
      </c>
      <c r="D36" s="44"/>
      <c r="E36" s="44"/>
      <c r="M36" s="45">
        <v>35</v>
      </c>
      <c r="N36" s="55" t="s">
        <v>45</v>
      </c>
      <c r="O36" s="56">
        <f>C23</f>
        <v>1524</v>
      </c>
    </row>
    <row r="37" spans="1:15" x14ac:dyDescent="0.25">
      <c r="A37" s="46">
        <v>36</v>
      </c>
      <c r="B37" s="46" t="s">
        <v>29</v>
      </c>
      <c r="C37" s="47">
        <v>117</v>
      </c>
      <c r="D37" s="44"/>
      <c r="M37" s="45">
        <v>36</v>
      </c>
      <c r="N37" s="55" t="s">
        <v>39</v>
      </c>
      <c r="O37" s="56">
        <f>C25</f>
        <v>156</v>
      </c>
    </row>
    <row r="38" spans="1:15" x14ac:dyDescent="0.25">
      <c r="A38" s="46">
        <v>37</v>
      </c>
      <c r="B38" s="46" t="s">
        <v>26</v>
      </c>
      <c r="C38" s="47">
        <v>1205</v>
      </c>
      <c r="D38" s="44"/>
      <c r="M38" s="45">
        <v>37</v>
      </c>
      <c r="N38" s="55" t="s">
        <v>19</v>
      </c>
      <c r="O38" s="56">
        <f>C26</f>
        <v>510</v>
      </c>
    </row>
    <row r="39" spans="1:15" x14ac:dyDescent="0.25">
      <c r="A39" s="46">
        <v>38</v>
      </c>
      <c r="B39" s="46" t="s">
        <v>48</v>
      </c>
      <c r="C39" s="47">
        <v>625</v>
      </c>
      <c r="D39" s="44"/>
      <c r="M39" s="45">
        <v>38</v>
      </c>
      <c r="N39" s="46" t="s">
        <v>50</v>
      </c>
      <c r="O39" s="47">
        <f>C52</f>
        <v>186</v>
      </c>
    </row>
    <row r="40" spans="1:15" x14ac:dyDescent="0.25">
      <c r="A40" s="46">
        <v>39</v>
      </c>
      <c r="B40" s="46" t="s">
        <v>44</v>
      </c>
      <c r="C40" s="47">
        <v>631</v>
      </c>
      <c r="D40" s="44"/>
      <c r="M40" s="45">
        <v>39</v>
      </c>
      <c r="N40" s="42" t="s">
        <v>13</v>
      </c>
      <c r="O40" s="43">
        <f>C13</f>
        <v>522</v>
      </c>
    </row>
    <row r="41" spans="1:15" x14ac:dyDescent="0.25">
      <c r="A41" s="46">
        <v>40</v>
      </c>
      <c r="B41" s="46" t="s">
        <v>37</v>
      </c>
      <c r="C41" s="47">
        <v>1275</v>
      </c>
      <c r="D41" s="44"/>
      <c r="M41" s="45">
        <v>40</v>
      </c>
      <c r="N41" s="42" t="s">
        <v>17</v>
      </c>
      <c r="O41" s="43">
        <f>C14</f>
        <v>106</v>
      </c>
    </row>
    <row r="42" spans="1:15" x14ac:dyDescent="0.25">
      <c r="A42" s="46">
        <v>41</v>
      </c>
      <c r="B42" s="46" t="s">
        <v>51</v>
      </c>
      <c r="C42" s="47">
        <v>718</v>
      </c>
      <c r="D42" s="44"/>
      <c r="M42" s="45">
        <v>41</v>
      </c>
      <c r="N42" s="55" t="s">
        <v>36</v>
      </c>
      <c r="O42" s="56">
        <f>C28</f>
        <v>551</v>
      </c>
    </row>
    <row r="43" spans="1:15" x14ac:dyDescent="0.25">
      <c r="A43" s="46">
        <v>42</v>
      </c>
      <c r="B43" s="46" t="s">
        <v>8</v>
      </c>
      <c r="C43" s="47">
        <v>1018</v>
      </c>
      <c r="D43" s="44"/>
      <c r="M43" s="45">
        <v>42</v>
      </c>
      <c r="N43" s="42" t="s">
        <v>43</v>
      </c>
      <c r="O43" s="43">
        <f>C15</f>
        <v>425</v>
      </c>
    </row>
    <row r="44" spans="1:15" x14ac:dyDescent="0.25">
      <c r="A44" s="46">
        <v>43</v>
      </c>
      <c r="B44" s="46" t="s">
        <v>24</v>
      </c>
      <c r="C44" s="47">
        <v>293</v>
      </c>
      <c r="D44" s="44"/>
      <c r="M44" s="45">
        <v>43</v>
      </c>
      <c r="N44" s="55" t="s">
        <v>7</v>
      </c>
      <c r="O44" s="56">
        <f>C29</f>
        <v>511</v>
      </c>
    </row>
    <row r="45" spans="1:15" x14ac:dyDescent="0.25">
      <c r="A45" s="46">
        <v>44</v>
      </c>
      <c r="B45" s="46" t="s">
        <v>9</v>
      </c>
      <c r="C45" s="47">
        <v>2435</v>
      </c>
      <c r="D45" s="44"/>
      <c r="M45" s="45">
        <v>44</v>
      </c>
      <c r="N45" s="42" t="s">
        <v>40</v>
      </c>
      <c r="O45" s="43">
        <f>C16</f>
        <v>350</v>
      </c>
    </row>
    <row r="46" spans="1:15" x14ac:dyDescent="0.25">
      <c r="A46" s="46">
        <v>45</v>
      </c>
      <c r="B46" s="46" t="s">
        <v>62</v>
      </c>
      <c r="C46" s="47">
        <v>786</v>
      </c>
      <c r="D46" s="44"/>
      <c r="M46" s="45">
        <v>45</v>
      </c>
      <c r="N46" s="46" t="s">
        <v>16</v>
      </c>
      <c r="O46" s="47">
        <f>C53</f>
        <v>6441</v>
      </c>
    </row>
    <row r="47" spans="1:15" x14ac:dyDescent="0.25">
      <c r="A47" s="46">
        <v>46</v>
      </c>
      <c r="B47" s="46" t="s">
        <v>46</v>
      </c>
      <c r="C47" s="47">
        <v>184</v>
      </c>
      <c r="D47" s="44"/>
      <c r="M47" s="45">
        <v>46</v>
      </c>
      <c r="N47" s="42" t="s">
        <v>31</v>
      </c>
      <c r="O47" s="43">
        <f>C17</f>
        <v>733</v>
      </c>
    </row>
    <row r="48" spans="1:15" x14ac:dyDescent="0.25">
      <c r="A48" s="46">
        <v>47</v>
      </c>
      <c r="B48" s="46" t="s">
        <v>35</v>
      </c>
      <c r="C48" s="47">
        <v>333</v>
      </c>
      <c r="D48" s="44"/>
      <c r="M48" s="45">
        <v>47</v>
      </c>
      <c r="N48" s="55" t="s">
        <v>21</v>
      </c>
      <c r="O48" s="56">
        <f>C31</f>
        <v>2575</v>
      </c>
    </row>
    <row r="49" spans="1:15" x14ac:dyDescent="0.25">
      <c r="A49" s="46">
        <v>48</v>
      </c>
      <c r="B49" s="46" t="s">
        <v>49</v>
      </c>
      <c r="C49" s="47">
        <v>1674</v>
      </c>
      <c r="D49" s="44"/>
      <c r="M49" s="45">
        <v>48</v>
      </c>
      <c r="N49" s="55" t="s">
        <v>6</v>
      </c>
      <c r="O49" s="56">
        <f>C32</f>
        <v>228</v>
      </c>
    </row>
    <row r="50" spans="1:15" x14ac:dyDescent="0.25">
      <c r="A50" s="46">
        <v>49</v>
      </c>
      <c r="B50" s="46" t="s">
        <v>47</v>
      </c>
      <c r="C50" s="47">
        <v>391</v>
      </c>
      <c r="D50" s="44"/>
      <c r="M50" s="45">
        <v>49</v>
      </c>
      <c r="N50" s="42" t="s">
        <v>12</v>
      </c>
      <c r="O50" s="43">
        <f>C18</f>
        <v>270</v>
      </c>
    </row>
    <row r="51" spans="1:15" x14ac:dyDescent="0.25">
      <c r="A51" s="46">
        <v>50</v>
      </c>
      <c r="B51" s="46" t="s">
        <v>58</v>
      </c>
      <c r="C51" s="47">
        <v>1052</v>
      </c>
      <c r="D51" s="44"/>
      <c r="M51" s="45">
        <v>50</v>
      </c>
      <c r="N51" s="55" t="s">
        <v>34</v>
      </c>
      <c r="O51" s="56">
        <f>C33</f>
        <v>118</v>
      </c>
    </row>
    <row r="52" spans="1:15" x14ac:dyDescent="0.25">
      <c r="A52" s="46">
        <v>51</v>
      </c>
      <c r="B52" s="46" t="s">
        <v>50</v>
      </c>
      <c r="C52" s="47">
        <v>186</v>
      </c>
      <c r="D52" s="44"/>
      <c r="M52" s="45">
        <v>51</v>
      </c>
      <c r="N52" s="42" t="s">
        <v>59</v>
      </c>
      <c r="O52" s="43">
        <f>C19</f>
        <v>417</v>
      </c>
    </row>
    <row r="53" spans="1:15" x14ac:dyDescent="0.25">
      <c r="A53" s="46">
        <v>52</v>
      </c>
      <c r="B53" s="46" t="s">
        <v>16</v>
      </c>
      <c r="C53" s="47">
        <v>6441</v>
      </c>
      <c r="D53" s="44"/>
      <c r="M53" s="45">
        <v>52</v>
      </c>
      <c r="N53" s="42" t="s">
        <v>27</v>
      </c>
      <c r="O53" s="43">
        <f>C20</f>
        <v>3285</v>
      </c>
    </row>
    <row r="54" spans="1:15" x14ac:dyDescent="0.25">
      <c r="A54" s="46">
        <v>53</v>
      </c>
      <c r="B54" s="46" t="s">
        <v>25</v>
      </c>
      <c r="C54" s="53">
        <v>546</v>
      </c>
      <c r="D54" s="44"/>
      <c r="M54" s="45">
        <v>53</v>
      </c>
      <c r="N54" s="46" t="s">
        <v>25</v>
      </c>
      <c r="O54" s="53">
        <f>C54</f>
        <v>546</v>
      </c>
    </row>
    <row r="55" spans="1:15" x14ac:dyDescent="0.25">
      <c r="B55" s="41" t="s">
        <v>65</v>
      </c>
      <c r="C55" s="47">
        <f>SUM(C2:C54)</f>
        <v>73865</v>
      </c>
      <c r="D55" s="44" t="s">
        <v>857</v>
      </c>
      <c r="N55" s="41" t="s">
        <v>65</v>
      </c>
      <c r="O55" s="47">
        <f>SUM(O2:O54)</f>
        <v>73865</v>
      </c>
    </row>
    <row r="56" spans="1:15" x14ac:dyDescent="0.25">
      <c r="D56" s="44"/>
    </row>
    <row r="57" spans="1:15" x14ac:dyDescent="0.25">
      <c r="D57" s="44"/>
    </row>
    <row r="58" spans="1:15" x14ac:dyDescent="0.25">
      <c r="D58" s="57"/>
      <c r="E58" s="44"/>
    </row>
    <row r="59" spans="1:15" x14ac:dyDescent="0.25">
      <c r="D59" s="44"/>
      <c r="E59" s="47"/>
      <c r="F59" s="44"/>
      <c r="G59" s="44"/>
      <c r="H59" s="44"/>
      <c r="I59" s="44"/>
    </row>
  </sheetData>
  <sortState xmlns:xlrd2="http://schemas.microsoft.com/office/spreadsheetml/2017/richdata2" ref="M2:O58">
    <sortCondition ref="N2:N58"/>
  </sortState>
  <mergeCells count="1">
    <mergeCell ref="G2:K2"/>
  </mergeCells>
  <pageMargins left="0.23622047244094491" right="0.23622047244094491" top="0.35433070866141736" bottom="0.35433070866141736" header="0.31496062992125984" footer="0.31496062992125984"/>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F0"/>
  </sheetPr>
  <dimension ref="A2:C10"/>
  <sheetViews>
    <sheetView workbookViewId="0">
      <selection activeCell="C25" sqref="C25"/>
    </sheetView>
  </sheetViews>
  <sheetFormatPr baseColWidth="10" defaultColWidth="11.44140625" defaultRowHeight="13.8" x14ac:dyDescent="0.25"/>
  <cols>
    <col min="1" max="1" width="9.109375" style="7" customWidth="1"/>
    <col min="2" max="2" width="38.5546875" style="7" customWidth="1"/>
    <col min="3" max="3" width="22.88671875" style="7" customWidth="1"/>
    <col min="4" max="16384" width="11.44140625" style="7"/>
  </cols>
  <sheetData>
    <row r="2" spans="1:3" ht="21" x14ac:dyDescent="0.4">
      <c r="A2" s="79" t="s">
        <v>828</v>
      </c>
    </row>
    <row r="4" spans="1:3" x14ac:dyDescent="0.25">
      <c r="A4" s="6" t="s">
        <v>741</v>
      </c>
    </row>
    <row r="6" spans="1:3" x14ac:dyDescent="0.25">
      <c r="A6" s="86" t="s">
        <v>215</v>
      </c>
      <c r="B6" s="86" t="s">
        <v>200</v>
      </c>
      <c r="C6" s="86" t="s">
        <v>852</v>
      </c>
    </row>
    <row r="7" spans="1:3" x14ac:dyDescent="0.25">
      <c r="A7" s="87">
        <v>90</v>
      </c>
      <c r="B7" s="88" t="s">
        <v>783</v>
      </c>
      <c r="C7" s="89">
        <f>'Bourgeoisies Comptes 2022'!R154</f>
        <v>194291.61999999997</v>
      </c>
    </row>
    <row r="8" spans="1:3" x14ac:dyDescent="0.25">
      <c r="A8" s="87">
        <v>900</v>
      </c>
      <c r="B8" s="88" t="s">
        <v>218</v>
      </c>
      <c r="C8" s="89">
        <f>'Bourgeoisies Comptes 2022'!R155</f>
        <v>194291.61999999997</v>
      </c>
    </row>
    <row r="9" spans="1:3" x14ac:dyDescent="0.25">
      <c r="A9" s="87">
        <v>901</v>
      </c>
      <c r="B9" s="88" t="s">
        <v>219</v>
      </c>
      <c r="C9" s="89">
        <f>'Bourgeoisies Comptes 2022'!R156</f>
        <v>0</v>
      </c>
    </row>
    <row r="10" spans="1:3" x14ac:dyDescent="0.25">
      <c r="A10" s="87" t="s">
        <v>216</v>
      </c>
      <c r="B10" s="88" t="s">
        <v>220</v>
      </c>
      <c r="C10" s="89">
        <f>'Bourgeoisie investissement'!R183</f>
        <v>134798.9</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F0"/>
  </sheetPr>
  <dimension ref="A2:C18"/>
  <sheetViews>
    <sheetView workbookViewId="0">
      <selection activeCell="B6" sqref="B6"/>
    </sheetView>
  </sheetViews>
  <sheetFormatPr baseColWidth="10" defaultColWidth="11.44140625" defaultRowHeight="13.8" x14ac:dyDescent="0.25"/>
  <cols>
    <col min="1" max="1" width="9.33203125" style="7" customWidth="1"/>
    <col min="2" max="2" width="39.6640625" style="7" customWidth="1"/>
    <col min="3" max="3" width="27.88671875" style="7" customWidth="1"/>
    <col min="4" max="4" width="23" style="7" customWidth="1"/>
    <col min="5" max="16384" width="11.44140625" style="7"/>
  </cols>
  <sheetData>
    <row r="2" spans="1:3" ht="21" x14ac:dyDescent="0.4">
      <c r="A2" s="79" t="s">
        <v>860</v>
      </c>
    </row>
    <row r="5" spans="1:3" ht="14.4" thickBot="1" x14ac:dyDescent="0.3">
      <c r="B5" s="7" t="s">
        <v>743</v>
      </c>
    </row>
    <row r="6" spans="1:3" ht="14.4" thickBot="1" x14ac:dyDescent="0.3">
      <c r="B6" s="83" t="s">
        <v>740</v>
      </c>
    </row>
    <row r="9" spans="1:3" x14ac:dyDescent="0.25">
      <c r="A9" s="86" t="s">
        <v>215</v>
      </c>
      <c r="B9" s="86" t="s">
        <v>200</v>
      </c>
      <c r="C9" s="86" t="s">
        <v>852</v>
      </c>
    </row>
    <row r="10" spans="1:3" x14ac:dyDescent="0.25">
      <c r="A10" s="87">
        <v>90</v>
      </c>
      <c r="B10" s="88" t="s">
        <v>783</v>
      </c>
      <c r="C10" s="89">
        <f>HLOOKUP($B$6,'Bourgeoisies Comptes 2022'!$E$4:$R$166,151,0)</f>
        <v>59355.03</v>
      </c>
    </row>
    <row r="11" spans="1:3" x14ac:dyDescent="0.25">
      <c r="A11" s="87">
        <v>900</v>
      </c>
      <c r="B11" s="88" t="s">
        <v>218</v>
      </c>
      <c r="C11" s="89">
        <f>HLOOKUP($B$6,'Bourgeoisies Comptes 2022'!$E$4:$R$166,152,0)</f>
        <v>59355.03</v>
      </c>
    </row>
    <row r="12" spans="1:3" x14ac:dyDescent="0.25">
      <c r="A12" s="87">
        <v>901</v>
      </c>
      <c r="B12" s="88" t="s">
        <v>219</v>
      </c>
      <c r="C12" s="89">
        <f>HLOOKUP($B$6,'Bourgeoisies Comptes 2022'!$E$4:$R$166,153,0)</f>
        <v>0</v>
      </c>
    </row>
    <row r="13" spans="1:3" x14ac:dyDescent="0.25">
      <c r="A13" s="87" t="s">
        <v>216</v>
      </c>
      <c r="B13" s="88" t="s">
        <v>220</v>
      </c>
      <c r="C13" s="89">
        <f>HLOOKUP($B$6,'Bourgeoisie investissement'!$E$4:$R$185,180,0)</f>
        <v>0</v>
      </c>
    </row>
    <row r="15" spans="1:3" x14ac:dyDescent="0.25">
      <c r="C15" s="58"/>
    </row>
    <row r="16" spans="1:3" x14ac:dyDescent="0.25">
      <c r="C16" s="12"/>
    </row>
    <row r="17" spans="3:3" x14ac:dyDescent="0.25">
      <c r="C17" s="12"/>
    </row>
    <row r="18" spans="3:3" x14ac:dyDescent="0.25">
      <c r="C18" s="1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800-000000000000}">
          <x14:formula1>
            <xm:f>'Bourgeoisies Comptes 2022'!$E$4:$R$4</xm:f>
          </x14:formula1>
          <xm:sqref>B6</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F0"/>
  </sheetPr>
  <dimension ref="A2:C23"/>
  <sheetViews>
    <sheetView workbookViewId="0">
      <selection activeCell="B32" sqref="B32"/>
    </sheetView>
  </sheetViews>
  <sheetFormatPr baseColWidth="10" defaultColWidth="11.44140625" defaultRowHeight="13.8" x14ac:dyDescent="0.25"/>
  <cols>
    <col min="1" max="1" width="22.6640625" style="7" customWidth="1"/>
    <col min="2" max="2" width="34.44140625" style="7" customWidth="1"/>
    <col min="3" max="3" width="23" style="7" customWidth="1"/>
    <col min="4" max="16384" width="11.44140625" style="7"/>
  </cols>
  <sheetData>
    <row r="2" spans="1:3" ht="21" x14ac:dyDescent="0.4">
      <c r="A2" s="79" t="s">
        <v>825</v>
      </c>
    </row>
    <row r="5" spans="1:3" x14ac:dyDescent="0.25">
      <c r="A5" s="6" t="s">
        <v>741</v>
      </c>
    </row>
    <row r="6" spans="1:3" x14ac:dyDescent="0.25">
      <c r="A6" s="6" t="s">
        <v>853</v>
      </c>
    </row>
    <row r="8" spans="1:3" x14ac:dyDescent="0.25">
      <c r="A8" s="86" t="s">
        <v>199</v>
      </c>
      <c r="B8" s="86" t="s">
        <v>200</v>
      </c>
      <c r="C8" s="86" t="s">
        <v>201</v>
      </c>
    </row>
    <row r="9" spans="1:3" x14ac:dyDescent="0.25">
      <c r="A9" s="87" t="s">
        <v>208</v>
      </c>
      <c r="B9" s="88" t="s">
        <v>202</v>
      </c>
      <c r="C9" s="89">
        <f>'Bourgeoisies Comptes 2022'!R6+'Bourgeoisies Comptes 2022'!R16+'Bourgeoisies Comptes 2022'!R28+'Bourgeoisies Comptes 2022'!R40+'Bourgeoisies Comptes 2022'!R44+'Bourgeoisies Comptes 2022'!R54</f>
        <v>2317332.0500000003</v>
      </c>
    </row>
    <row r="10" spans="1:3" x14ac:dyDescent="0.25">
      <c r="A10" s="87" t="s">
        <v>209</v>
      </c>
      <c r="B10" s="88" t="s">
        <v>203</v>
      </c>
      <c r="C10" s="89">
        <f>'Bourgeoisies Comptes 2022'!R77+'Bourgeoisies Comptes 2022'!R83+'Bourgeoisies Comptes 2022'!R89+'Bourgeoisies Comptes 2022'!R100+'Bourgeoisies Comptes 2022'!R118+'Bourgeoisies Comptes 2022'!R122+'Bourgeoisies Comptes 2022'!R129</f>
        <v>1775827.1099999999</v>
      </c>
    </row>
    <row r="11" spans="1:3" x14ac:dyDescent="0.25">
      <c r="A11" s="88"/>
      <c r="B11" s="90" t="s">
        <v>204</v>
      </c>
      <c r="C11" s="91">
        <f>C10-C9</f>
        <v>-541504.94000000041</v>
      </c>
    </row>
    <row r="12" spans="1:3" x14ac:dyDescent="0.25">
      <c r="A12" s="88"/>
      <c r="B12" s="88"/>
      <c r="C12" s="88"/>
    </row>
    <row r="13" spans="1:3" x14ac:dyDescent="0.25">
      <c r="A13" s="88">
        <v>34</v>
      </c>
      <c r="B13" s="88" t="s">
        <v>100</v>
      </c>
      <c r="C13" s="89">
        <f>'Bourgeoisies Comptes 2022'!R32</f>
        <v>162623.04999999999</v>
      </c>
    </row>
    <row r="14" spans="1:3" x14ac:dyDescent="0.25">
      <c r="A14" s="88">
        <v>44</v>
      </c>
      <c r="B14" s="88" t="s">
        <v>161</v>
      </c>
      <c r="C14" s="89">
        <f>'Bourgeoisies Comptes 2022'!R106</f>
        <v>900182.71</v>
      </c>
    </row>
    <row r="15" spans="1:3" x14ac:dyDescent="0.25">
      <c r="A15" s="88"/>
      <c r="B15" s="90" t="s">
        <v>237</v>
      </c>
      <c r="C15" s="91">
        <f>C14-C13</f>
        <v>737559.65999999992</v>
      </c>
    </row>
    <row r="16" spans="1:3" x14ac:dyDescent="0.25">
      <c r="A16" s="88"/>
      <c r="B16" s="88"/>
      <c r="C16" s="88"/>
    </row>
    <row r="17" spans="1:3" x14ac:dyDescent="0.25">
      <c r="A17" s="88"/>
      <c r="B17" s="90" t="s">
        <v>205</v>
      </c>
      <c r="C17" s="91">
        <f>C11+C15</f>
        <v>196054.71999999951</v>
      </c>
    </row>
    <row r="18" spans="1:3" x14ac:dyDescent="0.25">
      <c r="A18" s="88"/>
      <c r="B18" s="88"/>
      <c r="C18" s="88"/>
    </row>
    <row r="19" spans="1:3" x14ac:dyDescent="0.25">
      <c r="A19" s="88">
        <v>38</v>
      </c>
      <c r="B19" s="88" t="s">
        <v>120</v>
      </c>
      <c r="C19" s="89">
        <f>'Bourgeoisies Comptes 2022'!R57</f>
        <v>58800</v>
      </c>
    </row>
    <row r="20" spans="1:3" x14ac:dyDescent="0.25">
      <c r="A20" s="88">
        <v>48</v>
      </c>
      <c r="B20" s="88" t="s">
        <v>180</v>
      </c>
      <c r="C20" s="89">
        <f>'Bourgeoisies Comptes 2022'!R132</f>
        <v>81900</v>
      </c>
    </row>
    <row r="21" spans="1:3" x14ac:dyDescent="0.25">
      <c r="A21" s="88"/>
      <c r="B21" s="90" t="s">
        <v>206</v>
      </c>
      <c r="C21" s="91">
        <f>C20-C19</f>
        <v>23100</v>
      </c>
    </row>
    <row r="22" spans="1:3" x14ac:dyDescent="0.25">
      <c r="A22" s="88"/>
      <c r="B22" s="88"/>
      <c r="C22" s="88"/>
    </row>
    <row r="23" spans="1:3" x14ac:dyDescent="0.25">
      <c r="A23" s="88"/>
      <c r="B23" s="90" t="s">
        <v>207</v>
      </c>
      <c r="C23" s="91">
        <f>C17+C21</f>
        <v>219154.71999999951</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F0"/>
  </sheetPr>
  <dimension ref="A2:C28"/>
  <sheetViews>
    <sheetView workbookViewId="0">
      <selection activeCell="B6" sqref="B6"/>
    </sheetView>
  </sheetViews>
  <sheetFormatPr baseColWidth="10" defaultColWidth="11.44140625" defaultRowHeight="13.8" x14ac:dyDescent="0.25"/>
  <cols>
    <col min="1" max="1" width="21.88671875" style="7" customWidth="1"/>
    <col min="2" max="2" width="40.44140625" style="7" customWidth="1"/>
    <col min="3" max="3" width="22.88671875" style="7" customWidth="1"/>
    <col min="4" max="16384" width="11.44140625" style="7"/>
  </cols>
  <sheetData>
    <row r="2" spans="1:3" ht="21" x14ac:dyDescent="0.4">
      <c r="A2" s="79" t="s">
        <v>825</v>
      </c>
    </row>
    <row r="5" spans="1:3" ht="14.4" thickBot="1" x14ac:dyDescent="0.3">
      <c r="B5" s="7" t="s">
        <v>743</v>
      </c>
    </row>
    <row r="6" spans="1:3" ht="14.4" thickBot="1" x14ac:dyDescent="0.3">
      <c r="B6" s="83" t="s">
        <v>740</v>
      </c>
    </row>
    <row r="8" spans="1:3" x14ac:dyDescent="0.25">
      <c r="A8" s="86" t="s">
        <v>199</v>
      </c>
      <c r="B8" s="86" t="s">
        <v>200</v>
      </c>
      <c r="C8" s="86" t="s">
        <v>201</v>
      </c>
    </row>
    <row r="9" spans="1:3" x14ac:dyDescent="0.25">
      <c r="A9" s="87" t="s">
        <v>208</v>
      </c>
      <c r="B9" s="88" t="s">
        <v>202</v>
      </c>
      <c r="C9" s="89">
        <f>HLOOKUP($B$6,'Bourgeoisies Comptes 2022'!$E$4:$R$169,162,0)</f>
        <v>390679.6</v>
      </c>
    </row>
    <row r="10" spans="1:3" x14ac:dyDescent="0.25">
      <c r="A10" s="87" t="s">
        <v>209</v>
      </c>
      <c r="B10" s="88" t="s">
        <v>203</v>
      </c>
      <c r="C10" s="89">
        <f>HLOOKUP($B$6,'Bourgeoisies Comptes 2022'!$E$4:$R$169,163,0)</f>
        <v>421701.79000000004</v>
      </c>
    </row>
    <row r="11" spans="1:3" x14ac:dyDescent="0.25">
      <c r="A11" s="88"/>
      <c r="B11" s="90" t="s">
        <v>204</v>
      </c>
      <c r="C11" s="91">
        <f>C10-C9</f>
        <v>31022.190000000061</v>
      </c>
    </row>
    <row r="12" spans="1:3" x14ac:dyDescent="0.25">
      <c r="A12" s="88"/>
      <c r="B12" s="88"/>
      <c r="C12" s="88"/>
    </row>
    <row r="13" spans="1:3" x14ac:dyDescent="0.25">
      <c r="A13" s="88">
        <v>34</v>
      </c>
      <c r="B13" s="88" t="s">
        <v>100</v>
      </c>
      <c r="C13" s="89">
        <f>HLOOKUP($B$6,'Bourgeoisies Comptes 2022'!$E$4:$R$169,29,0)</f>
        <v>6994.86</v>
      </c>
    </row>
    <row r="14" spans="1:3" x14ac:dyDescent="0.25">
      <c r="A14" s="88">
        <v>44</v>
      </c>
      <c r="B14" s="88" t="s">
        <v>161</v>
      </c>
      <c r="C14" s="89">
        <f>HLOOKUP($B$6,'Bourgeoisies Comptes 2022'!$E$4:$R$169,103,0)</f>
        <v>35327.699999999997</v>
      </c>
    </row>
    <row r="15" spans="1:3" x14ac:dyDescent="0.25">
      <c r="A15" s="88"/>
      <c r="B15" s="90" t="s">
        <v>237</v>
      </c>
      <c r="C15" s="91">
        <f>C14-C13</f>
        <v>28332.839999999997</v>
      </c>
    </row>
    <row r="16" spans="1:3" x14ac:dyDescent="0.25">
      <c r="A16" s="88"/>
      <c r="B16" s="88"/>
      <c r="C16" s="88"/>
    </row>
    <row r="17" spans="1:3" x14ac:dyDescent="0.25">
      <c r="A17" s="88"/>
      <c r="B17" s="90" t="s">
        <v>205</v>
      </c>
      <c r="C17" s="91">
        <f>C11+C15</f>
        <v>59355.030000000057</v>
      </c>
    </row>
    <row r="18" spans="1:3" x14ac:dyDescent="0.25">
      <c r="A18" s="88"/>
      <c r="B18" s="88"/>
      <c r="C18" s="88"/>
    </row>
    <row r="19" spans="1:3" x14ac:dyDescent="0.25">
      <c r="A19" s="88">
        <v>38</v>
      </c>
      <c r="B19" s="88" t="s">
        <v>120</v>
      </c>
      <c r="C19" s="89">
        <f>HLOOKUP($B$6,'Bourgeoisies Comptes 2022'!$E$4:$R$169,54,0)</f>
        <v>0</v>
      </c>
    </row>
    <row r="20" spans="1:3" x14ac:dyDescent="0.25">
      <c r="A20" s="88">
        <v>48</v>
      </c>
      <c r="B20" s="88" t="s">
        <v>180</v>
      </c>
      <c r="C20" s="89">
        <f>HLOOKUP($B$6,'Bourgeoisies Comptes 2022'!$E$4:$R$169,129,0)</f>
        <v>0</v>
      </c>
    </row>
    <row r="21" spans="1:3" x14ac:dyDescent="0.25">
      <c r="A21" s="88"/>
      <c r="B21" s="90" t="s">
        <v>206</v>
      </c>
      <c r="C21" s="91">
        <f>C20-C19</f>
        <v>0</v>
      </c>
    </row>
    <row r="22" spans="1:3" x14ac:dyDescent="0.25">
      <c r="A22" s="88"/>
      <c r="B22" s="88"/>
      <c r="C22" s="88"/>
    </row>
    <row r="23" spans="1:3" x14ac:dyDescent="0.25">
      <c r="A23" s="88"/>
      <c r="B23" s="90" t="s">
        <v>207</v>
      </c>
      <c r="C23" s="91">
        <f>C17+C21</f>
        <v>59355.030000000057</v>
      </c>
    </row>
    <row r="26" spans="1:3" x14ac:dyDescent="0.25">
      <c r="C26" s="15"/>
    </row>
    <row r="27" spans="1:3" x14ac:dyDescent="0.25">
      <c r="C27" s="12"/>
    </row>
    <row r="28" spans="1:3" x14ac:dyDescent="0.25">
      <c r="C28" s="15"/>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A00-000000000000}">
          <x14:formula1>
            <xm:f>'Bourgeoisies Comptes 2022'!$E$4:$R$4</xm:f>
          </x14:formula1>
          <xm:sqref>B6</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F0"/>
  </sheetPr>
  <dimension ref="A2:D24"/>
  <sheetViews>
    <sheetView workbookViewId="0">
      <selection activeCell="C4" sqref="C4"/>
    </sheetView>
  </sheetViews>
  <sheetFormatPr baseColWidth="10" defaultColWidth="11.44140625" defaultRowHeight="13.8" x14ac:dyDescent="0.25"/>
  <cols>
    <col min="1" max="1" width="11.44140625" style="7"/>
    <col min="2" max="2" width="4" style="7" customWidth="1"/>
    <col min="3" max="3" width="68.44140625" style="7" customWidth="1"/>
    <col min="4" max="4" width="22.88671875" style="7" customWidth="1"/>
    <col min="5" max="16384" width="11.44140625" style="7"/>
  </cols>
  <sheetData>
    <row r="2" spans="1:4" ht="21" x14ac:dyDescent="0.4">
      <c r="A2" s="79" t="s">
        <v>221</v>
      </c>
    </row>
    <row r="5" spans="1:4" x14ac:dyDescent="0.25">
      <c r="A5" s="6" t="s">
        <v>742</v>
      </c>
    </row>
    <row r="6" spans="1:4" x14ac:dyDescent="0.25">
      <c r="A6" s="6" t="s">
        <v>854</v>
      </c>
    </row>
    <row r="8" spans="1:4" x14ac:dyDescent="0.25">
      <c r="A8" s="86" t="s">
        <v>222</v>
      </c>
      <c r="B8" s="86"/>
      <c r="C8" s="86" t="s">
        <v>200</v>
      </c>
      <c r="D8" s="86" t="s">
        <v>201</v>
      </c>
    </row>
    <row r="9" spans="1:4" x14ac:dyDescent="0.25">
      <c r="A9" s="88">
        <v>90</v>
      </c>
      <c r="B9" s="92"/>
      <c r="C9" s="88" t="s">
        <v>784</v>
      </c>
      <c r="D9" s="89">
        <f>'Bourgeoisies Comptes 2022'!R154</f>
        <v>194291.61999999997</v>
      </c>
    </row>
    <row r="10" spans="1:4" x14ac:dyDescent="0.25">
      <c r="A10" s="88">
        <v>33</v>
      </c>
      <c r="B10" s="92" t="s">
        <v>224</v>
      </c>
      <c r="C10" s="88" t="s">
        <v>97</v>
      </c>
      <c r="D10" s="89">
        <f>'Bourgeoisies Comptes 2022'!R28</f>
        <v>182551.8</v>
      </c>
    </row>
    <row r="11" spans="1:4" x14ac:dyDescent="0.25">
      <c r="A11" s="88">
        <v>35</v>
      </c>
      <c r="B11" s="92" t="s">
        <v>224</v>
      </c>
      <c r="C11" s="88" t="s">
        <v>226</v>
      </c>
      <c r="D11" s="89">
        <f>'Bourgeoisies Comptes 2022'!R40</f>
        <v>45929.83</v>
      </c>
    </row>
    <row r="12" spans="1:4" x14ac:dyDescent="0.25">
      <c r="A12" s="88">
        <v>45</v>
      </c>
      <c r="B12" s="92" t="s">
        <v>225</v>
      </c>
      <c r="C12" s="88" t="s">
        <v>173</v>
      </c>
      <c r="D12" s="89">
        <f>'Bourgeoisies Comptes 2022'!R118</f>
        <v>28401.4</v>
      </c>
    </row>
    <row r="13" spans="1:4" x14ac:dyDescent="0.25">
      <c r="A13" s="88">
        <v>364</v>
      </c>
      <c r="B13" s="92" t="s">
        <v>224</v>
      </c>
      <c r="C13" s="88" t="s">
        <v>233</v>
      </c>
      <c r="D13" s="89">
        <f>'Bourgeoisies Comptes 2022'!R49</f>
        <v>0</v>
      </c>
    </row>
    <row r="14" spans="1:4" x14ac:dyDescent="0.25">
      <c r="A14" s="88">
        <v>365</v>
      </c>
      <c r="B14" s="92" t="s">
        <v>224</v>
      </c>
      <c r="C14" s="88" t="s">
        <v>234</v>
      </c>
      <c r="D14" s="89">
        <f>'Bourgeoisies Comptes 2022'!R50</f>
        <v>0</v>
      </c>
    </row>
    <row r="15" spans="1:4" x14ac:dyDescent="0.25">
      <c r="A15" s="88">
        <v>366</v>
      </c>
      <c r="B15" s="92" t="s">
        <v>224</v>
      </c>
      <c r="C15" s="88" t="s">
        <v>231</v>
      </c>
      <c r="D15" s="89">
        <f>'Bourgeoisies Comptes 2022'!R51</f>
        <v>0</v>
      </c>
    </row>
    <row r="16" spans="1:4" x14ac:dyDescent="0.25">
      <c r="A16" s="88">
        <v>389</v>
      </c>
      <c r="B16" s="92" t="s">
        <v>224</v>
      </c>
      <c r="C16" s="88" t="s">
        <v>227</v>
      </c>
      <c r="D16" s="89">
        <f>'Bourgeoisies Comptes 2022'!R63</f>
        <v>58800</v>
      </c>
    </row>
    <row r="17" spans="1:4" x14ac:dyDescent="0.25">
      <c r="A17" s="88">
        <v>4490</v>
      </c>
      <c r="B17" s="92" t="s">
        <v>225</v>
      </c>
      <c r="C17" s="88" t="s">
        <v>235</v>
      </c>
      <c r="D17" s="89">
        <f>'Bourgeoisies Comptes 2022'!R116</f>
        <v>0</v>
      </c>
    </row>
    <row r="18" spans="1:4" x14ac:dyDescent="0.25">
      <c r="A18" s="88">
        <v>489</v>
      </c>
      <c r="B18" s="92" t="s">
        <v>225</v>
      </c>
      <c r="C18" s="88" t="s">
        <v>232</v>
      </c>
      <c r="D18" s="89">
        <f>'Bourgeoisies Comptes 2022'!R139</f>
        <v>20</v>
      </c>
    </row>
    <row r="19" spans="1:4" x14ac:dyDescent="0.25">
      <c r="A19" s="88"/>
      <c r="B19" s="92"/>
      <c r="C19" s="88"/>
      <c r="D19" s="89"/>
    </row>
    <row r="20" spans="1:4" x14ac:dyDescent="0.25">
      <c r="A20" s="93"/>
      <c r="B20" s="93"/>
      <c r="C20" s="90" t="s">
        <v>228</v>
      </c>
      <c r="D20" s="91">
        <f>D9+D10+D11-D12+D13+D14+D15+D16-D17-D18</f>
        <v>453151.84999999992</v>
      </c>
    </row>
    <row r="21" spans="1:4" x14ac:dyDescent="0.25">
      <c r="A21" s="88"/>
      <c r="B21" s="88"/>
      <c r="C21" s="88"/>
      <c r="D21" s="89"/>
    </row>
    <row r="22" spans="1:4" x14ac:dyDescent="0.25">
      <c r="A22" s="88" t="s">
        <v>223</v>
      </c>
      <c r="B22" s="94" t="s">
        <v>225</v>
      </c>
      <c r="C22" s="88" t="s">
        <v>229</v>
      </c>
      <c r="D22" s="89">
        <f>'Bourgeoisie investissement'!R183</f>
        <v>134798.9</v>
      </c>
    </row>
    <row r="23" spans="1:4" x14ac:dyDescent="0.25">
      <c r="A23" s="88"/>
      <c r="B23" s="88"/>
      <c r="C23" s="88"/>
      <c r="D23" s="89"/>
    </row>
    <row r="24" spans="1:4" x14ac:dyDescent="0.25">
      <c r="A24" s="93"/>
      <c r="B24" s="93"/>
      <c r="C24" s="90" t="s">
        <v>230</v>
      </c>
      <c r="D24" s="91">
        <f>D20-D22</f>
        <v>318352.94999999995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F0"/>
    <pageSetUpPr fitToPage="1"/>
  </sheetPr>
  <dimension ref="A2:E24"/>
  <sheetViews>
    <sheetView workbookViewId="0">
      <selection activeCell="B6" sqref="B6:D6"/>
    </sheetView>
  </sheetViews>
  <sheetFormatPr baseColWidth="10" defaultColWidth="11.44140625" defaultRowHeight="13.8" x14ac:dyDescent="0.25"/>
  <cols>
    <col min="1" max="2" width="11.44140625" style="7"/>
    <col min="3" max="3" width="6" style="7" customWidth="1"/>
    <col min="4" max="4" width="65" style="7" customWidth="1"/>
    <col min="5" max="5" width="16.88671875" style="7" customWidth="1"/>
    <col min="6" max="16384" width="11.44140625" style="7"/>
  </cols>
  <sheetData>
    <row r="2" spans="1:5" ht="21" x14ac:dyDescent="0.4">
      <c r="A2" s="79" t="s">
        <v>785</v>
      </c>
    </row>
    <row r="5" spans="1:5" ht="14.4" thickBot="1" x14ac:dyDescent="0.3">
      <c r="B5" s="7" t="s">
        <v>743</v>
      </c>
    </row>
    <row r="6" spans="1:5" ht="14.4" thickBot="1" x14ac:dyDescent="0.3">
      <c r="B6" s="184" t="s">
        <v>740</v>
      </c>
      <c r="C6" s="185"/>
      <c r="D6" s="186"/>
    </row>
    <row r="8" spans="1:5" x14ac:dyDescent="0.25">
      <c r="B8" s="86" t="s">
        <v>222</v>
      </c>
      <c r="C8" s="86"/>
      <c r="D8" s="86" t="s">
        <v>200</v>
      </c>
      <c r="E8" s="86" t="s">
        <v>201</v>
      </c>
    </row>
    <row r="9" spans="1:5" x14ac:dyDescent="0.25">
      <c r="B9" s="88">
        <v>90</v>
      </c>
      <c r="C9" s="92"/>
      <c r="D9" s="88" t="s">
        <v>784</v>
      </c>
      <c r="E9" s="89">
        <f>HLOOKUP($B$6,'Bourgeoisies Comptes 2022'!$E$4:$R$168,151,0)</f>
        <v>59355.03</v>
      </c>
    </row>
    <row r="10" spans="1:5" x14ac:dyDescent="0.25">
      <c r="B10" s="88">
        <v>33</v>
      </c>
      <c r="C10" s="92" t="s">
        <v>224</v>
      </c>
      <c r="D10" s="88" t="s">
        <v>97</v>
      </c>
      <c r="E10" s="89">
        <f>HLOOKUP($B$6,'Bourgeoisies Comptes 2022'!$E$4:$R$168,25,0)</f>
        <v>0</v>
      </c>
    </row>
    <row r="11" spans="1:5" x14ac:dyDescent="0.25">
      <c r="B11" s="88">
        <v>35</v>
      </c>
      <c r="C11" s="92" t="s">
        <v>224</v>
      </c>
      <c r="D11" s="88" t="s">
        <v>226</v>
      </c>
      <c r="E11" s="89">
        <f>HLOOKUP($B$6,'Bourgeoisies Comptes 2022'!$E$4:$R$168,37,0)</f>
        <v>0</v>
      </c>
    </row>
    <row r="12" spans="1:5" x14ac:dyDescent="0.25">
      <c r="B12" s="88">
        <v>45</v>
      </c>
      <c r="C12" s="92" t="s">
        <v>225</v>
      </c>
      <c r="D12" s="88" t="s">
        <v>173</v>
      </c>
      <c r="E12" s="89">
        <f>HLOOKUP($B$6,'Bourgeoisies Comptes 2022'!$E$4:$R$168,115,0)</f>
        <v>0</v>
      </c>
    </row>
    <row r="13" spans="1:5" x14ac:dyDescent="0.25">
      <c r="B13" s="88">
        <v>364</v>
      </c>
      <c r="C13" s="92" t="s">
        <v>224</v>
      </c>
      <c r="D13" s="88" t="s">
        <v>233</v>
      </c>
      <c r="E13" s="89">
        <f>HLOOKUP($B$6,'Bourgeoisies Comptes 2022'!$E$4:$R$168,46,0)</f>
        <v>0</v>
      </c>
    </row>
    <row r="14" spans="1:5" x14ac:dyDescent="0.25">
      <c r="B14" s="88">
        <v>365</v>
      </c>
      <c r="C14" s="92" t="s">
        <v>224</v>
      </c>
      <c r="D14" s="88" t="s">
        <v>234</v>
      </c>
      <c r="E14" s="89">
        <f>HLOOKUP($B$6,'Bourgeoisies Comptes 2022'!$E$4:$R$168,47,0)</f>
        <v>0</v>
      </c>
    </row>
    <row r="15" spans="1:5" x14ac:dyDescent="0.25">
      <c r="B15" s="88">
        <v>366</v>
      </c>
      <c r="C15" s="92" t="s">
        <v>224</v>
      </c>
      <c r="D15" s="88" t="s">
        <v>231</v>
      </c>
      <c r="E15" s="89">
        <f>HLOOKUP($B$6,'Bourgeoisies Comptes 2022'!$E$4:$R$168,48,0)</f>
        <v>0</v>
      </c>
    </row>
    <row r="16" spans="1:5" x14ac:dyDescent="0.25">
      <c r="B16" s="88">
        <v>389</v>
      </c>
      <c r="C16" s="92" t="s">
        <v>224</v>
      </c>
      <c r="D16" s="88" t="s">
        <v>227</v>
      </c>
      <c r="E16" s="89">
        <f>HLOOKUP($B$6,'Bourgeoisies Comptes 2022'!$E$4:$R$168,60,0)</f>
        <v>0</v>
      </c>
    </row>
    <row r="17" spans="2:5" x14ac:dyDescent="0.25">
      <c r="B17" s="88">
        <v>4490</v>
      </c>
      <c r="C17" s="92" t="s">
        <v>225</v>
      </c>
      <c r="D17" s="88" t="s">
        <v>235</v>
      </c>
      <c r="E17" s="89">
        <f>HLOOKUP($B$6,'Bourgeoisies Comptes 2022'!$E$4:$R$168,113,0)</f>
        <v>0</v>
      </c>
    </row>
    <row r="18" spans="2:5" x14ac:dyDescent="0.25">
      <c r="B18" s="88">
        <v>489</v>
      </c>
      <c r="C18" s="92" t="s">
        <v>225</v>
      </c>
      <c r="D18" s="88" t="s">
        <v>232</v>
      </c>
      <c r="E18" s="89">
        <f>HLOOKUP($B$6,'Bourgeoisies Comptes 2022'!$E$4:$R$168,136,0)</f>
        <v>0</v>
      </c>
    </row>
    <row r="19" spans="2:5" x14ac:dyDescent="0.25">
      <c r="B19" s="88"/>
      <c r="C19" s="92"/>
      <c r="D19" s="88"/>
      <c r="E19" s="89"/>
    </row>
    <row r="20" spans="2:5" x14ac:dyDescent="0.25">
      <c r="B20" s="93"/>
      <c r="C20" s="93"/>
      <c r="D20" s="90" t="s">
        <v>228</v>
      </c>
      <c r="E20" s="91">
        <f>E9+E10+E11-E12+E13+E14+E15+E16-E17-E18</f>
        <v>59355.03</v>
      </c>
    </row>
    <row r="21" spans="2:5" x14ac:dyDescent="0.25">
      <c r="B21" s="88"/>
      <c r="C21" s="88"/>
      <c r="D21" s="88"/>
      <c r="E21" s="89"/>
    </row>
    <row r="22" spans="2:5" x14ac:dyDescent="0.25">
      <c r="B22" s="88" t="s">
        <v>223</v>
      </c>
      <c r="C22" s="94" t="s">
        <v>225</v>
      </c>
      <c r="D22" s="88" t="s">
        <v>229</v>
      </c>
      <c r="E22" s="89">
        <f>HLOOKUP($B$6,'Bourgeoisie investissement'!$E$4:$R$184,180,0)</f>
        <v>0</v>
      </c>
    </row>
    <row r="23" spans="2:5" x14ac:dyDescent="0.25">
      <c r="B23" s="88"/>
      <c r="C23" s="88"/>
      <c r="D23" s="88"/>
      <c r="E23" s="89"/>
    </row>
    <row r="24" spans="2:5" x14ac:dyDescent="0.25">
      <c r="B24" s="93"/>
      <c r="C24" s="93"/>
      <c r="D24" s="90" t="s">
        <v>230</v>
      </c>
      <c r="E24" s="91">
        <f>E20-E22</f>
        <v>59355.03</v>
      </c>
    </row>
  </sheetData>
  <mergeCells count="1">
    <mergeCell ref="B6:D6"/>
  </mergeCells>
  <pageMargins left="0.25" right="0.25" top="0.75" bottom="0.75" header="0.3" footer="0.3"/>
  <pageSetup paperSize="9" scale="8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C00-000000000000}">
          <x14:formula1>
            <xm:f>'Bourgeoisies Comptes 2022'!$E$4:$R$4</xm:f>
          </x14:formula1>
          <xm:sqref>B6</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F0"/>
  </sheetPr>
  <dimension ref="A2:T226"/>
  <sheetViews>
    <sheetView zoomScaleNormal="100" workbookViewId="0">
      <pane xSplit="5" ySplit="4" topLeftCell="R201" activePane="bottomRight" state="frozen"/>
      <selection pane="topRight" activeCell="F1" sqref="F1"/>
      <selection pane="bottomLeft" activeCell="A4" sqref="A4"/>
      <selection pane="bottomRight" activeCell="R219" sqref="R219"/>
    </sheetView>
  </sheetViews>
  <sheetFormatPr baseColWidth="10" defaultColWidth="11.44140625" defaultRowHeight="13.8" x14ac:dyDescent="0.25"/>
  <cols>
    <col min="1" max="3" width="4.6640625" style="7" customWidth="1"/>
    <col min="4" max="4" width="9" style="7" customWidth="1"/>
    <col min="5" max="5" width="74" style="7" customWidth="1"/>
    <col min="6" max="17" width="16.33203125" style="7" customWidth="1"/>
    <col min="18" max="18" width="18.109375" style="7" customWidth="1"/>
    <col min="19" max="19" width="16.33203125" style="7" customWidth="1"/>
    <col min="20" max="16384" width="11.44140625" style="7"/>
  </cols>
  <sheetData>
    <row r="2" spans="1:20" ht="21" x14ac:dyDescent="0.4">
      <c r="A2" s="79" t="s">
        <v>824</v>
      </c>
      <c r="B2" s="6"/>
      <c r="C2" s="6"/>
      <c r="D2" s="6"/>
      <c r="E2" s="6"/>
    </row>
    <row r="3" spans="1:20" ht="17.399999999999999" x14ac:dyDescent="0.3">
      <c r="A3" s="136" t="s">
        <v>731</v>
      </c>
      <c r="F3" s="8">
        <v>1</v>
      </c>
      <c r="G3" s="8">
        <v>2</v>
      </c>
      <c r="H3" s="8">
        <v>3</v>
      </c>
      <c r="I3" s="8">
        <v>4</v>
      </c>
      <c r="J3" s="8">
        <v>5</v>
      </c>
      <c r="K3" s="8">
        <v>6</v>
      </c>
      <c r="L3" s="8">
        <v>7</v>
      </c>
      <c r="M3" s="8">
        <v>8</v>
      </c>
      <c r="N3" s="8">
        <v>9</v>
      </c>
      <c r="O3" s="8">
        <v>10</v>
      </c>
      <c r="P3" s="8">
        <v>11</v>
      </c>
      <c r="Q3" s="8">
        <v>12</v>
      </c>
      <c r="R3" s="8">
        <v>13</v>
      </c>
      <c r="S3" s="8"/>
    </row>
    <row r="4" spans="1:20" x14ac:dyDescent="0.25">
      <c r="F4" s="81" t="s">
        <v>56</v>
      </c>
      <c r="G4" s="81" t="s">
        <v>18</v>
      </c>
      <c r="H4" s="81" t="s">
        <v>57</v>
      </c>
      <c r="I4" s="81" t="s">
        <v>735</v>
      </c>
      <c r="J4" s="81" t="s">
        <v>33</v>
      </c>
      <c r="K4" s="81" t="s">
        <v>28</v>
      </c>
      <c r="L4" s="81" t="s">
        <v>736</v>
      </c>
      <c r="M4" s="81" t="s">
        <v>16</v>
      </c>
      <c r="N4" s="81" t="s">
        <v>737</v>
      </c>
      <c r="O4" s="81" t="s">
        <v>738</v>
      </c>
      <c r="P4" s="81" t="s">
        <v>59</v>
      </c>
      <c r="Q4" s="81" t="s">
        <v>739</v>
      </c>
      <c r="R4" s="81" t="s">
        <v>740</v>
      </c>
      <c r="S4" s="81" t="s">
        <v>65</v>
      </c>
    </row>
    <row r="5" spans="1:20" ht="21" x14ac:dyDescent="0.4">
      <c r="A5" s="102">
        <v>1</v>
      </c>
      <c r="B5" s="102"/>
      <c r="C5" s="102"/>
      <c r="D5" s="102"/>
      <c r="E5" s="102" t="s">
        <v>238</v>
      </c>
      <c r="F5" s="103">
        <f>F7+F15+F25+F31+F41+F48+F54+F62+F69+F80+F86+F97+F108</f>
        <v>10676263.449999999</v>
      </c>
      <c r="G5" s="103">
        <f t="shared" ref="G5:R5" si="0">G7+G15+G25+G31+G41+G48+G54+G62+G69+G80+G86+G97+G108</f>
        <v>854791.22</v>
      </c>
      <c r="H5" s="103">
        <f t="shared" si="0"/>
        <v>1061993.8699999999</v>
      </c>
      <c r="I5" s="103">
        <f t="shared" si="0"/>
        <v>874707.1399999999</v>
      </c>
      <c r="J5" s="103">
        <f t="shared" si="0"/>
        <v>2806191.33</v>
      </c>
      <c r="K5" s="103">
        <f t="shared" si="0"/>
        <v>0</v>
      </c>
      <c r="L5" s="103">
        <f t="shared" si="0"/>
        <v>1130873.72</v>
      </c>
      <c r="M5" s="103">
        <f t="shared" si="0"/>
        <v>1788939.24</v>
      </c>
      <c r="N5" s="103">
        <f t="shared" si="0"/>
        <v>0</v>
      </c>
      <c r="O5" s="103">
        <f t="shared" si="0"/>
        <v>576444.63</v>
      </c>
      <c r="P5" s="103">
        <f t="shared" si="0"/>
        <v>2658913.96</v>
      </c>
      <c r="Q5" s="103">
        <f t="shared" si="0"/>
        <v>1923199.36</v>
      </c>
      <c r="R5" s="103">
        <f t="shared" si="0"/>
        <v>2536130.92</v>
      </c>
      <c r="S5" s="103">
        <f t="shared" ref="S5:S13" si="1">SUM(F5:R5)</f>
        <v>26888448.839999996</v>
      </c>
      <c r="T5" s="7">
        <v>2</v>
      </c>
    </row>
    <row r="6" spans="1:20" x14ac:dyDescent="0.25">
      <c r="A6" s="6"/>
      <c r="B6" s="104">
        <v>10</v>
      </c>
      <c r="C6" s="104"/>
      <c r="D6" s="104"/>
      <c r="E6" s="104" t="s">
        <v>239</v>
      </c>
      <c r="F6" s="105">
        <f>F7+F15+F25+F31+F41+F48+F54+F62</f>
        <v>8418060.4499999993</v>
      </c>
      <c r="G6" s="105">
        <f t="shared" ref="G6:R6" si="2">G7+G15+G25+G31+G41+G48+G54+G62</f>
        <v>96768.22</v>
      </c>
      <c r="H6" s="105">
        <f t="shared" si="2"/>
        <v>437745.91999999998</v>
      </c>
      <c r="I6" s="105">
        <f t="shared" si="2"/>
        <v>302938.13999999996</v>
      </c>
      <c r="J6" s="105">
        <f t="shared" si="2"/>
        <v>1313491.53</v>
      </c>
      <c r="K6" s="105">
        <f t="shared" si="2"/>
        <v>0</v>
      </c>
      <c r="L6" s="105">
        <f t="shared" si="2"/>
        <v>481303.72000000003</v>
      </c>
      <c r="M6" s="105">
        <f t="shared" si="2"/>
        <v>1788939.24</v>
      </c>
      <c r="N6" s="105">
        <f t="shared" si="2"/>
        <v>0</v>
      </c>
      <c r="O6" s="105">
        <f t="shared" si="2"/>
        <v>306734.63</v>
      </c>
      <c r="P6" s="105">
        <f t="shared" si="2"/>
        <v>1400029.81</v>
      </c>
      <c r="Q6" s="105">
        <f t="shared" si="2"/>
        <v>899639.31</v>
      </c>
      <c r="R6" s="105">
        <f t="shared" si="2"/>
        <v>1013324.9199999999</v>
      </c>
      <c r="S6" s="105">
        <f t="shared" si="1"/>
        <v>16458975.890000002</v>
      </c>
      <c r="T6" s="7">
        <v>3</v>
      </c>
    </row>
    <row r="7" spans="1:20" x14ac:dyDescent="0.25">
      <c r="C7" s="76">
        <v>100</v>
      </c>
      <c r="D7" s="76"/>
      <c r="E7" s="76" t="s">
        <v>240</v>
      </c>
      <c r="F7" s="96">
        <f>F8+F9+F10+F11+F12+F13</f>
        <v>1432897</v>
      </c>
      <c r="G7" s="96">
        <f t="shared" ref="G7:R7" si="3">G8+G9+G10+G11+G12+G13</f>
        <v>59210.28</v>
      </c>
      <c r="H7" s="96">
        <f t="shared" si="3"/>
        <v>132431</v>
      </c>
      <c r="I7" s="96">
        <f t="shared" si="3"/>
        <v>289524.03999999998</v>
      </c>
      <c r="J7" s="96">
        <f t="shared" si="3"/>
        <v>739269.08000000007</v>
      </c>
      <c r="K7" s="96">
        <f t="shared" si="3"/>
        <v>0</v>
      </c>
      <c r="L7" s="96">
        <f t="shared" si="3"/>
        <v>244707.52000000002</v>
      </c>
      <c r="M7" s="96">
        <f t="shared" si="3"/>
        <v>1725187.48</v>
      </c>
      <c r="N7" s="96">
        <f t="shared" si="3"/>
        <v>0</v>
      </c>
      <c r="O7" s="96">
        <f t="shared" si="3"/>
        <v>288982.63</v>
      </c>
      <c r="P7" s="96">
        <f t="shared" si="3"/>
        <v>769192.2</v>
      </c>
      <c r="Q7" s="96">
        <f t="shared" si="3"/>
        <v>172899.26</v>
      </c>
      <c r="R7" s="96">
        <f t="shared" si="3"/>
        <v>353556.85</v>
      </c>
      <c r="S7" s="96">
        <f t="shared" si="1"/>
        <v>6207857.3399999999</v>
      </c>
      <c r="T7" s="7">
        <v>4</v>
      </c>
    </row>
    <row r="8" spans="1:20" x14ac:dyDescent="0.25">
      <c r="D8" s="7">
        <v>1000</v>
      </c>
      <c r="E8" s="7" t="s">
        <v>310</v>
      </c>
      <c r="F8" s="12">
        <v>3477.45</v>
      </c>
      <c r="G8" s="12">
        <v>678.15</v>
      </c>
      <c r="H8" s="12">
        <v>463.17</v>
      </c>
      <c r="I8" s="12">
        <v>356</v>
      </c>
      <c r="J8" s="12">
        <v>1020.2</v>
      </c>
      <c r="K8" s="12"/>
      <c r="L8" s="12">
        <v>0</v>
      </c>
      <c r="M8" s="12">
        <v>48.95</v>
      </c>
      <c r="N8" s="12"/>
      <c r="O8" s="12">
        <v>1065.7</v>
      </c>
      <c r="P8" s="12">
        <v>534.5</v>
      </c>
      <c r="Q8" s="12">
        <v>2281.9499999999998</v>
      </c>
      <c r="R8" s="12">
        <v>0</v>
      </c>
      <c r="S8" s="75">
        <f t="shared" si="1"/>
        <v>9926.07</v>
      </c>
      <c r="T8" s="7">
        <v>5</v>
      </c>
    </row>
    <row r="9" spans="1:20" x14ac:dyDescent="0.25">
      <c r="D9" s="7">
        <v>1001</v>
      </c>
      <c r="E9" s="7" t="s">
        <v>311</v>
      </c>
      <c r="F9" s="12">
        <v>1259.71</v>
      </c>
      <c r="G9" s="12">
        <v>0</v>
      </c>
      <c r="H9" s="12">
        <v>37366.639999999999</v>
      </c>
      <c r="I9" s="12">
        <v>0</v>
      </c>
      <c r="J9" s="12">
        <v>54766.61</v>
      </c>
      <c r="K9" s="12"/>
      <c r="L9" s="12">
        <v>203517.82</v>
      </c>
      <c r="M9" s="12">
        <v>51318.44</v>
      </c>
      <c r="N9" s="12"/>
      <c r="O9" s="12">
        <v>84813.06</v>
      </c>
      <c r="P9" s="12">
        <v>0</v>
      </c>
      <c r="Q9" s="12">
        <v>2638.84</v>
      </c>
      <c r="R9" s="12">
        <v>0</v>
      </c>
      <c r="S9" s="75">
        <f t="shared" si="1"/>
        <v>435681.12000000005</v>
      </c>
      <c r="T9" s="7">
        <v>6</v>
      </c>
    </row>
    <row r="10" spans="1:20" x14ac:dyDescent="0.25">
      <c r="D10" s="7">
        <v>1002</v>
      </c>
      <c r="E10" s="7" t="s">
        <v>319</v>
      </c>
      <c r="F10" s="12">
        <v>1424377.59</v>
      </c>
      <c r="G10" s="12">
        <v>58532.13</v>
      </c>
      <c r="H10" s="12">
        <v>94601.19</v>
      </c>
      <c r="I10" s="12">
        <v>289168.03999999998</v>
      </c>
      <c r="J10" s="12">
        <v>613273.47</v>
      </c>
      <c r="K10" s="12"/>
      <c r="L10" s="12">
        <v>32132.45</v>
      </c>
      <c r="M10" s="12">
        <v>548373.1</v>
      </c>
      <c r="N10" s="12"/>
      <c r="O10" s="12">
        <v>203103.87</v>
      </c>
      <c r="P10" s="12">
        <v>768657.7</v>
      </c>
      <c r="Q10" s="12">
        <v>167978.47</v>
      </c>
      <c r="R10" s="12">
        <v>353556.85</v>
      </c>
      <c r="S10" s="75">
        <f t="shared" si="1"/>
        <v>4553754.8599999994</v>
      </c>
      <c r="T10" s="7">
        <v>7</v>
      </c>
    </row>
    <row r="11" spans="1:20" x14ac:dyDescent="0.25">
      <c r="D11" s="7">
        <v>1003</v>
      </c>
      <c r="E11" s="7" t="s">
        <v>312</v>
      </c>
      <c r="F11" s="12">
        <v>0</v>
      </c>
      <c r="G11" s="12">
        <v>0</v>
      </c>
      <c r="H11" s="12">
        <v>0</v>
      </c>
      <c r="I11" s="12">
        <v>0</v>
      </c>
      <c r="J11" s="12">
        <v>70208.800000000003</v>
      </c>
      <c r="K11" s="12"/>
      <c r="L11" s="12">
        <v>0</v>
      </c>
      <c r="M11" s="12">
        <v>1125446.99</v>
      </c>
      <c r="N11" s="12"/>
      <c r="O11" s="12">
        <v>0</v>
      </c>
      <c r="P11" s="12">
        <v>0</v>
      </c>
      <c r="Q11" s="12">
        <v>0</v>
      </c>
      <c r="R11" s="12">
        <v>0</v>
      </c>
      <c r="S11" s="75">
        <f t="shared" si="1"/>
        <v>1195655.79</v>
      </c>
      <c r="T11" s="7">
        <v>8</v>
      </c>
    </row>
    <row r="12" spans="1:20" x14ac:dyDescent="0.25">
      <c r="D12" s="7">
        <v>1004</v>
      </c>
      <c r="E12" s="7" t="s">
        <v>313</v>
      </c>
      <c r="F12" s="12">
        <v>3782.25</v>
      </c>
      <c r="G12" s="12">
        <v>0</v>
      </c>
      <c r="H12" s="12">
        <v>0</v>
      </c>
      <c r="I12" s="12">
        <v>0</v>
      </c>
      <c r="J12" s="12">
        <v>0</v>
      </c>
      <c r="K12" s="12"/>
      <c r="L12" s="12">
        <v>0</v>
      </c>
      <c r="M12" s="12">
        <v>0</v>
      </c>
      <c r="N12" s="12"/>
      <c r="O12" s="12">
        <v>0</v>
      </c>
      <c r="P12" s="12">
        <v>0</v>
      </c>
      <c r="Q12" s="12">
        <v>0</v>
      </c>
      <c r="R12" s="12">
        <v>0</v>
      </c>
      <c r="S12" s="75">
        <f t="shared" si="1"/>
        <v>3782.25</v>
      </c>
      <c r="T12" s="7">
        <v>9</v>
      </c>
    </row>
    <row r="13" spans="1:20" x14ac:dyDescent="0.25">
      <c r="D13" s="7">
        <v>1009</v>
      </c>
      <c r="E13" s="7" t="s">
        <v>314</v>
      </c>
      <c r="F13" s="12">
        <v>0</v>
      </c>
      <c r="G13" s="12">
        <v>0</v>
      </c>
      <c r="H13" s="12">
        <v>0</v>
      </c>
      <c r="I13" s="12">
        <v>0</v>
      </c>
      <c r="J13" s="12">
        <v>0</v>
      </c>
      <c r="K13" s="12"/>
      <c r="L13" s="12">
        <v>9057.25</v>
      </c>
      <c r="M13" s="12">
        <v>0</v>
      </c>
      <c r="N13" s="12"/>
      <c r="O13" s="12">
        <v>0</v>
      </c>
      <c r="P13" s="12">
        <v>0</v>
      </c>
      <c r="Q13" s="12">
        <v>0</v>
      </c>
      <c r="R13" s="12">
        <v>0</v>
      </c>
      <c r="S13" s="75">
        <f t="shared" si="1"/>
        <v>9057.25</v>
      </c>
      <c r="T13" s="7">
        <v>10</v>
      </c>
    </row>
    <row r="14" spans="1:20" x14ac:dyDescent="0.25">
      <c r="F14" s="12"/>
      <c r="G14" s="12"/>
      <c r="H14" s="12"/>
      <c r="I14" s="12"/>
      <c r="J14" s="12"/>
      <c r="K14" s="12"/>
      <c r="L14" s="12"/>
      <c r="M14" s="12"/>
      <c r="N14" s="12"/>
      <c r="O14" s="12"/>
      <c r="P14" s="12"/>
      <c r="Q14" s="12"/>
      <c r="R14" s="12"/>
      <c r="S14" s="75"/>
      <c r="T14" s="7">
        <v>11</v>
      </c>
    </row>
    <row r="15" spans="1:20" x14ac:dyDescent="0.25">
      <c r="C15" s="76">
        <v>101</v>
      </c>
      <c r="D15" s="76"/>
      <c r="E15" s="76" t="s">
        <v>241</v>
      </c>
      <c r="F15" s="96">
        <f>F16+F17+F18+F19+F20+F21+F22+F23</f>
        <v>50551.5</v>
      </c>
      <c r="G15" s="96">
        <f t="shared" ref="G15:R15" si="4">G16+G17+G18+G19+G20+G21+G22+G23</f>
        <v>-0.06</v>
      </c>
      <c r="H15" s="96">
        <f t="shared" si="4"/>
        <v>3.5</v>
      </c>
      <c r="I15" s="96">
        <f t="shared" si="4"/>
        <v>13267.1</v>
      </c>
      <c r="J15" s="96">
        <f t="shared" si="4"/>
        <v>19662.45</v>
      </c>
      <c r="K15" s="96">
        <f t="shared" si="4"/>
        <v>0</v>
      </c>
      <c r="L15" s="96">
        <f t="shared" si="4"/>
        <v>7200</v>
      </c>
      <c r="M15" s="96">
        <f t="shared" si="4"/>
        <v>937.56</v>
      </c>
      <c r="N15" s="96">
        <f t="shared" si="4"/>
        <v>0</v>
      </c>
      <c r="O15" s="96">
        <f t="shared" si="4"/>
        <v>0</v>
      </c>
      <c r="P15" s="96">
        <f t="shared" si="4"/>
        <v>0.31</v>
      </c>
      <c r="Q15" s="96">
        <f t="shared" si="4"/>
        <v>0</v>
      </c>
      <c r="R15" s="96">
        <f t="shared" si="4"/>
        <v>1284.05</v>
      </c>
      <c r="S15" s="96">
        <f t="shared" ref="S15:S23" si="5">SUM(F15:R15)</f>
        <v>92906.41</v>
      </c>
      <c r="T15" s="7">
        <v>12</v>
      </c>
    </row>
    <row r="16" spans="1:20" x14ac:dyDescent="0.25">
      <c r="D16" s="7">
        <v>1010</v>
      </c>
      <c r="E16" s="7" t="s">
        <v>315</v>
      </c>
      <c r="F16" s="12">
        <v>50478</v>
      </c>
      <c r="G16" s="12">
        <v>0</v>
      </c>
      <c r="H16" s="12">
        <v>0</v>
      </c>
      <c r="I16" s="12">
        <v>0</v>
      </c>
      <c r="J16" s="12">
        <v>19662.45</v>
      </c>
      <c r="K16" s="12"/>
      <c r="L16" s="12">
        <v>0</v>
      </c>
      <c r="M16" s="12">
        <v>937.56</v>
      </c>
      <c r="N16" s="12"/>
      <c r="O16" s="12">
        <v>0</v>
      </c>
      <c r="P16" s="12">
        <v>0.31</v>
      </c>
      <c r="Q16" s="12">
        <v>0</v>
      </c>
      <c r="R16" s="12">
        <v>1284.05</v>
      </c>
      <c r="S16" s="75">
        <f t="shared" si="5"/>
        <v>72362.37</v>
      </c>
      <c r="T16" s="7">
        <v>13</v>
      </c>
    </row>
    <row r="17" spans="3:20" x14ac:dyDescent="0.25">
      <c r="D17" s="7">
        <v>1011</v>
      </c>
      <c r="E17" s="7" t="s">
        <v>396</v>
      </c>
      <c r="F17" s="12">
        <v>0</v>
      </c>
      <c r="G17" s="12">
        <v>0</v>
      </c>
      <c r="H17" s="12">
        <v>0</v>
      </c>
      <c r="I17" s="12">
        <v>13267.1</v>
      </c>
      <c r="J17" s="12">
        <v>0</v>
      </c>
      <c r="K17" s="12"/>
      <c r="L17" s="12">
        <v>7200</v>
      </c>
      <c r="M17" s="12">
        <v>0</v>
      </c>
      <c r="N17" s="12"/>
      <c r="O17" s="12">
        <v>0</v>
      </c>
      <c r="P17" s="12">
        <v>0</v>
      </c>
      <c r="Q17" s="12">
        <v>0</v>
      </c>
      <c r="R17" s="12">
        <v>0</v>
      </c>
      <c r="S17" s="75">
        <f t="shared" si="5"/>
        <v>20467.099999999999</v>
      </c>
      <c r="T17" s="7">
        <v>14</v>
      </c>
    </row>
    <row r="18" spans="3:20" x14ac:dyDescent="0.25">
      <c r="D18" s="7">
        <v>1012</v>
      </c>
      <c r="E18" s="7" t="s">
        <v>316</v>
      </c>
      <c r="F18" s="12">
        <v>0</v>
      </c>
      <c r="G18" s="12">
        <v>-0.06</v>
      </c>
      <c r="H18" s="12">
        <v>0</v>
      </c>
      <c r="I18" s="12">
        <v>0</v>
      </c>
      <c r="J18" s="12">
        <v>0</v>
      </c>
      <c r="K18" s="12"/>
      <c r="L18" s="12">
        <v>0</v>
      </c>
      <c r="M18" s="12">
        <v>0</v>
      </c>
      <c r="N18" s="12"/>
      <c r="O18" s="12">
        <v>0</v>
      </c>
      <c r="P18" s="12">
        <v>0</v>
      </c>
      <c r="Q18" s="12">
        <v>0</v>
      </c>
      <c r="R18" s="12">
        <v>0</v>
      </c>
      <c r="S18" s="75">
        <f t="shared" si="5"/>
        <v>-0.06</v>
      </c>
      <c r="T18" s="7">
        <v>15</v>
      </c>
    </row>
    <row r="19" spans="3:20" x14ac:dyDescent="0.25">
      <c r="D19" s="7">
        <v>1013</v>
      </c>
      <c r="E19" s="7" t="s">
        <v>317</v>
      </c>
      <c r="F19" s="12">
        <v>0</v>
      </c>
      <c r="G19" s="12">
        <v>0</v>
      </c>
      <c r="H19" s="12">
        <v>0</v>
      </c>
      <c r="I19" s="12">
        <v>0</v>
      </c>
      <c r="J19" s="12">
        <v>0</v>
      </c>
      <c r="K19" s="12"/>
      <c r="L19" s="12">
        <v>0</v>
      </c>
      <c r="M19" s="12">
        <v>0</v>
      </c>
      <c r="N19" s="12"/>
      <c r="O19" s="12">
        <v>0</v>
      </c>
      <c r="P19" s="12">
        <v>0</v>
      </c>
      <c r="Q19" s="12">
        <v>0</v>
      </c>
      <c r="R19" s="12">
        <v>0</v>
      </c>
      <c r="S19" s="75">
        <f t="shared" si="5"/>
        <v>0</v>
      </c>
      <c r="T19" s="7">
        <v>16</v>
      </c>
    </row>
    <row r="20" spans="3:20" x14ac:dyDescent="0.25">
      <c r="D20" s="7">
        <v>1014</v>
      </c>
      <c r="E20" s="7" t="s">
        <v>318</v>
      </c>
      <c r="F20" s="12">
        <v>0</v>
      </c>
      <c r="G20" s="12">
        <v>0</v>
      </c>
      <c r="H20" s="12">
        <v>0</v>
      </c>
      <c r="I20" s="12">
        <v>0</v>
      </c>
      <c r="J20" s="12">
        <v>0</v>
      </c>
      <c r="K20" s="12"/>
      <c r="L20" s="12">
        <v>0</v>
      </c>
      <c r="M20" s="12">
        <v>0</v>
      </c>
      <c r="N20" s="12"/>
      <c r="O20" s="12">
        <v>0</v>
      </c>
      <c r="P20" s="12">
        <v>0</v>
      </c>
      <c r="Q20" s="12">
        <v>0</v>
      </c>
      <c r="R20" s="12">
        <v>0</v>
      </c>
      <c r="S20" s="75">
        <f t="shared" si="5"/>
        <v>0</v>
      </c>
      <c r="T20" s="7">
        <v>17</v>
      </c>
    </row>
    <row r="21" spans="3:20" x14ac:dyDescent="0.25">
      <c r="D21" s="7">
        <v>1015</v>
      </c>
      <c r="E21" s="7" t="s">
        <v>320</v>
      </c>
      <c r="F21" s="12">
        <v>0</v>
      </c>
      <c r="G21" s="12">
        <v>0</v>
      </c>
      <c r="H21" s="12">
        <v>0</v>
      </c>
      <c r="I21" s="12">
        <v>0</v>
      </c>
      <c r="J21" s="12">
        <v>0</v>
      </c>
      <c r="K21" s="12"/>
      <c r="L21" s="12">
        <v>0</v>
      </c>
      <c r="M21" s="12">
        <v>0</v>
      </c>
      <c r="N21" s="12"/>
      <c r="O21" s="12">
        <v>0</v>
      </c>
      <c r="P21" s="12">
        <v>0</v>
      </c>
      <c r="Q21" s="12">
        <v>0</v>
      </c>
      <c r="R21" s="12">
        <v>0</v>
      </c>
      <c r="S21" s="75">
        <f t="shared" si="5"/>
        <v>0</v>
      </c>
      <c r="T21" s="7">
        <v>18</v>
      </c>
    </row>
    <row r="22" spans="3:20" x14ac:dyDescent="0.25">
      <c r="D22" s="7">
        <v>1016</v>
      </c>
      <c r="E22" s="7" t="s">
        <v>321</v>
      </c>
      <c r="F22" s="12">
        <v>0</v>
      </c>
      <c r="G22" s="12">
        <v>0</v>
      </c>
      <c r="H22" s="12">
        <v>0</v>
      </c>
      <c r="I22" s="12">
        <v>0</v>
      </c>
      <c r="J22" s="12">
        <v>0</v>
      </c>
      <c r="K22" s="12"/>
      <c r="L22" s="12">
        <v>0</v>
      </c>
      <c r="M22" s="12">
        <v>0</v>
      </c>
      <c r="N22" s="12"/>
      <c r="O22" s="12">
        <v>0</v>
      </c>
      <c r="P22" s="12">
        <v>0</v>
      </c>
      <c r="Q22" s="12">
        <v>0</v>
      </c>
      <c r="R22" s="12">
        <v>0</v>
      </c>
      <c r="S22" s="75">
        <f t="shared" si="5"/>
        <v>0</v>
      </c>
      <c r="T22" s="7">
        <v>19</v>
      </c>
    </row>
    <row r="23" spans="3:20" x14ac:dyDescent="0.25">
      <c r="D23" s="7">
        <v>1019</v>
      </c>
      <c r="E23" s="7" t="s">
        <v>322</v>
      </c>
      <c r="F23" s="12">
        <v>73.5</v>
      </c>
      <c r="G23" s="12">
        <v>0</v>
      </c>
      <c r="H23" s="12">
        <v>3.5</v>
      </c>
      <c r="I23" s="12">
        <v>0</v>
      </c>
      <c r="J23" s="12">
        <v>0</v>
      </c>
      <c r="K23" s="12"/>
      <c r="L23" s="12">
        <v>0</v>
      </c>
      <c r="M23" s="12">
        <v>0</v>
      </c>
      <c r="N23" s="12"/>
      <c r="O23" s="12">
        <v>0</v>
      </c>
      <c r="P23" s="12">
        <v>0</v>
      </c>
      <c r="Q23" s="12">
        <v>0</v>
      </c>
      <c r="R23" s="12">
        <v>0</v>
      </c>
      <c r="S23" s="75">
        <f t="shared" si="5"/>
        <v>77</v>
      </c>
      <c r="T23" s="7">
        <v>20</v>
      </c>
    </row>
    <row r="24" spans="3:20" x14ac:dyDescent="0.25">
      <c r="F24" s="12"/>
      <c r="G24" s="12"/>
      <c r="H24" s="12"/>
      <c r="I24" s="12"/>
      <c r="J24" s="12"/>
      <c r="K24" s="12"/>
      <c r="L24" s="12"/>
      <c r="M24" s="12"/>
      <c r="N24" s="12"/>
      <c r="O24" s="12"/>
      <c r="P24" s="12"/>
      <c r="Q24" s="12"/>
      <c r="R24" s="12"/>
      <c r="S24" s="75"/>
      <c r="T24" s="7">
        <v>21</v>
      </c>
    </row>
    <row r="25" spans="3:20" x14ac:dyDescent="0.25">
      <c r="C25" s="76">
        <v>102</v>
      </c>
      <c r="D25" s="76"/>
      <c r="E25" s="76" t="s">
        <v>242</v>
      </c>
      <c r="F25" s="96">
        <f>F26+F27+F28+F29</f>
        <v>0</v>
      </c>
      <c r="G25" s="96">
        <f t="shared" ref="G25:R25" si="6">G26+G27+G28+G29</f>
        <v>0</v>
      </c>
      <c r="H25" s="96">
        <f t="shared" si="6"/>
        <v>0</v>
      </c>
      <c r="I25" s="96">
        <f t="shared" si="6"/>
        <v>0</v>
      </c>
      <c r="J25" s="96">
        <f>J26+J27+J28+J29</f>
        <v>0</v>
      </c>
      <c r="K25" s="96">
        <f t="shared" si="6"/>
        <v>0</v>
      </c>
      <c r="L25" s="96">
        <f t="shared" si="6"/>
        <v>0</v>
      </c>
      <c r="M25" s="96">
        <f t="shared" si="6"/>
        <v>0</v>
      </c>
      <c r="N25" s="96">
        <f t="shared" si="6"/>
        <v>0</v>
      </c>
      <c r="O25" s="96">
        <f t="shared" si="6"/>
        <v>0</v>
      </c>
      <c r="P25" s="96">
        <f t="shared" si="6"/>
        <v>0</v>
      </c>
      <c r="Q25" s="96">
        <f t="shared" si="6"/>
        <v>0</v>
      </c>
      <c r="R25" s="96">
        <f t="shared" si="6"/>
        <v>85026.3</v>
      </c>
      <c r="S25" s="96">
        <f>SUM(F25:R25)</f>
        <v>85026.3</v>
      </c>
      <c r="T25" s="7">
        <v>22</v>
      </c>
    </row>
    <row r="26" spans="3:20" x14ac:dyDescent="0.25">
      <c r="D26" s="7">
        <v>1020</v>
      </c>
      <c r="E26" s="7" t="s">
        <v>323</v>
      </c>
      <c r="F26" s="12">
        <v>0</v>
      </c>
      <c r="G26" s="12">
        <v>0</v>
      </c>
      <c r="H26" s="12">
        <v>0</v>
      </c>
      <c r="I26" s="12">
        <v>0</v>
      </c>
      <c r="J26" s="12">
        <v>0</v>
      </c>
      <c r="K26" s="12"/>
      <c r="L26" s="12">
        <v>0</v>
      </c>
      <c r="M26" s="12">
        <v>0</v>
      </c>
      <c r="N26" s="12"/>
      <c r="O26" s="12">
        <v>0</v>
      </c>
      <c r="P26" s="12">
        <v>0</v>
      </c>
      <c r="Q26" s="12">
        <v>0</v>
      </c>
      <c r="R26" s="12">
        <v>85026.3</v>
      </c>
      <c r="S26" s="75">
        <f>SUM(F26:R26)</f>
        <v>85026.3</v>
      </c>
      <c r="T26" s="7">
        <v>23</v>
      </c>
    </row>
    <row r="27" spans="3:20" x14ac:dyDescent="0.25">
      <c r="D27" s="7">
        <v>1022</v>
      </c>
      <c r="E27" s="7" t="s">
        <v>324</v>
      </c>
      <c r="F27" s="12">
        <v>0</v>
      </c>
      <c r="G27" s="12">
        <v>0</v>
      </c>
      <c r="H27" s="12">
        <v>0</v>
      </c>
      <c r="I27" s="12">
        <v>0</v>
      </c>
      <c r="J27" s="12">
        <v>0</v>
      </c>
      <c r="K27" s="12"/>
      <c r="L27" s="12">
        <v>0</v>
      </c>
      <c r="M27" s="12">
        <v>0</v>
      </c>
      <c r="N27" s="12"/>
      <c r="O27" s="12">
        <v>0</v>
      </c>
      <c r="P27" s="12">
        <v>0</v>
      </c>
      <c r="Q27" s="12">
        <v>0</v>
      </c>
      <c r="R27" s="12">
        <v>0</v>
      </c>
      <c r="S27" s="75">
        <f>SUM(F27:R27)</f>
        <v>0</v>
      </c>
      <c r="T27" s="7">
        <v>24</v>
      </c>
    </row>
    <row r="28" spans="3:20" x14ac:dyDescent="0.25">
      <c r="D28" s="7">
        <v>1023</v>
      </c>
      <c r="E28" s="7" t="s">
        <v>325</v>
      </c>
      <c r="F28" s="12">
        <v>0</v>
      </c>
      <c r="G28" s="12">
        <v>0</v>
      </c>
      <c r="H28" s="12">
        <v>0</v>
      </c>
      <c r="I28" s="12">
        <v>0</v>
      </c>
      <c r="J28" s="12">
        <v>0</v>
      </c>
      <c r="K28" s="12"/>
      <c r="L28" s="12">
        <v>0</v>
      </c>
      <c r="M28" s="12">
        <v>0</v>
      </c>
      <c r="N28" s="12"/>
      <c r="O28" s="12">
        <v>0</v>
      </c>
      <c r="P28" s="12">
        <v>0</v>
      </c>
      <c r="Q28" s="12">
        <v>0</v>
      </c>
      <c r="R28" s="12">
        <v>0</v>
      </c>
      <c r="S28" s="75">
        <f>SUM(F28:R28)</f>
        <v>0</v>
      </c>
      <c r="T28" s="7">
        <v>25</v>
      </c>
    </row>
    <row r="29" spans="3:20" x14ac:dyDescent="0.25">
      <c r="D29" s="7">
        <v>1029</v>
      </c>
      <c r="E29" s="7" t="s">
        <v>326</v>
      </c>
      <c r="F29" s="12">
        <v>0</v>
      </c>
      <c r="G29" s="12">
        <v>0</v>
      </c>
      <c r="H29" s="12">
        <v>0</v>
      </c>
      <c r="I29" s="12">
        <v>0</v>
      </c>
      <c r="J29" s="12">
        <v>0</v>
      </c>
      <c r="K29" s="12"/>
      <c r="L29" s="12">
        <v>0</v>
      </c>
      <c r="M29" s="12">
        <v>0</v>
      </c>
      <c r="N29" s="12"/>
      <c r="O29" s="12">
        <v>0</v>
      </c>
      <c r="P29" s="12">
        <v>0</v>
      </c>
      <c r="Q29" s="12">
        <v>0</v>
      </c>
      <c r="R29" s="12">
        <v>0</v>
      </c>
      <c r="S29" s="75">
        <f>SUM(F29:R29)</f>
        <v>0</v>
      </c>
      <c r="T29" s="7">
        <v>26</v>
      </c>
    </row>
    <row r="30" spans="3:20" x14ac:dyDescent="0.25">
      <c r="F30" s="12"/>
      <c r="G30" s="12"/>
      <c r="H30" s="12"/>
      <c r="I30" s="12"/>
      <c r="J30" s="12"/>
      <c r="K30" s="12"/>
      <c r="L30" s="12"/>
      <c r="M30" s="12"/>
      <c r="N30" s="12"/>
      <c r="O30" s="12"/>
      <c r="P30" s="12"/>
      <c r="Q30" s="12"/>
      <c r="R30" s="12"/>
      <c r="S30" s="75"/>
      <c r="T30" s="7">
        <v>27</v>
      </c>
    </row>
    <row r="31" spans="3:20" x14ac:dyDescent="0.25">
      <c r="C31" s="76">
        <v>104</v>
      </c>
      <c r="D31" s="76"/>
      <c r="E31" s="76" t="s">
        <v>243</v>
      </c>
      <c r="F31" s="96">
        <f>F32+F33+F34+F35+F36+F37+F38+F39</f>
        <v>13284.7</v>
      </c>
      <c r="G31" s="96">
        <f t="shared" ref="G31:R31" si="7">G32+G33+G34+G35+G36+G37+G38+G39</f>
        <v>756</v>
      </c>
      <c r="H31" s="96">
        <f t="shared" si="7"/>
        <v>30609.42</v>
      </c>
      <c r="I31" s="96">
        <f t="shared" si="7"/>
        <v>141</v>
      </c>
      <c r="J31" s="96">
        <f t="shared" si="7"/>
        <v>0</v>
      </c>
      <c r="K31" s="96">
        <f t="shared" si="7"/>
        <v>0</v>
      </c>
      <c r="L31" s="96">
        <f t="shared" si="7"/>
        <v>6460</v>
      </c>
      <c r="M31" s="96">
        <f t="shared" si="7"/>
        <v>60614.2</v>
      </c>
      <c r="N31" s="96">
        <f t="shared" si="7"/>
        <v>0</v>
      </c>
      <c r="O31" s="96">
        <f t="shared" si="7"/>
        <v>0</v>
      </c>
      <c r="P31" s="96">
        <f t="shared" si="7"/>
        <v>21085.3</v>
      </c>
      <c r="Q31" s="96">
        <f t="shared" si="7"/>
        <v>8230</v>
      </c>
      <c r="R31" s="96">
        <f t="shared" si="7"/>
        <v>40814.99</v>
      </c>
      <c r="S31" s="96">
        <f t="shared" ref="S31:S39" si="8">SUM(F31:R31)</f>
        <v>181995.61</v>
      </c>
      <c r="T31" s="7">
        <v>28</v>
      </c>
    </row>
    <row r="32" spans="3:20" x14ac:dyDescent="0.25">
      <c r="D32" s="7">
        <v>1040</v>
      </c>
      <c r="E32" s="7" t="s">
        <v>61</v>
      </c>
      <c r="F32" s="12">
        <v>1123.2</v>
      </c>
      <c r="G32" s="12">
        <v>0</v>
      </c>
      <c r="H32" s="12">
        <v>0</v>
      </c>
      <c r="I32" s="12">
        <v>0</v>
      </c>
      <c r="J32" s="12">
        <v>0</v>
      </c>
      <c r="K32" s="12"/>
      <c r="L32" s="12">
        <v>0</v>
      </c>
      <c r="M32" s="12">
        <v>0</v>
      </c>
      <c r="N32" s="12"/>
      <c r="O32" s="12">
        <v>0</v>
      </c>
      <c r="P32" s="12">
        <v>0</v>
      </c>
      <c r="Q32" s="12">
        <v>0</v>
      </c>
      <c r="R32" s="12">
        <v>0</v>
      </c>
      <c r="S32" s="75">
        <f t="shared" si="8"/>
        <v>1123.2</v>
      </c>
      <c r="T32" s="7">
        <v>29</v>
      </c>
    </row>
    <row r="33" spans="3:20" x14ac:dyDescent="0.25">
      <c r="D33" s="7">
        <v>1041</v>
      </c>
      <c r="E33" s="7" t="s">
        <v>327</v>
      </c>
      <c r="F33" s="12">
        <v>12161.5</v>
      </c>
      <c r="G33" s="12">
        <v>756</v>
      </c>
      <c r="H33" s="12">
        <v>0</v>
      </c>
      <c r="I33" s="12">
        <v>0</v>
      </c>
      <c r="J33" s="12">
        <v>0</v>
      </c>
      <c r="K33" s="12"/>
      <c r="L33" s="12">
        <v>0</v>
      </c>
      <c r="M33" s="12">
        <v>0</v>
      </c>
      <c r="N33" s="12"/>
      <c r="O33" s="12">
        <v>0</v>
      </c>
      <c r="P33" s="12">
        <v>0</v>
      </c>
      <c r="Q33" s="12">
        <v>8230</v>
      </c>
      <c r="R33" s="12">
        <v>0</v>
      </c>
      <c r="S33" s="75">
        <f t="shared" si="8"/>
        <v>21147.5</v>
      </c>
      <c r="T33" s="7">
        <v>30</v>
      </c>
    </row>
    <row r="34" spans="3:20" x14ac:dyDescent="0.25">
      <c r="D34" s="7">
        <v>1042</v>
      </c>
      <c r="E34" s="7" t="s">
        <v>328</v>
      </c>
      <c r="F34" s="12">
        <v>0</v>
      </c>
      <c r="G34" s="12">
        <v>0</v>
      </c>
      <c r="H34" s="12">
        <v>0</v>
      </c>
      <c r="I34" s="12">
        <v>0</v>
      </c>
      <c r="J34" s="12">
        <v>0</v>
      </c>
      <c r="K34" s="12"/>
      <c r="L34" s="12">
        <v>0</v>
      </c>
      <c r="M34" s="12">
        <v>0</v>
      </c>
      <c r="N34" s="12"/>
      <c r="O34" s="12">
        <v>0</v>
      </c>
      <c r="P34" s="12">
        <v>0</v>
      </c>
      <c r="Q34" s="12">
        <v>0</v>
      </c>
      <c r="R34" s="12">
        <v>0</v>
      </c>
      <c r="S34" s="75">
        <f t="shared" si="8"/>
        <v>0</v>
      </c>
      <c r="T34" s="7">
        <v>31</v>
      </c>
    </row>
    <row r="35" spans="3:20" x14ac:dyDescent="0.25">
      <c r="D35" s="7">
        <v>1043</v>
      </c>
      <c r="E35" s="7" t="s">
        <v>329</v>
      </c>
      <c r="F35" s="12">
        <v>0</v>
      </c>
      <c r="G35" s="12">
        <v>0</v>
      </c>
      <c r="H35" s="12">
        <v>0</v>
      </c>
      <c r="I35" s="12">
        <v>0</v>
      </c>
      <c r="J35" s="12">
        <v>0</v>
      </c>
      <c r="K35" s="12"/>
      <c r="L35" s="12">
        <v>0</v>
      </c>
      <c r="M35" s="12">
        <v>0</v>
      </c>
      <c r="N35" s="12"/>
      <c r="O35" s="12">
        <v>0</v>
      </c>
      <c r="P35" s="12">
        <v>0</v>
      </c>
      <c r="Q35" s="12">
        <v>0</v>
      </c>
      <c r="R35" s="12">
        <v>0</v>
      </c>
      <c r="S35" s="75">
        <f t="shared" si="8"/>
        <v>0</v>
      </c>
      <c r="T35" s="7">
        <v>32</v>
      </c>
    </row>
    <row r="36" spans="3:20" x14ac:dyDescent="0.25">
      <c r="D36" s="7">
        <v>1044</v>
      </c>
      <c r="E36" s="7" t="s">
        <v>330</v>
      </c>
      <c r="F36" s="12">
        <v>0</v>
      </c>
      <c r="G36" s="12">
        <v>0</v>
      </c>
      <c r="H36" s="12">
        <v>30609.42</v>
      </c>
      <c r="I36" s="12">
        <v>0</v>
      </c>
      <c r="J36" s="12">
        <v>0</v>
      </c>
      <c r="K36" s="12"/>
      <c r="L36" s="12">
        <v>6460</v>
      </c>
      <c r="M36" s="12">
        <v>60614.2</v>
      </c>
      <c r="N36" s="12"/>
      <c r="O36" s="12">
        <v>0</v>
      </c>
      <c r="P36" s="12">
        <v>0</v>
      </c>
      <c r="Q36" s="12">
        <v>0</v>
      </c>
      <c r="R36" s="12">
        <v>0</v>
      </c>
      <c r="S36" s="75">
        <f t="shared" si="8"/>
        <v>97683.62</v>
      </c>
      <c r="T36" s="7">
        <v>33</v>
      </c>
    </row>
    <row r="37" spans="3:20" x14ac:dyDescent="0.25">
      <c r="D37" s="7">
        <v>1045</v>
      </c>
      <c r="E37" s="7" t="s">
        <v>331</v>
      </c>
      <c r="F37" s="12">
        <v>0</v>
      </c>
      <c r="G37" s="12">
        <v>0</v>
      </c>
      <c r="H37" s="12">
        <v>0</v>
      </c>
      <c r="I37" s="12">
        <v>0</v>
      </c>
      <c r="J37" s="12">
        <v>0</v>
      </c>
      <c r="K37" s="12"/>
      <c r="L37" s="12">
        <v>0</v>
      </c>
      <c r="M37" s="12">
        <v>0</v>
      </c>
      <c r="N37" s="12"/>
      <c r="O37" s="12">
        <v>0</v>
      </c>
      <c r="P37" s="12">
        <v>0</v>
      </c>
      <c r="Q37" s="12">
        <v>0</v>
      </c>
      <c r="R37" s="12">
        <v>40814.99</v>
      </c>
      <c r="S37" s="75">
        <f t="shared" si="8"/>
        <v>40814.99</v>
      </c>
      <c r="T37" s="7">
        <v>34</v>
      </c>
    </row>
    <row r="38" spans="3:20" x14ac:dyDescent="0.25">
      <c r="D38" s="7">
        <v>1046</v>
      </c>
      <c r="E38" s="7" t="s">
        <v>332</v>
      </c>
      <c r="F38" s="12">
        <v>0</v>
      </c>
      <c r="G38" s="12">
        <v>0</v>
      </c>
      <c r="H38" s="12">
        <v>0</v>
      </c>
      <c r="I38" s="12">
        <v>0</v>
      </c>
      <c r="J38" s="12">
        <v>0</v>
      </c>
      <c r="K38" s="12"/>
      <c r="L38" s="12">
        <v>0</v>
      </c>
      <c r="M38" s="12">
        <v>0</v>
      </c>
      <c r="N38" s="12"/>
      <c r="O38" s="12">
        <v>0</v>
      </c>
      <c r="P38" s="12">
        <v>0</v>
      </c>
      <c r="Q38" s="12">
        <v>0</v>
      </c>
      <c r="R38" s="12">
        <v>0</v>
      </c>
      <c r="S38" s="75">
        <f t="shared" si="8"/>
        <v>0</v>
      </c>
      <c r="T38" s="7">
        <v>35</v>
      </c>
    </row>
    <row r="39" spans="3:20" x14ac:dyDescent="0.25">
      <c r="D39" s="7">
        <v>1049</v>
      </c>
      <c r="E39" s="7" t="s">
        <v>333</v>
      </c>
      <c r="F39" s="12">
        <v>0</v>
      </c>
      <c r="G39" s="12">
        <v>0</v>
      </c>
      <c r="H39" s="12">
        <v>0</v>
      </c>
      <c r="I39" s="12">
        <v>141</v>
      </c>
      <c r="J39" s="12">
        <v>0</v>
      </c>
      <c r="K39" s="12"/>
      <c r="L39" s="12">
        <v>0</v>
      </c>
      <c r="M39" s="12">
        <v>0</v>
      </c>
      <c r="N39" s="12"/>
      <c r="O39" s="12">
        <v>0</v>
      </c>
      <c r="P39" s="12">
        <v>21085.3</v>
      </c>
      <c r="Q39" s="12">
        <v>0</v>
      </c>
      <c r="R39" s="12">
        <v>0</v>
      </c>
      <c r="S39" s="75">
        <f t="shared" si="8"/>
        <v>21226.3</v>
      </c>
      <c r="T39" s="7">
        <v>36</v>
      </c>
    </row>
    <row r="40" spans="3:20" x14ac:dyDescent="0.25">
      <c r="F40" s="12"/>
      <c r="G40" s="12"/>
      <c r="H40" s="12"/>
      <c r="I40" s="12"/>
      <c r="J40" s="12"/>
      <c r="K40" s="12"/>
      <c r="L40" s="12"/>
      <c r="M40" s="12"/>
      <c r="N40" s="12"/>
      <c r="O40" s="12"/>
      <c r="P40" s="12"/>
      <c r="Q40" s="12"/>
      <c r="R40" s="12"/>
      <c r="S40" s="75"/>
      <c r="T40" s="7">
        <v>37</v>
      </c>
    </row>
    <row r="41" spans="3:20" x14ac:dyDescent="0.25">
      <c r="C41" s="76">
        <v>106</v>
      </c>
      <c r="D41" s="76"/>
      <c r="E41" s="76" t="s">
        <v>244</v>
      </c>
      <c r="F41" s="96">
        <f>F42+F43+F44+F45+F46</f>
        <v>72306.3</v>
      </c>
      <c r="G41" s="96">
        <f t="shared" ref="G41:R41" si="9">G42+G43+G44+G45+G46</f>
        <v>0</v>
      </c>
      <c r="H41" s="96">
        <f t="shared" si="9"/>
        <v>0</v>
      </c>
      <c r="I41" s="96">
        <f t="shared" si="9"/>
        <v>0</v>
      </c>
      <c r="J41" s="96">
        <f t="shared" si="9"/>
        <v>0</v>
      </c>
      <c r="K41" s="96">
        <f t="shared" si="9"/>
        <v>0</v>
      </c>
      <c r="L41" s="96">
        <f t="shared" si="9"/>
        <v>0</v>
      </c>
      <c r="M41" s="96">
        <f t="shared" si="9"/>
        <v>0</v>
      </c>
      <c r="N41" s="96">
        <f t="shared" si="9"/>
        <v>0</v>
      </c>
      <c r="O41" s="96">
        <f t="shared" si="9"/>
        <v>0</v>
      </c>
      <c r="P41" s="96">
        <f t="shared" si="9"/>
        <v>0</v>
      </c>
      <c r="Q41" s="96">
        <f t="shared" si="9"/>
        <v>0</v>
      </c>
      <c r="R41" s="96">
        <f t="shared" si="9"/>
        <v>0</v>
      </c>
      <c r="S41" s="96">
        <f t="shared" ref="S41:S46" si="10">SUM(F41:R41)</f>
        <v>72306.3</v>
      </c>
      <c r="T41" s="7">
        <v>38</v>
      </c>
    </row>
    <row r="42" spans="3:20" x14ac:dyDescent="0.25">
      <c r="D42" s="7">
        <v>1060</v>
      </c>
      <c r="E42" s="7" t="s">
        <v>334</v>
      </c>
      <c r="F42" s="12">
        <v>72306.3</v>
      </c>
      <c r="G42" s="12">
        <v>0</v>
      </c>
      <c r="H42" s="12">
        <v>0</v>
      </c>
      <c r="I42" s="12">
        <v>0</v>
      </c>
      <c r="J42" s="12">
        <v>0</v>
      </c>
      <c r="K42" s="12"/>
      <c r="L42" s="12">
        <v>0</v>
      </c>
      <c r="M42" s="12">
        <v>0</v>
      </c>
      <c r="N42" s="12"/>
      <c r="O42" s="12">
        <v>0</v>
      </c>
      <c r="P42" s="12">
        <v>0</v>
      </c>
      <c r="Q42" s="12">
        <v>0</v>
      </c>
      <c r="R42" s="12">
        <v>0</v>
      </c>
      <c r="S42" s="75">
        <f t="shared" si="10"/>
        <v>72306.3</v>
      </c>
      <c r="T42" s="7">
        <v>39</v>
      </c>
    </row>
    <row r="43" spans="3:20" x14ac:dyDescent="0.25">
      <c r="D43" s="7">
        <v>1061</v>
      </c>
      <c r="E43" s="7" t="s">
        <v>335</v>
      </c>
      <c r="F43" s="12">
        <v>0</v>
      </c>
      <c r="G43" s="12">
        <v>0</v>
      </c>
      <c r="H43" s="12">
        <v>0</v>
      </c>
      <c r="I43" s="12">
        <v>0</v>
      </c>
      <c r="J43" s="12">
        <v>0</v>
      </c>
      <c r="K43" s="12"/>
      <c r="L43" s="12">
        <v>0</v>
      </c>
      <c r="M43" s="12">
        <v>0</v>
      </c>
      <c r="N43" s="12"/>
      <c r="O43" s="12">
        <v>0</v>
      </c>
      <c r="P43" s="12">
        <v>0</v>
      </c>
      <c r="Q43" s="12">
        <v>0</v>
      </c>
      <c r="R43" s="12">
        <v>0</v>
      </c>
      <c r="S43" s="75">
        <f t="shared" si="10"/>
        <v>0</v>
      </c>
      <c r="T43" s="7">
        <v>40</v>
      </c>
    </row>
    <row r="44" spans="3:20" x14ac:dyDescent="0.25">
      <c r="D44" s="7">
        <v>1062</v>
      </c>
      <c r="E44" s="7" t="s">
        <v>336</v>
      </c>
      <c r="F44" s="12">
        <v>0</v>
      </c>
      <c r="G44" s="12">
        <v>0</v>
      </c>
      <c r="H44" s="12">
        <v>0</v>
      </c>
      <c r="I44" s="12">
        <v>0</v>
      </c>
      <c r="J44" s="12">
        <v>0</v>
      </c>
      <c r="K44" s="12"/>
      <c r="L44" s="12">
        <v>0</v>
      </c>
      <c r="M44" s="12">
        <v>0</v>
      </c>
      <c r="N44" s="12"/>
      <c r="O44" s="12">
        <v>0</v>
      </c>
      <c r="P44" s="12">
        <v>0</v>
      </c>
      <c r="Q44" s="12">
        <v>0</v>
      </c>
      <c r="R44" s="12">
        <v>0</v>
      </c>
      <c r="S44" s="75">
        <f t="shared" si="10"/>
        <v>0</v>
      </c>
      <c r="T44" s="7">
        <v>41</v>
      </c>
    </row>
    <row r="45" spans="3:20" x14ac:dyDescent="0.25">
      <c r="D45" s="7">
        <v>1063</v>
      </c>
      <c r="E45" s="7" t="s">
        <v>337</v>
      </c>
      <c r="F45" s="12">
        <v>0</v>
      </c>
      <c r="G45" s="12">
        <v>0</v>
      </c>
      <c r="H45" s="12">
        <v>0</v>
      </c>
      <c r="I45" s="12">
        <v>0</v>
      </c>
      <c r="J45" s="12">
        <v>0</v>
      </c>
      <c r="K45" s="12"/>
      <c r="L45" s="12">
        <v>0</v>
      </c>
      <c r="M45" s="12">
        <v>0</v>
      </c>
      <c r="N45" s="12"/>
      <c r="O45" s="12">
        <v>0</v>
      </c>
      <c r="P45" s="12">
        <v>0</v>
      </c>
      <c r="Q45" s="12">
        <v>0</v>
      </c>
      <c r="R45" s="12">
        <v>0</v>
      </c>
      <c r="S45" s="75">
        <f t="shared" si="10"/>
        <v>0</v>
      </c>
      <c r="T45" s="7">
        <v>42</v>
      </c>
    </row>
    <row r="46" spans="3:20" x14ac:dyDescent="0.25">
      <c r="D46" s="7">
        <v>1068</v>
      </c>
      <c r="E46" s="7" t="s">
        <v>338</v>
      </c>
      <c r="F46" s="12">
        <v>0</v>
      </c>
      <c r="G46" s="12">
        <v>0</v>
      </c>
      <c r="H46" s="12">
        <v>0</v>
      </c>
      <c r="I46" s="12">
        <v>0</v>
      </c>
      <c r="J46" s="12">
        <v>0</v>
      </c>
      <c r="K46" s="12"/>
      <c r="L46" s="12">
        <v>0</v>
      </c>
      <c r="M46" s="12">
        <v>0</v>
      </c>
      <c r="N46" s="12"/>
      <c r="O46" s="12">
        <v>0</v>
      </c>
      <c r="P46" s="12">
        <v>0</v>
      </c>
      <c r="Q46" s="12">
        <v>0</v>
      </c>
      <c r="R46" s="12">
        <v>0</v>
      </c>
      <c r="S46" s="75">
        <f t="shared" si="10"/>
        <v>0</v>
      </c>
      <c r="T46" s="7">
        <v>43</v>
      </c>
    </row>
    <row r="47" spans="3:20" x14ac:dyDescent="0.25">
      <c r="F47" s="12"/>
      <c r="G47" s="12"/>
      <c r="H47" s="12"/>
      <c r="I47" s="12"/>
      <c r="J47" s="12"/>
      <c r="K47" s="12"/>
      <c r="L47" s="12"/>
      <c r="M47" s="12"/>
      <c r="N47" s="12"/>
      <c r="O47" s="12"/>
      <c r="P47" s="12"/>
      <c r="Q47" s="12"/>
      <c r="R47" s="12"/>
      <c r="S47" s="75"/>
      <c r="T47" s="7">
        <v>44</v>
      </c>
    </row>
    <row r="48" spans="3:20" x14ac:dyDescent="0.25">
      <c r="C48" s="76">
        <v>107</v>
      </c>
      <c r="D48" s="76"/>
      <c r="E48" s="76" t="s">
        <v>343</v>
      </c>
      <c r="F48" s="96">
        <f>F49+F50+F51+F52</f>
        <v>16974.599999999999</v>
      </c>
      <c r="G48" s="96">
        <f t="shared" ref="G48:R48" si="11">G49+G50+G51+G52</f>
        <v>2</v>
      </c>
      <c r="H48" s="96">
        <f t="shared" si="11"/>
        <v>702</v>
      </c>
      <c r="I48" s="96">
        <f t="shared" si="11"/>
        <v>6</v>
      </c>
      <c r="J48" s="96">
        <f t="shared" si="11"/>
        <v>1200</v>
      </c>
      <c r="K48" s="96">
        <f t="shared" si="11"/>
        <v>0</v>
      </c>
      <c r="L48" s="96">
        <f t="shared" si="11"/>
        <v>1503</v>
      </c>
      <c r="M48" s="96">
        <f t="shared" si="11"/>
        <v>0</v>
      </c>
      <c r="N48" s="96">
        <f t="shared" si="11"/>
        <v>0</v>
      </c>
      <c r="O48" s="96">
        <f t="shared" si="11"/>
        <v>5002</v>
      </c>
      <c r="P48" s="96">
        <f t="shared" si="11"/>
        <v>452</v>
      </c>
      <c r="Q48" s="96">
        <f t="shared" si="11"/>
        <v>8200</v>
      </c>
      <c r="R48" s="96">
        <f t="shared" si="11"/>
        <v>532642.73</v>
      </c>
      <c r="S48" s="96">
        <f t="shared" ref="S48:S53" si="12">SUM(F48:R48)</f>
        <v>566684.32999999996</v>
      </c>
      <c r="T48" s="7">
        <v>45</v>
      </c>
    </row>
    <row r="49" spans="3:20" x14ac:dyDescent="0.25">
      <c r="D49" s="7">
        <v>1070</v>
      </c>
      <c r="E49" s="7" t="s">
        <v>339</v>
      </c>
      <c r="F49" s="12">
        <v>16974.599999999999</v>
      </c>
      <c r="G49" s="12">
        <v>2</v>
      </c>
      <c r="H49" s="12">
        <v>702</v>
      </c>
      <c r="I49" s="12">
        <v>6</v>
      </c>
      <c r="J49" s="12">
        <v>1200</v>
      </c>
      <c r="K49" s="12"/>
      <c r="L49" s="12">
        <v>1503</v>
      </c>
      <c r="M49" s="12">
        <v>0</v>
      </c>
      <c r="N49" s="12"/>
      <c r="O49" s="12">
        <v>5002</v>
      </c>
      <c r="P49" s="12">
        <v>452</v>
      </c>
      <c r="Q49" s="12">
        <v>8000</v>
      </c>
      <c r="R49" s="12">
        <v>155993.70000000001</v>
      </c>
      <c r="S49" s="75">
        <f t="shared" si="12"/>
        <v>189835.30000000002</v>
      </c>
      <c r="T49" s="7">
        <v>46</v>
      </c>
    </row>
    <row r="50" spans="3:20" x14ac:dyDescent="0.25">
      <c r="D50" s="7">
        <v>1071</v>
      </c>
      <c r="E50" s="7" t="s">
        <v>340</v>
      </c>
      <c r="F50" s="12">
        <v>0</v>
      </c>
      <c r="G50" s="12">
        <v>0</v>
      </c>
      <c r="H50" s="12">
        <v>0</v>
      </c>
      <c r="I50" s="12">
        <v>0</v>
      </c>
      <c r="J50" s="12">
        <v>0</v>
      </c>
      <c r="K50" s="12"/>
      <c r="L50" s="12">
        <v>0</v>
      </c>
      <c r="M50" s="12">
        <v>0</v>
      </c>
      <c r="N50" s="12"/>
      <c r="O50" s="12">
        <v>0</v>
      </c>
      <c r="P50" s="12">
        <v>0</v>
      </c>
      <c r="Q50" s="12">
        <v>200</v>
      </c>
      <c r="R50" s="12">
        <v>376649.03</v>
      </c>
      <c r="S50" s="75">
        <f t="shared" si="12"/>
        <v>376849.03</v>
      </c>
      <c r="T50" s="7">
        <v>47</v>
      </c>
    </row>
    <row r="51" spans="3:20" x14ac:dyDescent="0.25">
      <c r="D51" s="7">
        <v>1072</v>
      </c>
      <c r="E51" s="7" t="s">
        <v>341</v>
      </c>
      <c r="F51" s="12">
        <v>0</v>
      </c>
      <c r="G51" s="12">
        <v>0</v>
      </c>
      <c r="H51" s="12">
        <v>0</v>
      </c>
      <c r="I51" s="12">
        <v>0</v>
      </c>
      <c r="J51" s="12">
        <v>0</v>
      </c>
      <c r="K51" s="12"/>
      <c r="L51" s="12">
        <v>0</v>
      </c>
      <c r="M51" s="12">
        <v>0</v>
      </c>
      <c r="N51" s="12"/>
      <c r="O51" s="12">
        <v>0</v>
      </c>
      <c r="P51" s="12">
        <v>0</v>
      </c>
      <c r="Q51" s="12">
        <v>0</v>
      </c>
      <c r="R51" s="12">
        <v>0</v>
      </c>
      <c r="S51" s="75">
        <f t="shared" si="12"/>
        <v>0</v>
      </c>
      <c r="T51" s="7">
        <v>48</v>
      </c>
    </row>
    <row r="52" spans="3:20" x14ac:dyDescent="0.25">
      <c r="D52" s="7">
        <v>1079</v>
      </c>
      <c r="E52" s="7" t="s">
        <v>342</v>
      </c>
      <c r="F52" s="12">
        <v>0</v>
      </c>
      <c r="G52" s="12">
        <v>0</v>
      </c>
      <c r="H52" s="12">
        <v>0</v>
      </c>
      <c r="I52" s="12">
        <v>0</v>
      </c>
      <c r="J52" s="12">
        <v>0</v>
      </c>
      <c r="K52" s="12"/>
      <c r="L52" s="12">
        <v>0</v>
      </c>
      <c r="M52" s="12">
        <v>0</v>
      </c>
      <c r="N52" s="12"/>
      <c r="O52" s="12">
        <v>0</v>
      </c>
      <c r="P52" s="12">
        <v>0</v>
      </c>
      <c r="Q52" s="12">
        <v>0</v>
      </c>
      <c r="R52" s="12">
        <v>0</v>
      </c>
      <c r="S52" s="75">
        <f t="shared" si="12"/>
        <v>0</v>
      </c>
      <c r="T52" s="7">
        <v>49</v>
      </c>
    </row>
    <row r="53" spans="3:20" x14ac:dyDescent="0.25">
      <c r="F53" s="12"/>
      <c r="G53" s="12"/>
      <c r="H53" s="12"/>
      <c r="I53" s="12"/>
      <c r="J53" s="12"/>
      <c r="K53" s="12"/>
      <c r="L53" s="12"/>
      <c r="M53" s="12"/>
      <c r="N53" s="12"/>
      <c r="O53" s="12"/>
      <c r="P53" s="12"/>
      <c r="Q53" s="12"/>
      <c r="R53" s="12"/>
      <c r="S53" s="75">
        <f t="shared" si="12"/>
        <v>0</v>
      </c>
      <c r="T53" s="7">
        <v>50</v>
      </c>
    </row>
    <row r="54" spans="3:20" x14ac:dyDescent="0.25">
      <c r="C54" s="76">
        <v>108</v>
      </c>
      <c r="D54" s="76"/>
      <c r="E54" s="76" t="s">
        <v>245</v>
      </c>
      <c r="F54" s="96">
        <f>F55+F56+F57+F58+F59+F60</f>
        <v>6832046.3499999996</v>
      </c>
      <c r="G54" s="96">
        <f t="shared" ref="G54:R54" si="13">G55+G56+G57+G58+G59+G60</f>
        <v>36800</v>
      </c>
      <c r="H54" s="96">
        <f t="shared" si="13"/>
        <v>274000</v>
      </c>
      <c r="I54" s="96">
        <f t="shared" si="13"/>
        <v>0</v>
      </c>
      <c r="J54" s="96">
        <f t="shared" si="13"/>
        <v>553360</v>
      </c>
      <c r="K54" s="96">
        <f t="shared" si="13"/>
        <v>0</v>
      </c>
      <c r="L54" s="96">
        <f t="shared" si="13"/>
        <v>166630</v>
      </c>
      <c r="M54" s="96">
        <f t="shared" si="13"/>
        <v>2200</v>
      </c>
      <c r="N54" s="96">
        <f t="shared" si="13"/>
        <v>0</v>
      </c>
      <c r="O54" s="96">
        <f t="shared" si="13"/>
        <v>12750</v>
      </c>
      <c r="P54" s="96">
        <f t="shared" si="13"/>
        <v>609300</v>
      </c>
      <c r="Q54" s="96">
        <f t="shared" si="13"/>
        <v>710310.05</v>
      </c>
      <c r="R54" s="96">
        <f t="shared" si="13"/>
        <v>0</v>
      </c>
      <c r="S54" s="96">
        <f t="shared" ref="S54:S60" si="14">SUM(F54:R54)</f>
        <v>9197396.4000000004</v>
      </c>
      <c r="T54" s="7">
        <v>51</v>
      </c>
    </row>
    <row r="55" spans="3:20" x14ac:dyDescent="0.25">
      <c r="D55" s="7">
        <v>1080</v>
      </c>
      <c r="E55" s="7" t="s">
        <v>344</v>
      </c>
      <c r="F55" s="12">
        <v>487290</v>
      </c>
      <c r="G55" s="12">
        <v>0</v>
      </c>
      <c r="H55" s="12">
        <v>0</v>
      </c>
      <c r="I55" s="12">
        <v>0</v>
      </c>
      <c r="J55" s="12">
        <v>44240</v>
      </c>
      <c r="K55" s="12"/>
      <c r="L55" s="12">
        <v>166630</v>
      </c>
      <c r="M55" s="12">
        <v>0</v>
      </c>
      <c r="N55" s="12"/>
      <c r="O55" s="12">
        <v>10750</v>
      </c>
      <c r="P55" s="12">
        <v>0</v>
      </c>
      <c r="Q55" s="12">
        <v>710310.05</v>
      </c>
      <c r="R55" s="12">
        <v>0</v>
      </c>
      <c r="S55" s="75">
        <f t="shared" si="14"/>
        <v>1419220.05</v>
      </c>
      <c r="T55" s="7">
        <v>52</v>
      </c>
    </row>
    <row r="56" spans="3:20" x14ac:dyDescent="0.25">
      <c r="D56" s="7">
        <v>1084</v>
      </c>
      <c r="E56" s="7" t="s">
        <v>345</v>
      </c>
      <c r="F56" s="12">
        <v>6240444.3499999996</v>
      </c>
      <c r="G56" s="12">
        <v>36800</v>
      </c>
      <c r="H56" s="12">
        <v>274000</v>
      </c>
      <c r="I56" s="12">
        <v>0</v>
      </c>
      <c r="J56" s="12">
        <v>509120</v>
      </c>
      <c r="K56" s="12"/>
      <c r="L56" s="12">
        <v>0</v>
      </c>
      <c r="M56" s="12">
        <v>0</v>
      </c>
      <c r="N56" s="12"/>
      <c r="O56" s="12">
        <v>2000</v>
      </c>
      <c r="P56" s="12">
        <v>609300</v>
      </c>
      <c r="Q56" s="12">
        <v>0</v>
      </c>
      <c r="R56" s="12">
        <v>0</v>
      </c>
      <c r="S56" s="75">
        <f t="shared" si="14"/>
        <v>7671664.3499999996</v>
      </c>
      <c r="T56" s="7">
        <v>53</v>
      </c>
    </row>
    <row r="57" spans="3:20" x14ac:dyDescent="0.25">
      <c r="D57" s="7">
        <v>1086</v>
      </c>
      <c r="E57" s="7" t="s">
        <v>346</v>
      </c>
      <c r="F57" s="12">
        <v>0</v>
      </c>
      <c r="G57" s="12">
        <v>0</v>
      </c>
      <c r="H57" s="12">
        <v>0</v>
      </c>
      <c r="I57" s="12">
        <v>0</v>
      </c>
      <c r="J57" s="12">
        <v>0</v>
      </c>
      <c r="K57" s="12"/>
      <c r="L57" s="12">
        <v>0</v>
      </c>
      <c r="M57" s="12">
        <v>0</v>
      </c>
      <c r="N57" s="12"/>
      <c r="O57" s="12">
        <v>0</v>
      </c>
      <c r="P57" s="12">
        <v>0</v>
      </c>
      <c r="Q57" s="12">
        <v>0</v>
      </c>
      <c r="R57" s="12">
        <v>0</v>
      </c>
      <c r="S57" s="75">
        <f t="shared" si="14"/>
        <v>0</v>
      </c>
      <c r="T57" s="7">
        <v>54</v>
      </c>
    </row>
    <row r="58" spans="3:20" x14ac:dyDescent="0.25">
      <c r="D58" s="7">
        <v>1087</v>
      </c>
      <c r="E58" s="7" t="s">
        <v>347</v>
      </c>
      <c r="F58" s="12">
        <v>0</v>
      </c>
      <c r="G58" s="12">
        <v>0</v>
      </c>
      <c r="H58" s="12">
        <v>0</v>
      </c>
      <c r="I58" s="12">
        <v>0</v>
      </c>
      <c r="J58" s="12">
        <v>0</v>
      </c>
      <c r="K58" s="12"/>
      <c r="L58" s="12">
        <v>0</v>
      </c>
      <c r="M58" s="12">
        <v>0</v>
      </c>
      <c r="N58" s="12"/>
      <c r="O58" s="12">
        <v>0</v>
      </c>
      <c r="P58" s="12">
        <v>0</v>
      </c>
      <c r="Q58" s="12">
        <v>0</v>
      </c>
      <c r="R58" s="12">
        <v>0</v>
      </c>
      <c r="S58" s="75">
        <f t="shared" si="14"/>
        <v>0</v>
      </c>
      <c r="T58" s="7">
        <v>55</v>
      </c>
    </row>
    <row r="59" spans="3:20" x14ac:dyDescent="0.25">
      <c r="D59" s="7">
        <v>1088</v>
      </c>
      <c r="E59" s="7" t="s">
        <v>348</v>
      </c>
      <c r="F59" s="12">
        <v>0</v>
      </c>
      <c r="G59" s="12">
        <v>0</v>
      </c>
      <c r="H59" s="12">
        <v>0</v>
      </c>
      <c r="I59" s="12">
        <v>0</v>
      </c>
      <c r="J59" s="12">
        <v>0</v>
      </c>
      <c r="K59" s="12"/>
      <c r="L59" s="12">
        <v>0</v>
      </c>
      <c r="M59" s="12">
        <v>2200</v>
      </c>
      <c r="N59" s="12"/>
      <c r="O59" s="12">
        <v>0</v>
      </c>
      <c r="P59" s="12">
        <v>0</v>
      </c>
      <c r="Q59" s="12">
        <v>0</v>
      </c>
      <c r="R59" s="12">
        <v>0</v>
      </c>
      <c r="S59" s="75">
        <f t="shared" si="14"/>
        <v>2200</v>
      </c>
      <c r="T59" s="7">
        <v>56</v>
      </c>
    </row>
    <row r="60" spans="3:20" x14ac:dyDescent="0.25">
      <c r="D60" s="7">
        <v>1089</v>
      </c>
      <c r="E60" s="7" t="s">
        <v>349</v>
      </c>
      <c r="F60" s="12">
        <v>104312</v>
      </c>
      <c r="G60" s="12">
        <v>0</v>
      </c>
      <c r="H60" s="12">
        <v>0</v>
      </c>
      <c r="I60" s="12">
        <v>0</v>
      </c>
      <c r="J60" s="12">
        <v>0</v>
      </c>
      <c r="K60" s="12"/>
      <c r="L60" s="12">
        <v>0</v>
      </c>
      <c r="M60" s="12">
        <v>0</v>
      </c>
      <c r="N60" s="12"/>
      <c r="O60" s="12">
        <v>0</v>
      </c>
      <c r="P60" s="12">
        <v>0</v>
      </c>
      <c r="Q60" s="12">
        <v>0</v>
      </c>
      <c r="R60" s="12">
        <v>0</v>
      </c>
      <c r="S60" s="75">
        <f t="shared" si="14"/>
        <v>104312</v>
      </c>
      <c r="T60" s="7">
        <v>57</v>
      </c>
    </row>
    <row r="61" spans="3:20" x14ac:dyDescent="0.25">
      <c r="F61" s="12"/>
      <c r="G61" s="12"/>
      <c r="H61" s="12"/>
      <c r="I61" s="12"/>
      <c r="J61" s="12"/>
      <c r="K61" s="12"/>
      <c r="L61" s="12"/>
      <c r="M61" s="12"/>
      <c r="N61" s="12"/>
      <c r="O61" s="12"/>
      <c r="P61" s="12"/>
      <c r="Q61" s="12"/>
      <c r="R61" s="12"/>
      <c r="S61" s="75"/>
      <c r="T61" s="7">
        <v>58</v>
      </c>
    </row>
    <row r="62" spans="3:20" x14ac:dyDescent="0.25">
      <c r="C62" s="76">
        <v>109</v>
      </c>
      <c r="D62" s="76"/>
      <c r="E62" s="76" t="s">
        <v>350</v>
      </c>
      <c r="F62" s="96">
        <f>F63+F64+F65+F66</f>
        <v>0</v>
      </c>
      <c r="G62" s="96">
        <f t="shared" ref="G62:R62" si="15">G63+G64+G65+G66</f>
        <v>0</v>
      </c>
      <c r="H62" s="96">
        <f t="shared" si="15"/>
        <v>0</v>
      </c>
      <c r="I62" s="96">
        <f t="shared" si="15"/>
        <v>0</v>
      </c>
      <c r="J62" s="96">
        <f t="shared" si="15"/>
        <v>0</v>
      </c>
      <c r="K62" s="96">
        <f t="shared" si="15"/>
        <v>0</v>
      </c>
      <c r="L62" s="96">
        <f t="shared" si="15"/>
        <v>54803.199999999997</v>
      </c>
      <c r="M62" s="96">
        <f t="shared" si="15"/>
        <v>0</v>
      </c>
      <c r="N62" s="96">
        <f t="shared" si="15"/>
        <v>0</v>
      </c>
      <c r="O62" s="96">
        <f t="shared" si="15"/>
        <v>0</v>
      </c>
      <c r="P62" s="96">
        <f t="shared" si="15"/>
        <v>0</v>
      </c>
      <c r="Q62" s="96">
        <f t="shared" si="15"/>
        <v>0</v>
      </c>
      <c r="R62" s="96">
        <f t="shared" si="15"/>
        <v>0</v>
      </c>
      <c r="S62" s="96">
        <f t="shared" ref="S62:S66" si="16">SUM(F62:R62)</f>
        <v>54803.199999999997</v>
      </c>
      <c r="T62" s="7">
        <v>59</v>
      </c>
    </row>
    <row r="63" spans="3:20" x14ac:dyDescent="0.25">
      <c r="D63" s="7">
        <v>1090</v>
      </c>
      <c r="E63" s="7" t="s">
        <v>350</v>
      </c>
      <c r="F63" s="12">
        <v>0</v>
      </c>
      <c r="G63" s="12">
        <v>0</v>
      </c>
      <c r="H63" s="12">
        <v>0</v>
      </c>
      <c r="I63" s="12">
        <v>0</v>
      </c>
      <c r="J63" s="12">
        <v>0</v>
      </c>
      <c r="K63" s="12"/>
      <c r="L63" s="12">
        <v>54803.199999999997</v>
      </c>
      <c r="M63" s="12">
        <v>0</v>
      </c>
      <c r="N63" s="12"/>
      <c r="O63" s="12">
        <v>0</v>
      </c>
      <c r="P63" s="12">
        <v>0</v>
      </c>
      <c r="Q63" s="12">
        <v>0</v>
      </c>
      <c r="R63" s="12">
        <v>0</v>
      </c>
      <c r="S63" s="75">
        <f t="shared" si="16"/>
        <v>54803.199999999997</v>
      </c>
      <c r="T63" s="7">
        <v>60</v>
      </c>
    </row>
    <row r="64" spans="3:20" x14ac:dyDescent="0.25">
      <c r="D64" s="7">
        <v>1091</v>
      </c>
      <c r="E64" s="7" t="s">
        <v>351</v>
      </c>
      <c r="F64" s="12">
        <v>0</v>
      </c>
      <c r="G64" s="12">
        <v>0</v>
      </c>
      <c r="H64" s="12">
        <v>0</v>
      </c>
      <c r="I64" s="12">
        <v>0</v>
      </c>
      <c r="J64" s="12">
        <v>0</v>
      </c>
      <c r="K64" s="12"/>
      <c r="L64" s="12">
        <v>0</v>
      </c>
      <c r="M64" s="12">
        <v>0</v>
      </c>
      <c r="N64" s="12"/>
      <c r="O64" s="12">
        <v>0</v>
      </c>
      <c r="P64" s="12">
        <v>0</v>
      </c>
      <c r="Q64" s="12">
        <v>0</v>
      </c>
      <c r="R64" s="12">
        <v>0</v>
      </c>
      <c r="S64" s="75">
        <f t="shared" si="16"/>
        <v>0</v>
      </c>
      <c r="T64" s="7">
        <v>61</v>
      </c>
    </row>
    <row r="65" spans="2:20" x14ac:dyDescent="0.25">
      <c r="D65" s="7">
        <v>1092</v>
      </c>
      <c r="E65" s="7" t="s">
        <v>352</v>
      </c>
      <c r="F65" s="12">
        <v>0</v>
      </c>
      <c r="G65" s="12">
        <v>0</v>
      </c>
      <c r="H65" s="12">
        <v>0</v>
      </c>
      <c r="I65" s="12">
        <v>0</v>
      </c>
      <c r="J65" s="12">
        <v>0</v>
      </c>
      <c r="K65" s="12"/>
      <c r="L65" s="12">
        <v>0</v>
      </c>
      <c r="M65" s="12">
        <v>0</v>
      </c>
      <c r="N65" s="12"/>
      <c r="O65" s="12">
        <v>0</v>
      </c>
      <c r="P65" s="12">
        <v>0</v>
      </c>
      <c r="Q65" s="12">
        <v>0</v>
      </c>
      <c r="R65" s="12">
        <v>0</v>
      </c>
      <c r="S65" s="75">
        <f t="shared" si="16"/>
        <v>0</v>
      </c>
      <c r="T65" s="7">
        <v>62</v>
      </c>
    </row>
    <row r="66" spans="2:20" x14ac:dyDescent="0.25">
      <c r="D66" s="7">
        <v>1093</v>
      </c>
      <c r="E66" s="7" t="s">
        <v>353</v>
      </c>
      <c r="F66" s="12">
        <v>0</v>
      </c>
      <c r="G66" s="12">
        <v>0</v>
      </c>
      <c r="H66" s="12">
        <v>0</v>
      </c>
      <c r="I66" s="12">
        <v>0</v>
      </c>
      <c r="J66" s="12">
        <v>0</v>
      </c>
      <c r="K66" s="12"/>
      <c r="L66" s="12">
        <v>0</v>
      </c>
      <c r="M66" s="12">
        <v>0</v>
      </c>
      <c r="N66" s="12"/>
      <c r="O66" s="12">
        <v>0</v>
      </c>
      <c r="P66" s="12">
        <v>0</v>
      </c>
      <c r="Q66" s="12">
        <v>0</v>
      </c>
      <c r="R66" s="12">
        <v>0</v>
      </c>
      <c r="S66" s="75">
        <f t="shared" si="16"/>
        <v>0</v>
      </c>
      <c r="T66" s="7">
        <v>63</v>
      </c>
    </row>
    <row r="67" spans="2:20" x14ac:dyDescent="0.25">
      <c r="F67" s="12"/>
      <c r="G67" s="12"/>
      <c r="H67" s="12"/>
      <c r="I67" s="12"/>
      <c r="J67" s="12"/>
      <c r="K67" s="12"/>
      <c r="L67" s="12"/>
      <c r="M67" s="12"/>
      <c r="N67" s="12"/>
      <c r="O67" s="12"/>
      <c r="P67" s="12"/>
      <c r="Q67" s="12"/>
      <c r="R67" s="12"/>
      <c r="S67" s="75"/>
      <c r="T67" s="7">
        <v>64</v>
      </c>
    </row>
    <row r="68" spans="2:20" x14ac:dyDescent="0.25">
      <c r="B68" s="106">
        <v>14</v>
      </c>
      <c r="C68" s="106"/>
      <c r="D68" s="106"/>
      <c r="E68" s="106" t="s">
        <v>246</v>
      </c>
      <c r="F68" s="107">
        <f>F69+F80+F86+F97+F108</f>
        <v>2258203</v>
      </c>
      <c r="G68" s="107">
        <f t="shared" ref="G68:R68" si="17">G69+G80+G86+G97+G108</f>
        <v>758023</v>
      </c>
      <c r="H68" s="107">
        <f t="shared" si="17"/>
        <v>624247.94999999995</v>
      </c>
      <c r="I68" s="107">
        <f t="shared" si="17"/>
        <v>571769</v>
      </c>
      <c r="J68" s="107">
        <f t="shared" si="17"/>
        <v>1492699.8</v>
      </c>
      <c r="K68" s="107">
        <f t="shared" si="17"/>
        <v>0</v>
      </c>
      <c r="L68" s="107">
        <f t="shared" si="17"/>
        <v>649570</v>
      </c>
      <c r="M68" s="107">
        <f t="shared" si="17"/>
        <v>0</v>
      </c>
      <c r="N68" s="107">
        <f t="shared" si="17"/>
        <v>0</v>
      </c>
      <c r="O68" s="107">
        <f t="shared" si="17"/>
        <v>269710</v>
      </c>
      <c r="P68" s="107">
        <f t="shared" si="17"/>
        <v>1258884.1499999999</v>
      </c>
      <c r="Q68" s="107">
        <f t="shared" si="17"/>
        <v>1023560.05</v>
      </c>
      <c r="R68" s="107">
        <f t="shared" si="17"/>
        <v>1522806</v>
      </c>
      <c r="S68" s="107">
        <f t="shared" ref="S68:S78" si="18">SUM(F68:R68)</f>
        <v>10429472.950000001</v>
      </c>
      <c r="T68" s="7">
        <v>65</v>
      </c>
    </row>
    <row r="69" spans="2:20" x14ac:dyDescent="0.25">
      <c r="C69" s="76">
        <v>140</v>
      </c>
      <c r="D69" s="76"/>
      <c r="E69" s="76" t="s">
        <v>248</v>
      </c>
      <c r="F69" s="96">
        <f>F70+F71+F72+F73+F74+F75+F76+F77+F78</f>
        <v>2190403</v>
      </c>
      <c r="G69" s="96">
        <f t="shared" ref="G69:R69" si="19">G70+G71+G72+G73+G74+G75+G76+G77+G78</f>
        <v>758023</v>
      </c>
      <c r="H69" s="96">
        <f t="shared" si="19"/>
        <v>624247.94999999995</v>
      </c>
      <c r="I69" s="96">
        <f t="shared" si="19"/>
        <v>571769</v>
      </c>
      <c r="J69" s="96">
        <f t="shared" si="19"/>
        <v>1492699.8</v>
      </c>
      <c r="K69" s="96">
        <f t="shared" si="19"/>
        <v>0</v>
      </c>
      <c r="L69" s="96">
        <f t="shared" si="19"/>
        <v>649570</v>
      </c>
      <c r="M69" s="96">
        <f t="shared" si="19"/>
        <v>0</v>
      </c>
      <c r="N69" s="96">
        <f t="shared" si="19"/>
        <v>0</v>
      </c>
      <c r="O69" s="96">
        <f t="shared" si="19"/>
        <v>269710</v>
      </c>
      <c r="P69" s="96">
        <f t="shared" si="19"/>
        <v>1258884.1499999999</v>
      </c>
      <c r="Q69" s="96">
        <f t="shared" si="19"/>
        <v>1023560.05</v>
      </c>
      <c r="R69" s="96">
        <f t="shared" si="19"/>
        <v>1522806</v>
      </c>
      <c r="S69" s="96">
        <f t="shared" si="18"/>
        <v>10361672.950000001</v>
      </c>
      <c r="T69" s="7">
        <v>66</v>
      </c>
    </row>
    <row r="70" spans="2:20" x14ac:dyDescent="0.25">
      <c r="D70" s="7">
        <v>1400</v>
      </c>
      <c r="E70" s="7" t="s">
        <v>354</v>
      </c>
      <c r="F70" s="12">
        <v>637850</v>
      </c>
      <c r="G70" s="12">
        <v>233501</v>
      </c>
      <c r="H70" s="12">
        <v>0</v>
      </c>
      <c r="I70" s="12">
        <v>260230</v>
      </c>
      <c r="J70" s="12">
        <v>349180</v>
      </c>
      <c r="K70" s="12"/>
      <c r="L70" s="12">
        <v>201230</v>
      </c>
      <c r="M70" s="12">
        <v>0</v>
      </c>
      <c r="N70" s="12"/>
      <c r="O70" s="12">
        <v>0</v>
      </c>
      <c r="P70" s="12">
        <v>476564.55</v>
      </c>
      <c r="Q70" s="12">
        <v>297148.05</v>
      </c>
      <c r="R70" s="12">
        <v>33000</v>
      </c>
      <c r="S70" s="75">
        <f t="shared" si="18"/>
        <v>2488703.5999999996</v>
      </c>
      <c r="T70" s="7">
        <v>67</v>
      </c>
    </row>
    <row r="71" spans="2:20" x14ac:dyDescent="0.25">
      <c r="D71" s="7">
        <v>1401</v>
      </c>
      <c r="E71" s="7" t="s">
        <v>355</v>
      </c>
      <c r="F71" s="12">
        <v>23800</v>
      </c>
      <c r="G71" s="12">
        <v>60332</v>
      </c>
      <c r="H71" s="12">
        <v>51795.95</v>
      </c>
      <c r="I71" s="12">
        <v>0</v>
      </c>
      <c r="J71" s="12">
        <v>77000</v>
      </c>
      <c r="K71" s="12"/>
      <c r="L71" s="12">
        <v>0</v>
      </c>
      <c r="M71" s="12">
        <v>0</v>
      </c>
      <c r="N71" s="12"/>
      <c r="O71" s="12">
        <v>0</v>
      </c>
      <c r="P71" s="12">
        <v>91903.2</v>
      </c>
      <c r="Q71" s="12">
        <v>0</v>
      </c>
      <c r="R71" s="12">
        <v>0</v>
      </c>
      <c r="S71" s="75">
        <f t="shared" si="18"/>
        <v>304831.15000000002</v>
      </c>
      <c r="T71" s="7">
        <v>68</v>
      </c>
    </row>
    <row r="72" spans="2:20" x14ac:dyDescent="0.25">
      <c r="D72" s="7">
        <v>1402</v>
      </c>
      <c r="E72" s="7" t="s">
        <v>356</v>
      </c>
      <c r="F72" s="12">
        <v>87000</v>
      </c>
      <c r="G72" s="12">
        <v>0</v>
      </c>
      <c r="H72" s="12">
        <v>1</v>
      </c>
      <c r="I72" s="12">
        <v>0</v>
      </c>
      <c r="J72" s="12">
        <v>0</v>
      </c>
      <c r="K72" s="12"/>
      <c r="L72" s="12">
        <v>0</v>
      </c>
      <c r="M72" s="12">
        <v>0</v>
      </c>
      <c r="N72" s="12"/>
      <c r="O72" s="12">
        <v>0</v>
      </c>
      <c r="P72" s="12">
        <v>0</v>
      </c>
      <c r="Q72" s="12">
        <v>0</v>
      </c>
      <c r="R72" s="12">
        <v>0</v>
      </c>
      <c r="S72" s="75">
        <f t="shared" si="18"/>
        <v>87001</v>
      </c>
      <c r="T72" s="7">
        <v>69</v>
      </c>
    </row>
    <row r="73" spans="2:20" x14ac:dyDescent="0.25">
      <c r="D73" s="7">
        <v>1403</v>
      </c>
      <c r="E73" s="7" t="s">
        <v>357</v>
      </c>
      <c r="F73" s="12">
        <v>0</v>
      </c>
      <c r="G73" s="12">
        <v>0</v>
      </c>
      <c r="H73" s="12">
        <v>0</v>
      </c>
      <c r="I73" s="12">
        <v>0</v>
      </c>
      <c r="J73" s="12">
        <v>73749.8</v>
      </c>
      <c r="K73" s="12"/>
      <c r="L73" s="12">
        <v>0</v>
      </c>
      <c r="M73" s="12">
        <v>0</v>
      </c>
      <c r="N73" s="12"/>
      <c r="O73" s="12">
        <v>0</v>
      </c>
      <c r="P73" s="12">
        <v>0</v>
      </c>
      <c r="Q73" s="12">
        <v>0</v>
      </c>
      <c r="R73" s="12">
        <v>0</v>
      </c>
      <c r="S73" s="75">
        <f t="shared" si="18"/>
        <v>73749.8</v>
      </c>
      <c r="T73" s="7">
        <v>70</v>
      </c>
    </row>
    <row r="74" spans="2:20" x14ac:dyDescent="0.25">
      <c r="D74" s="7">
        <v>1404</v>
      </c>
      <c r="E74" s="7" t="s">
        <v>358</v>
      </c>
      <c r="F74" s="12">
        <v>475600</v>
      </c>
      <c r="G74" s="12">
        <v>176400</v>
      </c>
      <c r="H74" s="12">
        <v>1</v>
      </c>
      <c r="I74" s="12">
        <v>2</v>
      </c>
      <c r="J74" s="12">
        <v>106100</v>
      </c>
      <c r="K74" s="12"/>
      <c r="L74" s="12">
        <v>211600</v>
      </c>
      <c r="M74" s="12">
        <v>0</v>
      </c>
      <c r="N74" s="12"/>
      <c r="O74" s="12">
        <v>0</v>
      </c>
      <c r="P74" s="12">
        <v>148049.4</v>
      </c>
      <c r="Q74" s="12">
        <v>0</v>
      </c>
      <c r="R74" s="12">
        <v>1489805</v>
      </c>
      <c r="S74" s="75">
        <f t="shared" si="18"/>
        <v>2607557.4</v>
      </c>
      <c r="T74" s="7">
        <v>71</v>
      </c>
    </row>
    <row r="75" spans="2:20" x14ac:dyDescent="0.25">
      <c r="D75" s="7">
        <v>1405</v>
      </c>
      <c r="E75" s="7" t="s">
        <v>359</v>
      </c>
      <c r="F75" s="12">
        <v>911253</v>
      </c>
      <c r="G75" s="12">
        <v>287790</v>
      </c>
      <c r="H75" s="12">
        <v>570450</v>
      </c>
      <c r="I75" s="12">
        <v>311535</v>
      </c>
      <c r="J75" s="12">
        <v>886670</v>
      </c>
      <c r="K75" s="12"/>
      <c r="L75" s="12">
        <v>236740</v>
      </c>
      <c r="M75" s="12">
        <v>0</v>
      </c>
      <c r="N75" s="12"/>
      <c r="O75" s="12">
        <v>269710</v>
      </c>
      <c r="P75" s="12">
        <v>541866</v>
      </c>
      <c r="Q75" s="12">
        <v>681522</v>
      </c>
      <c r="R75" s="12">
        <v>0</v>
      </c>
      <c r="S75" s="75">
        <f t="shared" si="18"/>
        <v>4697536</v>
      </c>
      <c r="T75" s="7">
        <v>72</v>
      </c>
    </row>
    <row r="76" spans="2:20" x14ac:dyDescent="0.25">
      <c r="D76" s="7">
        <v>1406</v>
      </c>
      <c r="E76" s="7" t="s">
        <v>360</v>
      </c>
      <c r="F76" s="12">
        <v>54900</v>
      </c>
      <c r="G76" s="12">
        <v>0</v>
      </c>
      <c r="H76" s="12">
        <v>2000</v>
      </c>
      <c r="I76" s="12">
        <v>2</v>
      </c>
      <c r="J76" s="12">
        <v>0</v>
      </c>
      <c r="K76" s="12"/>
      <c r="L76" s="12">
        <v>0</v>
      </c>
      <c r="M76" s="12">
        <v>0</v>
      </c>
      <c r="N76" s="12"/>
      <c r="O76" s="12">
        <v>0</v>
      </c>
      <c r="P76" s="12">
        <v>501</v>
      </c>
      <c r="Q76" s="12">
        <v>0</v>
      </c>
      <c r="R76" s="12">
        <v>1</v>
      </c>
      <c r="S76" s="75">
        <f t="shared" si="18"/>
        <v>57404</v>
      </c>
      <c r="T76" s="7">
        <v>73</v>
      </c>
    </row>
    <row r="77" spans="2:20" x14ac:dyDescent="0.25">
      <c r="D77" s="7">
        <v>1407</v>
      </c>
      <c r="E77" s="7" t="s">
        <v>361</v>
      </c>
      <c r="F77" s="12">
        <v>0</v>
      </c>
      <c r="G77" s="12">
        <v>0</v>
      </c>
      <c r="H77" s="12">
        <v>0</v>
      </c>
      <c r="I77" s="12">
        <v>0</v>
      </c>
      <c r="J77" s="12">
        <v>0</v>
      </c>
      <c r="K77" s="12"/>
      <c r="L77" s="12">
        <v>0</v>
      </c>
      <c r="M77" s="12">
        <v>0</v>
      </c>
      <c r="N77" s="12"/>
      <c r="O77" s="12">
        <v>0</v>
      </c>
      <c r="P77" s="12">
        <v>0</v>
      </c>
      <c r="Q77" s="12">
        <v>44890</v>
      </c>
      <c r="R77" s="12">
        <v>0</v>
      </c>
      <c r="S77" s="75">
        <f t="shared" si="18"/>
        <v>44890</v>
      </c>
      <c r="T77" s="7">
        <v>74</v>
      </c>
    </row>
    <row r="78" spans="2:20" x14ac:dyDescent="0.25">
      <c r="D78" s="7">
        <v>1409</v>
      </c>
      <c r="E78" s="7" t="s">
        <v>362</v>
      </c>
      <c r="F78" s="12">
        <v>0</v>
      </c>
      <c r="G78" s="12">
        <v>0</v>
      </c>
      <c r="H78" s="12">
        <v>0</v>
      </c>
      <c r="I78" s="12">
        <v>0</v>
      </c>
      <c r="J78" s="12">
        <v>0</v>
      </c>
      <c r="K78" s="12"/>
      <c r="L78" s="12">
        <v>0</v>
      </c>
      <c r="M78" s="12">
        <v>0</v>
      </c>
      <c r="N78" s="12"/>
      <c r="O78" s="12">
        <v>0</v>
      </c>
      <c r="P78" s="12">
        <v>0</v>
      </c>
      <c r="Q78" s="12">
        <v>0</v>
      </c>
      <c r="R78" s="12">
        <v>0</v>
      </c>
      <c r="S78" s="75">
        <f t="shared" si="18"/>
        <v>0</v>
      </c>
      <c r="T78" s="7">
        <v>75</v>
      </c>
    </row>
    <row r="79" spans="2:20" x14ac:dyDescent="0.25">
      <c r="F79" s="12"/>
      <c r="G79" s="12"/>
      <c r="H79" s="12"/>
      <c r="I79" s="12"/>
      <c r="J79" s="12"/>
      <c r="K79" s="12"/>
      <c r="L79" s="12"/>
      <c r="M79" s="12"/>
      <c r="N79" s="12"/>
      <c r="O79" s="12"/>
      <c r="P79" s="12"/>
      <c r="Q79" s="12"/>
      <c r="R79" s="12"/>
      <c r="S79" s="75"/>
      <c r="T79" s="7">
        <v>76</v>
      </c>
    </row>
    <row r="80" spans="2:20" x14ac:dyDescent="0.25">
      <c r="C80" s="76">
        <v>142</v>
      </c>
      <c r="D80" s="76"/>
      <c r="E80" s="76" t="s">
        <v>577</v>
      </c>
      <c r="F80" s="96">
        <f t="shared" ref="F80:O80" si="20">F81+F82+F83+F84</f>
        <v>0</v>
      </c>
      <c r="G80" s="96">
        <f t="shared" si="20"/>
        <v>0</v>
      </c>
      <c r="H80" s="96">
        <f t="shared" si="20"/>
        <v>0</v>
      </c>
      <c r="I80" s="96">
        <f t="shared" si="20"/>
        <v>0</v>
      </c>
      <c r="J80" s="96">
        <f t="shared" si="20"/>
        <v>0</v>
      </c>
      <c r="K80" s="96">
        <f t="shared" si="20"/>
        <v>0</v>
      </c>
      <c r="L80" s="96">
        <f t="shared" si="20"/>
        <v>0</v>
      </c>
      <c r="M80" s="96">
        <f t="shared" si="20"/>
        <v>0</v>
      </c>
      <c r="N80" s="96">
        <f t="shared" si="20"/>
        <v>0</v>
      </c>
      <c r="O80" s="96">
        <f t="shared" si="20"/>
        <v>0</v>
      </c>
      <c r="P80" s="96">
        <f>P81+P82+P83+P84</f>
        <v>0</v>
      </c>
      <c r="Q80" s="96">
        <f t="shared" ref="Q80:R80" si="21">Q81+Q82+Q83+Q84</f>
        <v>0</v>
      </c>
      <c r="R80" s="96">
        <f t="shared" si="21"/>
        <v>0</v>
      </c>
      <c r="S80" s="96">
        <f t="shared" ref="S80:S84" si="22">SUM(F80:R80)</f>
        <v>0</v>
      </c>
      <c r="T80" s="7">
        <v>77</v>
      </c>
    </row>
    <row r="81" spans="3:20" x14ac:dyDescent="0.25">
      <c r="D81" s="7">
        <v>1420</v>
      </c>
      <c r="E81" s="7" t="s">
        <v>363</v>
      </c>
      <c r="F81" s="12">
        <v>0</v>
      </c>
      <c r="G81" s="12">
        <v>0</v>
      </c>
      <c r="H81" s="12">
        <v>0</v>
      </c>
      <c r="I81" s="12">
        <v>0</v>
      </c>
      <c r="J81" s="12">
        <v>0</v>
      </c>
      <c r="K81" s="12"/>
      <c r="L81" s="12">
        <v>0</v>
      </c>
      <c r="M81" s="12">
        <v>0</v>
      </c>
      <c r="N81" s="12"/>
      <c r="O81" s="12">
        <v>0</v>
      </c>
      <c r="P81" s="12">
        <v>0</v>
      </c>
      <c r="Q81" s="12">
        <v>0</v>
      </c>
      <c r="R81" s="12">
        <v>0</v>
      </c>
      <c r="S81" s="75">
        <f t="shared" si="22"/>
        <v>0</v>
      </c>
      <c r="T81" s="7">
        <v>78</v>
      </c>
    </row>
    <row r="82" spans="3:20" x14ac:dyDescent="0.25">
      <c r="D82" s="7">
        <v>1421</v>
      </c>
      <c r="E82" s="7" t="s">
        <v>364</v>
      </c>
      <c r="F82" s="12">
        <v>0</v>
      </c>
      <c r="G82" s="12">
        <v>0</v>
      </c>
      <c r="H82" s="12">
        <v>0</v>
      </c>
      <c r="I82" s="12">
        <v>0</v>
      </c>
      <c r="J82" s="12">
        <v>0</v>
      </c>
      <c r="K82" s="12"/>
      <c r="L82" s="12">
        <v>0</v>
      </c>
      <c r="M82" s="12">
        <v>0</v>
      </c>
      <c r="N82" s="12"/>
      <c r="O82" s="12">
        <v>0</v>
      </c>
      <c r="P82" s="12">
        <v>0</v>
      </c>
      <c r="Q82" s="12">
        <v>0</v>
      </c>
      <c r="R82" s="12">
        <v>0</v>
      </c>
      <c r="S82" s="75">
        <f t="shared" si="22"/>
        <v>0</v>
      </c>
      <c r="T82" s="7">
        <v>79</v>
      </c>
    </row>
    <row r="83" spans="3:20" x14ac:dyDescent="0.25">
      <c r="D83" s="7">
        <v>1427</v>
      </c>
      <c r="E83" s="7" t="s">
        <v>576</v>
      </c>
      <c r="F83" s="12">
        <v>0</v>
      </c>
      <c r="G83" s="12">
        <v>0</v>
      </c>
      <c r="H83" s="12">
        <v>0</v>
      </c>
      <c r="I83" s="12">
        <v>0</v>
      </c>
      <c r="J83" s="12">
        <v>0</v>
      </c>
      <c r="K83" s="12"/>
      <c r="L83" s="12">
        <v>0</v>
      </c>
      <c r="M83" s="12">
        <v>0</v>
      </c>
      <c r="N83" s="12"/>
      <c r="O83" s="12">
        <v>0</v>
      </c>
      <c r="P83" s="12">
        <v>0</v>
      </c>
      <c r="Q83" s="12">
        <v>0</v>
      </c>
      <c r="R83" s="12">
        <v>0</v>
      </c>
      <c r="S83" s="75">
        <f t="shared" si="22"/>
        <v>0</v>
      </c>
      <c r="T83" s="7">
        <v>80</v>
      </c>
    </row>
    <row r="84" spans="3:20" x14ac:dyDescent="0.25">
      <c r="D84" s="7">
        <v>1429</v>
      </c>
      <c r="E84" s="7" t="s">
        <v>462</v>
      </c>
      <c r="F84" s="12">
        <v>0</v>
      </c>
      <c r="G84" s="12">
        <v>0</v>
      </c>
      <c r="H84" s="12">
        <v>0</v>
      </c>
      <c r="I84" s="12">
        <v>0</v>
      </c>
      <c r="J84" s="12">
        <v>0</v>
      </c>
      <c r="K84" s="12"/>
      <c r="L84" s="12">
        <v>0</v>
      </c>
      <c r="M84" s="12">
        <v>0</v>
      </c>
      <c r="N84" s="12"/>
      <c r="O84" s="12">
        <v>0</v>
      </c>
      <c r="P84" s="12">
        <v>0</v>
      </c>
      <c r="Q84" s="12">
        <v>0</v>
      </c>
      <c r="R84" s="12">
        <v>0</v>
      </c>
      <c r="S84" s="75">
        <f t="shared" si="22"/>
        <v>0</v>
      </c>
      <c r="T84" s="7">
        <v>81</v>
      </c>
    </row>
    <row r="85" spans="3:20" x14ac:dyDescent="0.25">
      <c r="F85" s="12"/>
      <c r="G85" s="12"/>
      <c r="H85" s="12"/>
      <c r="I85" s="12"/>
      <c r="J85" s="12"/>
      <c r="K85" s="12"/>
      <c r="L85" s="12"/>
      <c r="M85" s="12"/>
      <c r="N85" s="12"/>
      <c r="O85" s="12"/>
      <c r="P85" s="12"/>
      <c r="Q85" s="12"/>
      <c r="R85" s="12"/>
      <c r="S85" s="75"/>
      <c r="T85" s="7">
        <v>82</v>
      </c>
    </row>
    <row r="86" spans="3:20" x14ac:dyDescent="0.25">
      <c r="C86" s="76">
        <v>144</v>
      </c>
      <c r="D86" s="76"/>
      <c r="E86" s="76" t="s">
        <v>249</v>
      </c>
      <c r="F86" s="96">
        <f>F87+F88+F89+F90+F91+F92+F93+F94+F95</f>
        <v>67800</v>
      </c>
      <c r="G86" s="96">
        <f t="shared" ref="G86:R86" si="23">G87+G88+G89+G90+G91+G92+G93+G94+G95</f>
        <v>0</v>
      </c>
      <c r="H86" s="96">
        <f t="shared" si="23"/>
        <v>0</v>
      </c>
      <c r="I86" s="96">
        <f t="shared" si="23"/>
        <v>0</v>
      </c>
      <c r="J86" s="96">
        <f t="shared" si="23"/>
        <v>0</v>
      </c>
      <c r="K86" s="96">
        <f t="shared" si="23"/>
        <v>0</v>
      </c>
      <c r="L86" s="96">
        <f t="shared" si="23"/>
        <v>0</v>
      </c>
      <c r="M86" s="96">
        <f t="shared" si="23"/>
        <v>0</v>
      </c>
      <c r="N86" s="96">
        <f t="shared" si="23"/>
        <v>0</v>
      </c>
      <c r="O86" s="96">
        <f t="shared" si="23"/>
        <v>0</v>
      </c>
      <c r="P86" s="96">
        <f t="shared" si="23"/>
        <v>0</v>
      </c>
      <c r="Q86" s="96">
        <f t="shared" si="23"/>
        <v>0</v>
      </c>
      <c r="R86" s="96">
        <f t="shared" si="23"/>
        <v>0</v>
      </c>
      <c r="S86" s="96">
        <f t="shared" ref="S86:S95" si="24">SUM(F86:R86)</f>
        <v>67800</v>
      </c>
      <c r="T86" s="7">
        <v>83</v>
      </c>
    </row>
    <row r="87" spans="3:20" x14ac:dyDescent="0.25">
      <c r="D87" s="7">
        <v>1440</v>
      </c>
      <c r="E87" s="7" t="s">
        <v>365</v>
      </c>
      <c r="F87" s="12">
        <v>0</v>
      </c>
      <c r="G87" s="12">
        <v>0</v>
      </c>
      <c r="H87" s="12">
        <v>0</v>
      </c>
      <c r="I87" s="12">
        <v>0</v>
      </c>
      <c r="J87" s="12">
        <v>0</v>
      </c>
      <c r="K87" s="12"/>
      <c r="L87" s="12">
        <v>0</v>
      </c>
      <c r="M87" s="12">
        <v>0</v>
      </c>
      <c r="N87" s="12"/>
      <c r="O87" s="12">
        <v>0</v>
      </c>
      <c r="P87" s="12">
        <v>0</v>
      </c>
      <c r="Q87" s="12">
        <v>0</v>
      </c>
      <c r="R87" s="12">
        <v>0</v>
      </c>
      <c r="S87" s="75">
        <f t="shared" si="24"/>
        <v>0</v>
      </c>
      <c r="T87" s="7">
        <v>84</v>
      </c>
    </row>
    <row r="88" spans="3:20" x14ac:dyDescent="0.25">
      <c r="D88" s="7">
        <v>1441</v>
      </c>
      <c r="E88" s="7" t="s">
        <v>367</v>
      </c>
      <c r="F88" s="12">
        <v>0</v>
      </c>
      <c r="G88" s="12">
        <v>0</v>
      </c>
      <c r="H88" s="12">
        <v>0</v>
      </c>
      <c r="I88" s="12">
        <v>0</v>
      </c>
      <c r="J88" s="12">
        <v>0</v>
      </c>
      <c r="K88" s="12"/>
      <c r="L88" s="12">
        <v>0</v>
      </c>
      <c r="M88" s="12">
        <v>0</v>
      </c>
      <c r="N88" s="12"/>
      <c r="O88" s="12">
        <v>0</v>
      </c>
      <c r="P88" s="12">
        <v>0</v>
      </c>
      <c r="Q88" s="12">
        <v>0</v>
      </c>
      <c r="R88" s="12">
        <v>0</v>
      </c>
      <c r="S88" s="75">
        <f t="shared" si="24"/>
        <v>0</v>
      </c>
      <c r="T88" s="7">
        <v>85</v>
      </c>
    </row>
    <row r="89" spans="3:20" x14ac:dyDescent="0.25">
      <c r="D89" s="7">
        <v>1442</v>
      </c>
      <c r="E89" s="7" t="s">
        <v>366</v>
      </c>
      <c r="F89" s="12">
        <v>22800</v>
      </c>
      <c r="G89" s="12">
        <v>0</v>
      </c>
      <c r="H89" s="12">
        <v>0</v>
      </c>
      <c r="I89" s="12">
        <v>0</v>
      </c>
      <c r="J89" s="12">
        <v>0</v>
      </c>
      <c r="K89" s="12"/>
      <c r="L89" s="12">
        <v>0</v>
      </c>
      <c r="M89" s="12">
        <v>0</v>
      </c>
      <c r="N89" s="12"/>
      <c r="O89" s="12">
        <v>0</v>
      </c>
      <c r="P89" s="12">
        <v>0</v>
      </c>
      <c r="Q89" s="12">
        <v>0</v>
      </c>
      <c r="R89" s="12">
        <v>0</v>
      </c>
      <c r="S89" s="75">
        <f t="shared" si="24"/>
        <v>22800</v>
      </c>
      <c r="T89" s="7">
        <v>86</v>
      </c>
    </row>
    <row r="90" spans="3:20" x14ac:dyDescent="0.25">
      <c r="D90" s="7">
        <v>1443</v>
      </c>
      <c r="E90" s="7" t="s">
        <v>368</v>
      </c>
      <c r="F90" s="12">
        <v>0</v>
      </c>
      <c r="G90" s="12">
        <v>0</v>
      </c>
      <c r="H90" s="12">
        <v>0</v>
      </c>
      <c r="I90" s="12">
        <v>0</v>
      </c>
      <c r="J90" s="12">
        <v>0</v>
      </c>
      <c r="K90" s="12"/>
      <c r="L90" s="12">
        <v>0</v>
      </c>
      <c r="M90" s="12">
        <v>0</v>
      </c>
      <c r="N90" s="12"/>
      <c r="O90" s="12">
        <v>0</v>
      </c>
      <c r="P90" s="12">
        <v>0</v>
      </c>
      <c r="Q90" s="12">
        <v>0</v>
      </c>
      <c r="R90" s="12">
        <v>0</v>
      </c>
      <c r="S90" s="75">
        <f t="shared" si="24"/>
        <v>0</v>
      </c>
      <c r="T90" s="7">
        <v>87</v>
      </c>
    </row>
    <row r="91" spans="3:20" x14ac:dyDescent="0.25">
      <c r="D91" s="7">
        <v>1444</v>
      </c>
      <c r="E91" s="7" t="s">
        <v>369</v>
      </c>
      <c r="F91" s="12">
        <v>0</v>
      </c>
      <c r="G91" s="12">
        <v>0</v>
      </c>
      <c r="H91" s="12">
        <v>0</v>
      </c>
      <c r="I91" s="12">
        <v>0</v>
      </c>
      <c r="J91" s="12">
        <v>0</v>
      </c>
      <c r="K91" s="12"/>
      <c r="L91" s="12">
        <v>0</v>
      </c>
      <c r="M91" s="12">
        <v>0</v>
      </c>
      <c r="N91" s="12"/>
      <c r="O91" s="12">
        <v>0</v>
      </c>
      <c r="P91" s="12">
        <v>0</v>
      </c>
      <c r="Q91" s="12">
        <v>0</v>
      </c>
      <c r="R91" s="12">
        <v>0</v>
      </c>
      <c r="S91" s="75">
        <f t="shared" si="24"/>
        <v>0</v>
      </c>
      <c r="T91" s="7">
        <v>88</v>
      </c>
    </row>
    <row r="92" spans="3:20" x14ac:dyDescent="0.25">
      <c r="D92" s="7">
        <v>1445</v>
      </c>
      <c r="E92" s="7" t="s">
        <v>370</v>
      </c>
      <c r="F92" s="12">
        <v>0</v>
      </c>
      <c r="G92" s="12">
        <v>0</v>
      </c>
      <c r="H92" s="12">
        <v>0</v>
      </c>
      <c r="I92" s="12">
        <v>0</v>
      </c>
      <c r="J92" s="12">
        <v>0</v>
      </c>
      <c r="K92" s="12"/>
      <c r="L92" s="12">
        <v>0</v>
      </c>
      <c r="M92" s="12">
        <v>0</v>
      </c>
      <c r="N92" s="12"/>
      <c r="O92" s="12">
        <v>0</v>
      </c>
      <c r="P92" s="12">
        <v>0</v>
      </c>
      <c r="Q92" s="12">
        <v>0</v>
      </c>
      <c r="R92" s="12">
        <v>0</v>
      </c>
      <c r="S92" s="75">
        <f t="shared" si="24"/>
        <v>0</v>
      </c>
      <c r="T92" s="7">
        <v>89</v>
      </c>
    </row>
    <row r="93" spans="3:20" x14ac:dyDescent="0.25">
      <c r="D93" s="7">
        <v>1446</v>
      </c>
      <c r="E93" s="7" t="s">
        <v>371</v>
      </c>
      <c r="F93" s="12">
        <v>45000</v>
      </c>
      <c r="G93" s="12">
        <v>0</v>
      </c>
      <c r="H93" s="12">
        <v>0</v>
      </c>
      <c r="I93" s="12">
        <v>0</v>
      </c>
      <c r="J93" s="12">
        <v>0</v>
      </c>
      <c r="K93" s="12"/>
      <c r="L93" s="12">
        <v>0</v>
      </c>
      <c r="M93" s="12">
        <v>0</v>
      </c>
      <c r="N93" s="12"/>
      <c r="O93" s="12">
        <v>0</v>
      </c>
      <c r="P93" s="12">
        <v>0</v>
      </c>
      <c r="Q93" s="12">
        <v>0</v>
      </c>
      <c r="R93" s="12">
        <v>0</v>
      </c>
      <c r="S93" s="75">
        <f t="shared" si="24"/>
        <v>45000</v>
      </c>
      <c r="T93" s="7">
        <v>90</v>
      </c>
    </row>
    <row r="94" spans="3:20" x14ac:dyDescent="0.25">
      <c r="D94" s="7">
        <v>1447</v>
      </c>
      <c r="E94" s="7" t="s">
        <v>372</v>
      </c>
      <c r="F94" s="12">
        <v>0</v>
      </c>
      <c r="G94" s="12">
        <v>0</v>
      </c>
      <c r="H94" s="12">
        <v>0</v>
      </c>
      <c r="I94" s="12">
        <v>0</v>
      </c>
      <c r="J94" s="12">
        <v>0</v>
      </c>
      <c r="K94" s="12"/>
      <c r="L94" s="12">
        <v>0</v>
      </c>
      <c r="M94" s="12">
        <v>0</v>
      </c>
      <c r="N94" s="12"/>
      <c r="O94" s="12">
        <v>0</v>
      </c>
      <c r="P94" s="12">
        <v>0</v>
      </c>
      <c r="Q94" s="12">
        <v>0</v>
      </c>
      <c r="R94" s="12">
        <v>0</v>
      </c>
      <c r="S94" s="75">
        <f t="shared" si="24"/>
        <v>0</v>
      </c>
      <c r="T94" s="7">
        <v>91</v>
      </c>
    </row>
    <row r="95" spans="3:20" x14ac:dyDescent="0.25">
      <c r="D95" s="7">
        <v>1448</v>
      </c>
      <c r="E95" s="7" t="s">
        <v>373</v>
      </c>
      <c r="F95" s="12">
        <v>0</v>
      </c>
      <c r="G95" s="12">
        <v>0</v>
      </c>
      <c r="H95" s="12">
        <v>0</v>
      </c>
      <c r="I95" s="12">
        <v>0</v>
      </c>
      <c r="J95" s="12">
        <v>0</v>
      </c>
      <c r="K95" s="12"/>
      <c r="L95" s="12">
        <v>0</v>
      </c>
      <c r="M95" s="12">
        <v>0</v>
      </c>
      <c r="N95" s="12"/>
      <c r="O95" s="12">
        <v>0</v>
      </c>
      <c r="P95" s="12">
        <v>0</v>
      </c>
      <c r="Q95" s="12">
        <v>0</v>
      </c>
      <c r="R95" s="12">
        <v>0</v>
      </c>
      <c r="S95" s="75">
        <f t="shared" si="24"/>
        <v>0</v>
      </c>
      <c r="T95" s="7">
        <v>92</v>
      </c>
    </row>
    <row r="96" spans="3:20" x14ac:dyDescent="0.25">
      <c r="F96" s="12"/>
      <c r="G96" s="12"/>
      <c r="H96" s="12"/>
      <c r="I96" s="12"/>
      <c r="J96" s="12"/>
      <c r="K96" s="12"/>
      <c r="L96" s="12"/>
      <c r="M96" s="12"/>
      <c r="N96" s="12"/>
      <c r="O96" s="12"/>
      <c r="P96" s="12"/>
      <c r="Q96" s="12"/>
      <c r="R96" s="12"/>
      <c r="S96" s="75"/>
      <c r="T96" s="7">
        <v>93</v>
      </c>
    </row>
    <row r="97" spans="3:20" x14ac:dyDescent="0.25">
      <c r="C97" s="76">
        <v>145</v>
      </c>
      <c r="D97" s="76"/>
      <c r="E97" s="76" t="s">
        <v>376</v>
      </c>
      <c r="F97" s="96">
        <f>F98+F99+F100+F101+F102+F103+F104+F105+F106</f>
        <v>0</v>
      </c>
      <c r="G97" s="96">
        <f t="shared" ref="G97:R97" si="25">G98+G99+G100+G101+G102+G103+G104+G105+G106</f>
        <v>0</v>
      </c>
      <c r="H97" s="96">
        <f t="shared" si="25"/>
        <v>0</v>
      </c>
      <c r="I97" s="96">
        <f t="shared" si="25"/>
        <v>0</v>
      </c>
      <c r="J97" s="96">
        <f t="shared" si="25"/>
        <v>0</v>
      </c>
      <c r="K97" s="96">
        <f t="shared" si="25"/>
        <v>0</v>
      </c>
      <c r="L97" s="96">
        <f t="shared" si="25"/>
        <v>0</v>
      </c>
      <c r="M97" s="96">
        <f t="shared" si="25"/>
        <v>0</v>
      </c>
      <c r="N97" s="96">
        <f t="shared" si="25"/>
        <v>0</v>
      </c>
      <c r="O97" s="96">
        <f t="shared" si="25"/>
        <v>0</v>
      </c>
      <c r="P97" s="96">
        <f t="shared" si="25"/>
        <v>0</v>
      </c>
      <c r="Q97" s="96">
        <f t="shared" si="25"/>
        <v>0</v>
      </c>
      <c r="R97" s="96">
        <f t="shared" si="25"/>
        <v>0</v>
      </c>
      <c r="S97" s="96">
        <f t="shared" ref="S97:S106" si="26">SUM(F97:R97)</f>
        <v>0</v>
      </c>
      <c r="T97" s="7">
        <v>94</v>
      </c>
    </row>
    <row r="98" spans="3:20" x14ac:dyDescent="0.25">
      <c r="D98" s="7">
        <v>1450</v>
      </c>
      <c r="E98" s="7" t="s">
        <v>375</v>
      </c>
      <c r="F98" s="12">
        <v>0</v>
      </c>
      <c r="G98" s="12">
        <v>0</v>
      </c>
      <c r="H98" s="12">
        <v>0</v>
      </c>
      <c r="I98" s="12">
        <v>0</v>
      </c>
      <c r="J98" s="12">
        <v>0</v>
      </c>
      <c r="K98" s="12"/>
      <c r="L98" s="12">
        <v>0</v>
      </c>
      <c r="M98" s="12">
        <v>0</v>
      </c>
      <c r="N98" s="12"/>
      <c r="O98" s="12">
        <v>0</v>
      </c>
      <c r="P98" s="12">
        <v>0</v>
      </c>
      <c r="Q98" s="12">
        <v>0</v>
      </c>
      <c r="R98" s="12">
        <v>0</v>
      </c>
      <c r="S98" s="75">
        <f t="shared" si="26"/>
        <v>0</v>
      </c>
      <c r="T98" s="7">
        <v>95</v>
      </c>
    </row>
    <row r="99" spans="3:20" x14ac:dyDescent="0.25">
      <c r="D99" s="7">
        <v>1451</v>
      </c>
      <c r="E99" s="7" t="s">
        <v>374</v>
      </c>
      <c r="F99" s="12">
        <v>0</v>
      </c>
      <c r="G99" s="12">
        <v>0</v>
      </c>
      <c r="H99" s="12">
        <v>0</v>
      </c>
      <c r="I99" s="12">
        <v>0</v>
      </c>
      <c r="J99" s="12">
        <v>0</v>
      </c>
      <c r="K99" s="12"/>
      <c r="L99" s="12">
        <v>0</v>
      </c>
      <c r="M99" s="12">
        <v>0</v>
      </c>
      <c r="N99" s="12"/>
      <c r="O99" s="12">
        <v>0</v>
      </c>
      <c r="P99" s="12">
        <v>0</v>
      </c>
      <c r="Q99" s="12">
        <v>0</v>
      </c>
      <c r="R99" s="12">
        <v>0</v>
      </c>
      <c r="S99" s="75">
        <f t="shared" si="26"/>
        <v>0</v>
      </c>
      <c r="T99" s="7">
        <v>96</v>
      </c>
    </row>
    <row r="100" spans="3:20" x14ac:dyDescent="0.25">
      <c r="D100" s="7">
        <v>1452</v>
      </c>
      <c r="E100" s="7" t="s">
        <v>377</v>
      </c>
      <c r="F100" s="12">
        <v>0</v>
      </c>
      <c r="G100" s="12">
        <v>0</v>
      </c>
      <c r="H100" s="12">
        <v>0</v>
      </c>
      <c r="I100" s="12">
        <v>0</v>
      </c>
      <c r="J100" s="12">
        <v>0</v>
      </c>
      <c r="K100" s="12"/>
      <c r="L100" s="12">
        <v>0</v>
      </c>
      <c r="M100" s="12">
        <v>0</v>
      </c>
      <c r="N100" s="12"/>
      <c r="O100" s="12">
        <v>0</v>
      </c>
      <c r="P100" s="12">
        <v>0</v>
      </c>
      <c r="Q100" s="12">
        <v>0</v>
      </c>
      <c r="R100" s="12">
        <v>0</v>
      </c>
      <c r="S100" s="75">
        <f t="shared" si="26"/>
        <v>0</v>
      </c>
      <c r="T100" s="7">
        <v>97</v>
      </c>
    </row>
    <row r="101" spans="3:20" x14ac:dyDescent="0.25">
      <c r="D101" s="7">
        <v>1453</v>
      </c>
      <c r="E101" s="7" t="s">
        <v>378</v>
      </c>
      <c r="F101" s="12">
        <v>0</v>
      </c>
      <c r="G101" s="12">
        <v>0</v>
      </c>
      <c r="H101" s="12">
        <v>0</v>
      </c>
      <c r="I101" s="12">
        <v>0</v>
      </c>
      <c r="J101" s="12">
        <v>0</v>
      </c>
      <c r="K101" s="12"/>
      <c r="L101" s="12">
        <v>0</v>
      </c>
      <c r="M101" s="12">
        <v>0</v>
      </c>
      <c r="N101" s="12"/>
      <c r="O101" s="12">
        <v>0</v>
      </c>
      <c r="P101" s="12">
        <v>0</v>
      </c>
      <c r="Q101" s="12">
        <v>0</v>
      </c>
      <c r="R101" s="12">
        <v>0</v>
      </c>
      <c r="S101" s="75">
        <f t="shared" si="26"/>
        <v>0</v>
      </c>
      <c r="T101" s="7">
        <v>98</v>
      </c>
    </row>
    <row r="102" spans="3:20" x14ac:dyDescent="0.25">
      <c r="D102" s="7">
        <v>1454</v>
      </c>
      <c r="E102" s="7" t="s">
        <v>379</v>
      </c>
      <c r="F102" s="12">
        <v>0</v>
      </c>
      <c r="G102" s="12">
        <v>0</v>
      </c>
      <c r="H102" s="12">
        <v>0</v>
      </c>
      <c r="I102" s="12">
        <v>0</v>
      </c>
      <c r="J102" s="12">
        <v>0</v>
      </c>
      <c r="K102" s="12"/>
      <c r="L102" s="12">
        <v>0</v>
      </c>
      <c r="M102" s="12">
        <v>0</v>
      </c>
      <c r="N102" s="12"/>
      <c r="O102" s="12">
        <v>0</v>
      </c>
      <c r="P102" s="12">
        <v>0</v>
      </c>
      <c r="Q102" s="12">
        <v>0</v>
      </c>
      <c r="R102" s="12">
        <v>0</v>
      </c>
      <c r="S102" s="75">
        <f t="shared" si="26"/>
        <v>0</v>
      </c>
      <c r="T102" s="7">
        <v>99</v>
      </c>
    </row>
    <row r="103" spans="3:20" x14ac:dyDescent="0.25">
      <c r="D103" s="7">
        <v>1455</v>
      </c>
      <c r="E103" s="7" t="s">
        <v>380</v>
      </c>
      <c r="F103" s="12">
        <v>0</v>
      </c>
      <c r="G103" s="12">
        <v>0</v>
      </c>
      <c r="H103" s="12">
        <v>0</v>
      </c>
      <c r="I103" s="12">
        <v>0</v>
      </c>
      <c r="J103" s="12">
        <v>0</v>
      </c>
      <c r="K103" s="12"/>
      <c r="L103" s="12">
        <v>0</v>
      </c>
      <c r="M103" s="12">
        <v>0</v>
      </c>
      <c r="N103" s="12"/>
      <c r="O103" s="12">
        <v>0</v>
      </c>
      <c r="P103" s="12">
        <v>0</v>
      </c>
      <c r="Q103" s="12">
        <v>0</v>
      </c>
      <c r="R103" s="12">
        <v>0</v>
      </c>
      <c r="S103" s="75">
        <f t="shared" si="26"/>
        <v>0</v>
      </c>
      <c r="T103" s="7">
        <v>100</v>
      </c>
    </row>
    <row r="104" spans="3:20" x14ac:dyDescent="0.25">
      <c r="D104" s="7">
        <v>1456</v>
      </c>
      <c r="E104" s="7" t="s">
        <v>381</v>
      </c>
      <c r="F104" s="12">
        <v>0</v>
      </c>
      <c r="G104" s="12">
        <v>0</v>
      </c>
      <c r="H104" s="12">
        <v>0</v>
      </c>
      <c r="I104" s="12">
        <v>0</v>
      </c>
      <c r="J104" s="12">
        <v>0</v>
      </c>
      <c r="K104" s="12"/>
      <c r="L104" s="12">
        <v>0</v>
      </c>
      <c r="M104" s="12">
        <v>0</v>
      </c>
      <c r="N104" s="12"/>
      <c r="O104" s="12">
        <v>0</v>
      </c>
      <c r="P104" s="12">
        <v>0</v>
      </c>
      <c r="Q104" s="12">
        <v>0</v>
      </c>
      <c r="R104" s="12">
        <v>0</v>
      </c>
      <c r="S104" s="75">
        <f t="shared" si="26"/>
        <v>0</v>
      </c>
      <c r="T104" s="7">
        <v>101</v>
      </c>
    </row>
    <row r="105" spans="3:20" x14ac:dyDescent="0.25">
      <c r="D105" s="7">
        <v>1457</v>
      </c>
      <c r="E105" s="7" t="s">
        <v>382</v>
      </c>
      <c r="F105" s="12">
        <v>0</v>
      </c>
      <c r="G105" s="12">
        <v>0</v>
      </c>
      <c r="H105" s="12">
        <v>0</v>
      </c>
      <c r="I105" s="12">
        <v>0</v>
      </c>
      <c r="J105" s="12">
        <v>0</v>
      </c>
      <c r="K105" s="12"/>
      <c r="L105" s="12">
        <v>0</v>
      </c>
      <c r="M105" s="12">
        <v>0</v>
      </c>
      <c r="N105" s="12"/>
      <c r="O105" s="12">
        <v>0</v>
      </c>
      <c r="P105" s="12">
        <v>0</v>
      </c>
      <c r="Q105" s="12">
        <v>0</v>
      </c>
      <c r="R105" s="12">
        <v>0</v>
      </c>
      <c r="S105" s="75">
        <f t="shared" si="26"/>
        <v>0</v>
      </c>
      <c r="T105" s="7">
        <v>102</v>
      </c>
    </row>
    <row r="106" spans="3:20" x14ac:dyDescent="0.25">
      <c r="D106" s="7">
        <v>1458</v>
      </c>
      <c r="E106" s="7" t="s">
        <v>383</v>
      </c>
      <c r="F106" s="12">
        <v>0</v>
      </c>
      <c r="G106" s="12">
        <v>0</v>
      </c>
      <c r="H106" s="12">
        <v>0</v>
      </c>
      <c r="I106" s="12">
        <v>0</v>
      </c>
      <c r="J106" s="12">
        <v>0</v>
      </c>
      <c r="K106" s="12"/>
      <c r="L106" s="12">
        <v>0</v>
      </c>
      <c r="M106" s="12">
        <v>0</v>
      </c>
      <c r="N106" s="12"/>
      <c r="O106" s="12">
        <v>0</v>
      </c>
      <c r="P106" s="12">
        <v>0</v>
      </c>
      <c r="Q106" s="12">
        <v>0</v>
      </c>
      <c r="R106" s="12">
        <v>0</v>
      </c>
      <c r="S106" s="75">
        <f t="shared" si="26"/>
        <v>0</v>
      </c>
      <c r="T106" s="7">
        <v>103</v>
      </c>
    </row>
    <row r="107" spans="3:20" x14ac:dyDescent="0.25">
      <c r="F107" s="12"/>
      <c r="G107" s="12"/>
      <c r="H107" s="12"/>
      <c r="I107" s="12"/>
      <c r="J107" s="12"/>
      <c r="K107" s="12"/>
      <c r="L107" s="12"/>
      <c r="M107" s="12"/>
      <c r="N107" s="12"/>
      <c r="O107" s="12"/>
      <c r="P107" s="12"/>
      <c r="Q107" s="12"/>
      <c r="R107" s="12"/>
      <c r="S107" s="75"/>
      <c r="T107" s="7">
        <v>104</v>
      </c>
    </row>
    <row r="108" spans="3:20" x14ac:dyDescent="0.25">
      <c r="C108" s="76">
        <v>146</v>
      </c>
      <c r="D108" s="76"/>
      <c r="E108" s="76" t="s">
        <v>394</v>
      </c>
      <c r="F108" s="96">
        <f>F109+F110+F111+F112+F113+F114+F115+F116+F117+F118</f>
        <v>0</v>
      </c>
      <c r="G108" s="96">
        <f t="shared" ref="G108:R108" si="27">G109+G110+G111+G112+G113+G114+G115+G116+G117+G118</f>
        <v>0</v>
      </c>
      <c r="H108" s="96">
        <f t="shared" si="27"/>
        <v>0</v>
      </c>
      <c r="I108" s="96">
        <f t="shared" si="27"/>
        <v>0</v>
      </c>
      <c r="J108" s="96">
        <f t="shared" si="27"/>
        <v>0</v>
      </c>
      <c r="K108" s="96">
        <f t="shared" si="27"/>
        <v>0</v>
      </c>
      <c r="L108" s="96">
        <f t="shared" si="27"/>
        <v>0</v>
      </c>
      <c r="M108" s="96">
        <f t="shared" si="27"/>
        <v>0</v>
      </c>
      <c r="N108" s="96">
        <f t="shared" si="27"/>
        <v>0</v>
      </c>
      <c r="O108" s="96">
        <f t="shared" si="27"/>
        <v>0</v>
      </c>
      <c r="P108" s="96">
        <f t="shared" si="27"/>
        <v>0</v>
      </c>
      <c r="Q108" s="96">
        <f t="shared" si="27"/>
        <v>0</v>
      </c>
      <c r="R108" s="96">
        <f t="shared" si="27"/>
        <v>0</v>
      </c>
      <c r="S108" s="96">
        <f t="shared" ref="S108:S118" si="28">SUM(F108:R108)</f>
        <v>0</v>
      </c>
      <c r="T108" s="7">
        <v>105</v>
      </c>
    </row>
    <row r="109" spans="3:20" x14ac:dyDescent="0.25">
      <c r="D109" s="7">
        <v>1460</v>
      </c>
      <c r="E109" s="7" t="s">
        <v>391</v>
      </c>
      <c r="F109" s="12">
        <v>0</v>
      </c>
      <c r="G109" s="12">
        <v>0</v>
      </c>
      <c r="H109" s="12">
        <v>0</v>
      </c>
      <c r="I109" s="12">
        <v>0</v>
      </c>
      <c r="J109" s="12">
        <v>0</v>
      </c>
      <c r="K109" s="12"/>
      <c r="L109" s="12">
        <v>0</v>
      </c>
      <c r="M109" s="12">
        <v>0</v>
      </c>
      <c r="N109" s="12"/>
      <c r="O109" s="12">
        <v>0</v>
      </c>
      <c r="P109" s="12">
        <v>0</v>
      </c>
      <c r="Q109" s="12">
        <v>0</v>
      </c>
      <c r="R109" s="12">
        <v>0</v>
      </c>
      <c r="S109" s="75">
        <f t="shared" si="28"/>
        <v>0</v>
      </c>
      <c r="T109" s="7">
        <v>106</v>
      </c>
    </row>
    <row r="110" spans="3:20" x14ac:dyDescent="0.25">
      <c r="D110" s="7">
        <v>1461</v>
      </c>
      <c r="E110" s="7" t="s">
        <v>392</v>
      </c>
      <c r="F110" s="12">
        <v>0</v>
      </c>
      <c r="G110" s="12">
        <v>0</v>
      </c>
      <c r="H110" s="12">
        <v>0</v>
      </c>
      <c r="I110" s="12">
        <v>0</v>
      </c>
      <c r="J110" s="12">
        <v>0</v>
      </c>
      <c r="K110" s="12"/>
      <c r="L110" s="12">
        <v>0</v>
      </c>
      <c r="M110" s="12">
        <v>0</v>
      </c>
      <c r="N110" s="12"/>
      <c r="O110" s="12">
        <v>0</v>
      </c>
      <c r="P110" s="12">
        <v>0</v>
      </c>
      <c r="Q110" s="12">
        <v>0</v>
      </c>
      <c r="R110" s="12">
        <v>0</v>
      </c>
      <c r="S110" s="75">
        <f t="shared" si="28"/>
        <v>0</v>
      </c>
      <c r="T110" s="7">
        <v>107</v>
      </c>
    </row>
    <row r="111" spans="3:20" x14ac:dyDescent="0.25">
      <c r="D111" s="7">
        <v>1462</v>
      </c>
      <c r="E111" s="7" t="s">
        <v>384</v>
      </c>
      <c r="F111" s="12">
        <v>0</v>
      </c>
      <c r="G111" s="12">
        <v>0</v>
      </c>
      <c r="H111" s="12">
        <v>0</v>
      </c>
      <c r="I111" s="12">
        <v>0</v>
      </c>
      <c r="J111" s="12">
        <v>0</v>
      </c>
      <c r="K111" s="12"/>
      <c r="L111" s="12">
        <v>0</v>
      </c>
      <c r="M111" s="12">
        <v>0</v>
      </c>
      <c r="N111" s="12"/>
      <c r="O111" s="12">
        <v>0</v>
      </c>
      <c r="P111" s="12">
        <v>0</v>
      </c>
      <c r="Q111" s="12">
        <v>0</v>
      </c>
      <c r="R111" s="12">
        <v>0</v>
      </c>
      <c r="S111" s="75">
        <f t="shared" si="28"/>
        <v>0</v>
      </c>
      <c r="T111" s="7">
        <v>108</v>
      </c>
    </row>
    <row r="112" spans="3:20" x14ac:dyDescent="0.25">
      <c r="D112" s="7">
        <v>1463</v>
      </c>
      <c r="E112" s="7" t="s">
        <v>385</v>
      </c>
      <c r="F112" s="12">
        <v>0</v>
      </c>
      <c r="G112" s="12">
        <v>0</v>
      </c>
      <c r="H112" s="12">
        <v>0</v>
      </c>
      <c r="I112" s="12">
        <v>0</v>
      </c>
      <c r="J112" s="12">
        <v>0</v>
      </c>
      <c r="K112" s="12"/>
      <c r="L112" s="12">
        <v>0</v>
      </c>
      <c r="M112" s="12">
        <v>0</v>
      </c>
      <c r="N112" s="12"/>
      <c r="O112" s="12">
        <v>0</v>
      </c>
      <c r="P112" s="12">
        <v>0</v>
      </c>
      <c r="Q112" s="12">
        <v>0</v>
      </c>
      <c r="R112" s="12">
        <v>0</v>
      </c>
      <c r="S112" s="75">
        <f t="shared" si="28"/>
        <v>0</v>
      </c>
      <c r="T112" s="7">
        <v>109</v>
      </c>
    </row>
    <row r="113" spans="1:20" x14ac:dyDescent="0.25">
      <c r="D113" s="7">
        <v>1464</v>
      </c>
      <c r="E113" s="7" t="s">
        <v>386</v>
      </c>
      <c r="F113" s="12">
        <v>0</v>
      </c>
      <c r="G113" s="12">
        <v>0</v>
      </c>
      <c r="H113" s="12">
        <v>0</v>
      </c>
      <c r="I113" s="12">
        <v>0</v>
      </c>
      <c r="J113" s="12">
        <v>0</v>
      </c>
      <c r="K113" s="12"/>
      <c r="L113" s="12">
        <v>0</v>
      </c>
      <c r="M113" s="12">
        <v>0</v>
      </c>
      <c r="N113" s="12"/>
      <c r="O113" s="12">
        <v>0</v>
      </c>
      <c r="P113" s="12">
        <v>0</v>
      </c>
      <c r="Q113" s="12">
        <v>0</v>
      </c>
      <c r="R113" s="12">
        <v>0</v>
      </c>
      <c r="S113" s="75">
        <f t="shared" si="28"/>
        <v>0</v>
      </c>
      <c r="T113" s="7">
        <v>110</v>
      </c>
    </row>
    <row r="114" spans="1:20" x14ac:dyDescent="0.25">
      <c r="D114" s="7">
        <v>1465</v>
      </c>
      <c r="E114" s="7" t="s">
        <v>387</v>
      </c>
      <c r="F114" s="12">
        <v>0</v>
      </c>
      <c r="G114" s="12">
        <v>0</v>
      </c>
      <c r="H114" s="12">
        <v>0</v>
      </c>
      <c r="I114" s="12">
        <v>0</v>
      </c>
      <c r="J114" s="12">
        <v>0</v>
      </c>
      <c r="K114" s="12"/>
      <c r="L114" s="12">
        <v>0</v>
      </c>
      <c r="M114" s="12">
        <v>0</v>
      </c>
      <c r="N114" s="12"/>
      <c r="O114" s="12">
        <v>0</v>
      </c>
      <c r="P114" s="12">
        <v>0</v>
      </c>
      <c r="Q114" s="12">
        <v>0</v>
      </c>
      <c r="R114" s="12">
        <v>0</v>
      </c>
      <c r="S114" s="75">
        <f t="shared" si="28"/>
        <v>0</v>
      </c>
      <c r="T114" s="7">
        <v>111</v>
      </c>
    </row>
    <row r="115" spans="1:20" x14ac:dyDescent="0.25">
      <c r="D115" s="7">
        <v>1466</v>
      </c>
      <c r="E115" s="7" t="s">
        <v>393</v>
      </c>
      <c r="F115" s="12">
        <v>0</v>
      </c>
      <c r="G115" s="12">
        <v>0</v>
      </c>
      <c r="H115" s="12">
        <v>0</v>
      </c>
      <c r="I115" s="12">
        <v>0</v>
      </c>
      <c r="J115" s="12">
        <v>0</v>
      </c>
      <c r="K115" s="12"/>
      <c r="L115" s="12">
        <v>0</v>
      </c>
      <c r="M115" s="12">
        <v>0</v>
      </c>
      <c r="N115" s="12"/>
      <c r="O115" s="12">
        <v>0</v>
      </c>
      <c r="P115" s="12">
        <v>0</v>
      </c>
      <c r="Q115" s="12">
        <v>0</v>
      </c>
      <c r="R115" s="12">
        <v>0</v>
      </c>
      <c r="S115" s="75">
        <f t="shared" si="28"/>
        <v>0</v>
      </c>
      <c r="T115" s="7">
        <v>112</v>
      </c>
    </row>
    <row r="116" spans="1:20" x14ac:dyDescent="0.25">
      <c r="D116" s="7">
        <v>1467</v>
      </c>
      <c r="E116" s="7" t="s">
        <v>388</v>
      </c>
      <c r="F116" s="12">
        <v>0</v>
      </c>
      <c r="G116" s="12">
        <v>0</v>
      </c>
      <c r="H116" s="12">
        <v>0</v>
      </c>
      <c r="I116" s="12">
        <v>0</v>
      </c>
      <c r="J116" s="12">
        <v>0</v>
      </c>
      <c r="K116" s="12"/>
      <c r="L116" s="12">
        <v>0</v>
      </c>
      <c r="M116" s="12">
        <v>0</v>
      </c>
      <c r="N116" s="12"/>
      <c r="O116" s="12">
        <v>0</v>
      </c>
      <c r="P116" s="12">
        <v>0</v>
      </c>
      <c r="Q116" s="12">
        <v>0</v>
      </c>
      <c r="R116" s="12">
        <v>0</v>
      </c>
      <c r="S116" s="75">
        <f t="shared" si="28"/>
        <v>0</v>
      </c>
      <c r="T116" s="7">
        <v>113</v>
      </c>
    </row>
    <row r="117" spans="1:20" x14ac:dyDescent="0.25">
      <c r="D117" s="7">
        <v>1468</v>
      </c>
      <c r="E117" s="7" t="s">
        <v>389</v>
      </c>
      <c r="F117" s="12">
        <v>0</v>
      </c>
      <c r="G117" s="12">
        <v>0</v>
      </c>
      <c r="H117" s="12">
        <v>0</v>
      </c>
      <c r="I117" s="12">
        <v>0</v>
      </c>
      <c r="J117" s="12">
        <v>0</v>
      </c>
      <c r="K117" s="12"/>
      <c r="L117" s="12">
        <v>0</v>
      </c>
      <c r="M117" s="12">
        <v>0</v>
      </c>
      <c r="N117" s="12"/>
      <c r="O117" s="12">
        <v>0</v>
      </c>
      <c r="P117" s="12">
        <v>0</v>
      </c>
      <c r="Q117" s="12">
        <v>0</v>
      </c>
      <c r="R117" s="12">
        <v>0</v>
      </c>
      <c r="S117" s="75">
        <f t="shared" si="28"/>
        <v>0</v>
      </c>
      <c r="T117" s="7">
        <v>114</v>
      </c>
    </row>
    <row r="118" spans="1:20" x14ac:dyDescent="0.25">
      <c r="D118" s="7">
        <v>1469</v>
      </c>
      <c r="E118" s="7" t="s">
        <v>390</v>
      </c>
      <c r="F118" s="12">
        <v>0</v>
      </c>
      <c r="G118" s="12">
        <v>0</v>
      </c>
      <c r="H118" s="12">
        <v>0</v>
      </c>
      <c r="I118" s="12">
        <v>0</v>
      </c>
      <c r="J118" s="12">
        <v>0</v>
      </c>
      <c r="K118" s="12"/>
      <c r="L118" s="12">
        <v>0</v>
      </c>
      <c r="M118" s="12">
        <v>0</v>
      </c>
      <c r="N118" s="12"/>
      <c r="O118" s="12">
        <v>0</v>
      </c>
      <c r="P118" s="12">
        <v>0</v>
      </c>
      <c r="Q118" s="12">
        <v>0</v>
      </c>
      <c r="R118" s="12">
        <v>0</v>
      </c>
      <c r="S118" s="75">
        <f t="shared" si="28"/>
        <v>0</v>
      </c>
      <c r="T118" s="7">
        <v>115</v>
      </c>
    </row>
    <row r="119" spans="1:20" x14ac:dyDescent="0.25">
      <c r="F119" s="12"/>
      <c r="G119" s="12"/>
      <c r="H119" s="12"/>
      <c r="I119" s="12"/>
      <c r="J119" s="12"/>
      <c r="K119" s="12"/>
      <c r="L119" s="12"/>
      <c r="M119" s="12"/>
      <c r="N119" s="12"/>
      <c r="O119" s="12"/>
      <c r="P119" s="12"/>
      <c r="Q119" s="12"/>
      <c r="R119" s="12"/>
      <c r="S119" s="75"/>
      <c r="T119" s="7">
        <v>116</v>
      </c>
    </row>
    <row r="120" spans="1:20" x14ac:dyDescent="0.25">
      <c r="F120" s="12"/>
      <c r="G120" s="12"/>
      <c r="H120" s="12"/>
      <c r="I120" s="12"/>
      <c r="J120" s="12"/>
      <c r="K120" s="12"/>
      <c r="L120" s="12"/>
      <c r="M120" s="12"/>
      <c r="N120" s="12"/>
      <c r="O120" s="12"/>
      <c r="P120" s="12"/>
      <c r="Q120" s="12"/>
      <c r="R120" s="12"/>
      <c r="S120" s="75"/>
      <c r="T120" s="7">
        <v>117</v>
      </c>
    </row>
    <row r="121" spans="1:20" ht="21" x14ac:dyDescent="0.4">
      <c r="A121" s="17">
        <v>2</v>
      </c>
      <c r="B121" s="17"/>
      <c r="C121" s="17"/>
      <c r="D121" s="17"/>
      <c r="E121" s="17" t="s">
        <v>250</v>
      </c>
      <c r="F121" s="108">
        <f>F123+F133+F143+F153+F165+F173+F184+F191+F194+F198+F201+F204+F207+F210+F213+F216</f>
        <v>10676263.450000001</v>
      </c>
      <c r="G121" s="108">
        <f t="shared" ref="G121:R121" si="29">G123+G133+G143+G153+G165+G173+G184+G191+G194+G198+G201+G204+G207+G210+G213+G216</f>
        <v>854791.22</v>
      </c>
      <c r="H121" s="108">
        <f t="shared" si="29"/>
        <v>1061993.8700000001</v>
      </c>
      <c r="I121" s="108">
        <f t="shared" si="29"/>
        <v>874707.1399999999</v>
      </c>
      <c r="J121" s="108">
        <f t="shared" si="29"/>
        <v>2806191.33</v>
      </c>
      <c r="K121" s="108">
        <f t="shared" si="29"/>
        <v>0</v>
      </c>
      <c r="L121" s="108">
        <f t="shared" si="29"/>
        <v>1130873.72</v>
      </c>
      <c r="M121" s="108">
        <f t="shared" si="29"/>
        <v>1788939.24</v>
      </c>
      <c r="N121" s="108">
        <f t="shared" si="29"/>
        <v>0</v>
      </c>
      <c r="O121" s="108">
        <f t="shared" si="29"/>
        <v>576444.63</v>
      </c>
      <c r="P121" s="108">
        <f t="shared" si="29"/>
        <v>2658913.96</v>
      </c>
      <c r="Q121" s="108">
        <f t="shared" si="29"/>
        <v>1923199.36</v>
      </c>
      <c r="R121" s="108">
        <f t="shared" si="29"/>
        <v>2536130.92</v>
      </c>
      <c r="S121" s="18">
        <f t="shared" ref="S121:S131" si="30">SUM(F121:R121)</f>
        <v>26888448.840000004</v>
      </c>
      <c r="T121" s="7">
        <v>118</v>
      </c>
    </row>
    <row r="122" spans="1:20" x14ac:dyDescent="0.25">
      <c r="A122" s="6"/>
      <c r="B122" s="109">
        <v>20</v>
      </c>
      <c r="C122" s="109"/>
      <c r="D122" s="109"/>
      <c r="E122" s="109" t="s">
        <v>251</v>
      </c>
      <c r="F122" s="110">
        <f>F123+F133+F143+F153+F165+F173+F184</f>
        <v>3065539.2</v>
      </c>
      <c r="G122" s="110">
        <f t="shared" ref="G122:R122" si="31">G123+G133+G143+G153+G165+G173+G184</f>
        <v>173532</v>
      </c>
      <c r="H122" s="110">
        <f t="shared" si="31"/>
        <v>289435.40000000002</v>
      </c>
      <c r="I122" s="110">
        <f t="shared" si="31"/>
        <v>14.1</v>
      </c>
      <c r="J122" s="110">
        <f t="shared" si="31"/>
        <v>608512.4</v>
      </c>
      <c r="K122" s="110">
        <f t="shared" si="31"/>
        <v>0</v>
      </c>
      <c r="L122" s="110">
        <f t="shared" si="31"/>
        <v>152101.5</v>
      </c>
      <c r="M122" s="110">
        <f t="shared" si="31"/>
        <v>49156.74</v>
      </c>
      <c r="N122" s="110">
        <f t="shared" si="31"/>
        <v>0</v>
      </c>
      <c r="O122" s="110">
        <f t="shared" si="31"/>
        <v>0</v>
      </c>
      <c r="P122" s="110">
        <f t="shared" si="31"/>
        <v>33530.800000000003</v>
      </c>
      <c r="Q122" s="110">
        <f t="shared" si="31"/>
        <v>462811.83</v>
      </c>
      <c r="R122" s="110">
        <f t="shared" si="31"/>
        <v>42233.35</v>
      </c>
      <c r="S122" s="110">
        <f t="shared" si="30"/>
        <v>4876867.3199999994</v>
      </c>
      <c r="T122" s="7">
        <v>119</v>
      </c>
    </row>
    <row r="123" spans="1:20" x14ac:dyDescent="0.25">
      <c r="C123" s="111">
        <v>200</v>
      </c>
      <c r="D123" s="111"/>
      <c r="E123" s="111" t="s">
        <v>252</v>
      </c>
      <c r="F123" s="112">
        <f>F124+F125+F126+F127+F128+F129+F130+F131</f>
        <v>64844.45</v>
      </c>
      <c r="G123" s="112">
        <f t="shared" ref="G123:R123" si="32">G124+G125+G126+G127+G128+G129+G130+G131</f>
        <v>1800</v>
      </c>
      <c r="H123" s="112">
        <f t="shared" si="32"/>
        <v>0</v>
      </c>
      <c r="I123" s="112">
        <f t="shared" si="32"/>
        <v>0</v>
      </c>
      <c r="J123" s="112">
        <f t="shared" si="32"/>
        <v>50000</v>
      </c>
      <c r="K123" s="112">
        <f t="shared" si="32"/>
        <v>0</v>
      </c>
      <c r="L123" s="112">
        <f t="shared" si="32"/>
        <v>0</v>
      </c>
      <c r="M123" s="112">
        <f t="shared" si="32"/>
        <v>0</v>
      </c>
      <c r="N123" s="112">
        <f t="shared" si="32"/>
        <v>0</v>
      </c>
      <c r="O123" s="112">
        <f t="shared" si="32"/>
        <v>0</v>
      </c>
      <c r="P123" s="112">
        <f t="shared" si="32"/>
        <v>0</v>
      </c>
      <c r="Q123" s="112">
        <f t="shared" si="32"/>
        <v>-22.67</v>
      </c>
      <c r="R123" s="112">
        <f t="shared" si="32"/>
        <v>33000</v>
      </c>
      <c r="S123" s="112">
        <f t="shared" si="30"/>
        <v>149621.78</v>
      </c>
      <c r="T123" s="7">
        <v>120</v>
      </c>
    </row>
    <row r="124" spans="1:20" x14ac:dyDescent="0.25">
      <c r="D124" s="7">
        <v>2000</v>
      </c>
      <c r="E124" s="7" t="s">
        <v>395</v>
      </c>
      <c r="F124" s="12">
        <v>64844.45</v>
      </c>
      <c r="G124" s="12">
        <v>0</v>
      </c>
      <c r="H124" s="12">
        <v>0</v>
      </c>
      <c r="I124" s="12">
        <v>0</v>
      </c>
      <c r="J124" s="12">
        <v>50000</v>
      </c>
      <c r="K124" s="12"/>
      <c r="L124" s="12">
        <v>0</v>
      </c>
      <c r="M124" s="12">
        <v>0</v>
      </c>
      <c r="N124" s="12"/>
      <c r="O124" s="12">
        <v>0</v>
      </c>
      <c r="P124" s="12">
        <v>0</v>
      </c>
      <c r="Q124" s="12">
        <v>0</v>
      </c>
      <c r="R124" s="12">
        <v>0</v>
      </c>
      <c r="S124" s="75">
        <f t="shared" si="30"/>
        <v>114844.45</v>
      </c>
      <c r="T124" s="7">
        <v>121</v>
      </c>
    </row>
    <row r="125" spans="1:20" x14ac:dyDescent="0.25">
      <c r="D125" s="7">
        <v>2001</v>
      </c>
      <c r="E125" s="7" t="s">
        <v>396</v>
      </c>
      <c r="F125" s="12">
        <v>0</v>
      </c>
      <c r="G125" s="12">
        <v>0</v>
      </c>
      <c r="H125" s="12">
        <v>0</v>
      </c>
      <c r="I125" s="12">
        <v>0</v>
      </c>
      <c r="J125" s="12">
        <v>0</v>
      </c>
      <c r="K125" s="12"/>
      <c r="L125" s="12">
        <v>0</v>
      </c>
      <c r="M125" s="12">
        <v>0</v>
      </c>
      <c r="N125" s="12"/>
      <c r="O125" s="12">
        <v>0</v>
      </c>
      <c r="P125" s="12">
        <v>0</v>
      </c>
      <c r="Q125" s="12">
        <v>-22.67</v>
      </c>
      <c r="R125" s="12">
        <v>33000</v>
      </c>
      <c r="S125" s="75">
        <f t="shared" si="30"/>
        <v>32977.33</v>
      </c>
      <c r="T125" s="7">
        <v>122</v>
      </c>
    </row>
    <row r="126" spans="1:20" x14ac:dyDescent="0.25">
      <c r="D126" s="7">
        <v>2002</v>
      </c>
      <c r="E126" s="7" t="s">
        <v>397</v>
      </c>
      <c r="F126" s="12">
        <v>0</v>
      </c>
      <c r="G126" s="12">
        <v>0</v>
      </c>
      <c r="H126" s="12">
        <v>0</v>
      </c>
      <c r="I126" s="12">
        <v>0</v>
      </c>
      <c r="J126" s="12">
        <v>0</v>
      </c>
      <c r="K126" s="12"/>
      <c r="L126" s="12">
        <v>0</v>
      </c>
      <c r="M126" s="12">
        <v>0</v>
      </c>
      <c r="N126" s="12"/>
      <c r="O126" s="12">
        <v>0</v>
      </c>
      <c r="P126" s="12">
        <v>0</v>
      </c>
      <c r="Q126" s="12">
        <v>0</v>
      </c>
      <c r="R126" s="12">
        <v>0</v>
      </c>
      <c r="S126" s="75">
        <f t="shared" si="30"/>
        <v>0</v>
      </c>
      <c r="T126" s="7">
        <v>123</v>
      </c>
    </row>
    <row r="127" spans="1:20" x14ac:dyDescent="0.25">
      <c r="D127" s="7">
        <v>2003</v>
      </c>
      <c r="E127" s="7" t="s">
        <v>398</v>
      </c>
      <c r="F127" s="12">
        <v>0</v>
      </c>
      <c r="G127" s="12">
        <v>0</v>
      </c>
      <c r="H127" s="12">
        <v>0</v>
      </c>
      <c r="I127" s="12">
        <v>0</v>
      </c>
      <c r="J127" s="12">
        <v>0</v>
      </c>
      <c r="K127" s="12"/>
      <c r="L127" s="12">
        <v>0</v>
      </c>
      <c r="M127" s="12">
        <v>0</v>
      </c>
      <c r="N127" s="12"/>
      <c r="O127" s="12">
        <v>0</v>
      </c>
      <c r="P127" s="12">
        <v>0</v>
      </c>
      <c r="Q127" s="12">
        <v>0</v>
      </c>
      <c r="R127" s="12">
        <v>0</v>
      </c>
      <c r="S127" s="75">
        <f t="shared" si="30"/>
        <v>0</v>
      </c>
      <c r="T127" s="7">
        <v>124</v>
      </c>
    </row>
    <row r="128" spans="1:20" x14ac:dyDescent="0.25">
      <c r="D128" s="7">
        <v>2004</v>
      </c>
      <c r="E128" s="7" t="s">
        <v>399</v>
      </c>
      <c r="F128" s="12">
        <v>0</v>
      </c>
      <c r="G128" s="12">
        <v>0</v>
      </c>
      <c r="H128" s="12">
        <v>0</v>
      </c>
      <c r="I128" s="12">
        <v>0</v>
      </c>
      <c r="J128" s="12">
        <v>0</v>
      </c>
      <c r="K128" s="12"/>
      <c r="L128" s="12">
        <v>0</v>
      </c>
      <c r="M128" s="12">
        <v>0</v>
      </c>
      <c r="N128" s="12"/>
      <c r="O128" s="12">
        <v>0</v>
      </c>
      <c r="P128" s="12">
        <v>0</v>
      </c>
      <c r="Q128" s="12">
        <v>0</v>
      </c>
      <c r="R128" s="12">
        <v>0</v>
      </c>
      <c r="S128" s="75">
        <f t="shared" si="30"/>
        <v>0</v>
      </c>
      <c r="T128" s="7">
        <v>125</v>
      </c>
    </row>
    <row r="129" spans="3:20" x14ac:dyDescent="0.25">
      <c r="D129" s="7">
        <v>2005</v>
      </c>
      <c r="E129" s="7" t="s">
        <v>320</v>
      </c>
      <c r="F129" s="12">
        <v>0</v>
      </c>
      <c r="G129" s="12">
        <v>0</v>
      </c>
      <c r="H129" s="12">
        <v>0</v>
      </c>
      <c r="I129" s="12">
        <v>0</v>
      </c>
      <c r="J129" s="12">
        <v>0</v>
      </c>
      <c r="K129" s="12"/>
      <c r="L129" s="12">
        <v>0</v>
      </c>
      <c r="M129" s="12">
        <v>0</v>
      </c>
      <c r="N129" s="12"/>
      <c r="O129" s="12">
        <v>0</v>
      </c>
      <c r="P129" s="12">
        <v>0</v>
      </c>
      <c r="Q129" s="12">
        <v>0</v>
      </c>
      <c r="R129" s="12">
        <v>0</v>
      </c>
      <c r="S129" s="75">
        <f t="shared" si="30"/>
        <v>0</v>
      </c>
      <c r="T129" s="7">
        <v>126</v>
      </c>
    </row>
    <row r="130" spans="3:20" x14ac:dyDescent="0.25">
      <c r="D130" s="7">
        <v>2006</v>
      </c>
      <c r="E130" s="7" t="s">
        <v>444</v>
      </c>
      <c r="F130" s="12">
        <v>0</v>
      </c>
      <c r="G130" s="12">
        <v>1800</v>
      </c>
      <c r="H130" s="12">
        <v>0</v>
      </c>
      <c r="I130" s="12">
        <v>0</v>
      </c>
      <c r="J130" s="12">
        <v>0</v>
      </c>
      <c r="K130" s="12"/>
      <c r="L130" s="12">
        <v>0</v>
      </c>
      <c r="M130" s="12">
        <v>0</v>
      </c>
      <c r="N130" s="12"/>
      <c r="O130" s="12">
        <v>0</v>
      </c>
      <c r="P130" s="12">
        <v>0</v>
      </c>
      <c r="Q130" s="12">
        <v>0</v>
      </c>
      <c r="R130" s="12">
        <v>0</v>
      </c>
      <c r="S130" s="75">
        <f t="shared" si="30"/>
        <v>1800</v>
      </c>
      <c r="T130" s="7">
        <v>127</v>
      </c>
    </row>
    <row r="131" spans="3:20" x14ac:dyDescent="0.25">
      <c r="D131" s="7">
        <v>2009</v>
      </c>
      <c r="E131" s="7" t="s">
        <v>401</v>
      </c>
      <c r="F131" s="12">
        <v>0</v>
      </c>
      <c r="G131" s="12">
        <v>0</v>
      </c>
      <c r="H131" s="12">
        <v>0</v>
      </c>
      <c r="I131" s="12">
        <v>0</v>
      </c>
      <c r="J131" s="12">
        <v>0</v>
      </c>
      <c r="K131" s="12"/>
      <c r="L131" s="12">
        <v>0</v>
      </c>
      <c r="M131" s="12">
        <v>0</v>
      </c>
      <c r="N131" s="12"/>
      <c r="O131" s="12">
        <v>0</v>
      </c>
      <c r="P131" s="12">
        <v>0</v>
      </c>
      <c r="Q131" s="12">
        <v>0</v>
      </c>
      <c r="R131" s="12">
        <v>0</v>
      </c>
      <c r="S131" s="75">
        <f t="shared" si="30"/>
        <v>0</v>
      </c>
      <c r="T131" s="7">
        <v>128</v>
      </c>
    </row>
    <row r="132" spans="3:20" x14ac:dyDescent="0.25">
      <c r="F132" s="12"/>
      <c r="G132" s="12"/>
      <c r="H132" s="12"/>
      <c r="I132" s="12"/>
      <c r="J132" s="12"/>
      <c r="K132" s="12"/>
      <c r="L132" s="12"/>
      <c r="M132" s="12"/>
      <c r="N132" s="12"/>
      <c r="O132" s="12"/>
      <c r="P132" s="12"/>
      <c r="Q132" s="12"/>
      <c r="R132" s="12"/>
      <c r="S132" s="75"/>
      <c r="T132" s="7">
        <v>129</v>
      </c>
    </row>
    <row r="133" spans="3:20" x14ac:dyDescent="0.25">
      <c r="C133" s="111">
        <v>201</v>
      </c>
      <c r="D133" s="111"/>
      <c r="E133" s="111" t="s">
        <v>253</v>
      </c>
      <c r="F133" s="112">
        <f>F134+F135+F136+F137+F138+F139+F140+F141</f>
        <v>22000</v>
      </c>
      <c r="G133" s="112">
        <f t="shared" ref="G133:R133" si="33">G134+G135+G136+G137+G138+G139+G140+G141</f>
        <v>0</v>
      </c>
      <c r="H133" s="112">
        <f t="shared" si="33"/>
        <v>11000</v>
      </c>
      <c r="I133" s="112">
        <f t="shared" si="33"/>
        <v>0</v>
      </c>
      <c r="J133" s="112">
        <f t="shared" si="33"/>
        <v>0</v>
      </c>
      <c r="K133" s="112">
        <f t="shared" si="33"/>
        <v>0</v>
      </c>
      <c r="L133" s="112">
        <f t="shared" si="33"/>
        <v>0</v>
      </c>
      <c r="M133" s="112">
        <f t="shared" si="33"/>
        <v>0</v>
      </c>
      <c r="N133" s="112">
        <f t="shared" si="33"/>
        <v>0</v>
      </c>
      <c r="O133" s="112">
        <f t="shared" si="33"/>
        <v>0</v>
      </c>
      <c r="P133" s="112">
        <f t="shared" si="33"/>
        <v>0</v>
      </c>
      <c r="Q133" s="112">
        <f t="shared" si="33"/>
        <v>0</v>
      </c>
      <c r="R133" s="112">
        <f t="shared" si="33"/>
        <v>0</v>
      </c>
      <c r="S133" s="112">
        <f t="shared" ref="S133:S141" si="34">SUM(F133:R133)</f>
        <v>33000</v>
      </c>
      <c r="T133" s="7">
        <v>130</v>
      </c>
    </row>
    <row r="134" spans="3:20" x14ac:dyDescent="0.25">
      <c r="D134" s="7">
        <v>2010</v>
      </c>
      <c r="E134" s="7" t="s">
        <v>402</v>
      </c>
      <c r="F134" s="12">
        <v>0</v>
      </c>
      <c r="G134" s="12">
        <v>0</v>
      </c>
      <c r="H134" s="12">
        <v>0</v>
      </c>
      <c r="I134" s="12">
        <v>0</v>
      </c>
      <c r="J134" s="12">
        <v>0</v>
      </c>
      <c r="K134" s="12"/>
      <c r="L134" s="12">
        <v>0</v>
      </c>
      <c r="M134" s="12">
        <v>0</v>
      </c>
      <c r="N134" s="12"/>
      <c r="O134" s="12">
        <v>0</v>
      </c>
      <c r="P134" s="12">
        <v>0</v>
      </c>
      <c r="Q134" s="12">
        <v>0</v>
      </c>
      <c r="R134" s="12">
        <v>0</v>
      </c>
      <c r="S134" s="75">
        <f t="shared" si="34"/>
        <v>0</v>
      </c>
      <c r="T134" s="7">
        <v>131</v>
      </c>
    </row>
    <row r="135" spans="3:20" x14ac:dyDescent="0.25">
      <c r="D135" s="7">
        <v>2011</v>
      </c>
      <c r="E135" s="7" t="s">
        <v>403</v>
      </c>
      <c r="F135" s="12">
        <v>0</v>
      </c>
      <c r="G135" s="12">
        <v>0</v>
      </c>
      <c r="H135" s="12">
        <v>0</v>
      </c>
      <c r="I135" s="12">
        <v>0</v>
      </c>
      <c r="J135" s="12">
        <v>0</v>
      </c>
      <c r="K135" s="12"/>
      <c r="L135" s="12">
        <v>0</v>
      </c>
      <c r="M135" s="12">
        <v>0</v>
      </c>
      <c r="N135" s="12"/>
      <c r="O135" s="12">
        <v>0</v>
      </c>
      <c r="P135" s="12">
        <v>0</v>
      </c>
      <c r="Q135" s="12">
        <v>0</v>
      </c>
      <c r="R135" s="12">
        <v>0</v>
      </c>
      <c r="S135" s="75">
        <f t="shared" si="34"/>
        <v>0</v>
      </c>
      <c r="T135" s="7">
        <v>132</v>
      </c>
    </row>
    <row r="136" spans="3:20" x14ac:dyDescent="0.25">
      <c r="D136" s="7">
        <v>2012</v>
      </c>
      <c r="E136" s="7" t="s">
        <v>404</v>
      </c>
      <c r="F136" s="12">
        <v>0</v>
      </c>
      <c r="G136" s="12">
        <v>0</v>
      </c>
      <c r="H136" s="12">
        <v>0</v>
      </c>
      <c r="I136" s="12">
        <v>0</v>
      </c>
      <c r="J136" s="12">
        <v>0</v>
      </c>
      <c r="K136" s="12"/>
      <c r="L136" s="12">
        <v>0</v>
      </c>
      <c r="M136" s="12">
        <v>0</v>
      </c>
      <c r="N136" s="12"/>
      <c r="O136" s="12">
        <v>0</v>
      </c>
      <c r="P136" s="12">
        <v>0</v>
      </c>
      <c r="Q136" s="12">
        <v>0</v>
      </c>
      <c r="R136" s="12">
        <v>0</v>
      </c>
      <c r="S136" s="75">
        <f t="shared" si="34"/>
        <v>0</v>
      </c>
      <c r="T136" s="7">
        <v>133</v>
      </c>
    </row>
    <row r="137" spans="3:20" x14ac:dyDescent="0.25">
      <c r="D137" s="7">
        <v>2013</v>
      </c>
      <c r="E137" s="7" t="s">
        <v>405</v>
      </c>
      <c r="F137" s="12">
        <v>0</v>
      </c>
      <c r="G137" s="12">
        <v>0</v>
      </c>
      <c r="H137" s="12">
        <v>0</v>
      </c>
      <c r="I137" s="12">
        <v>0</v>
      </c>
      <c r="J137" s="12">
        <v>0</v>
      </c>
      <c r="K137" s="12"/>
      <c r="L137" s="12">
        <v>0</v>
      </c>
      <c r="M137" s="12">
        <v>0</v>
      </c>
      <c r="N137" s="12"/>
      <c r="O137" s="12">
        <v>0</v>
      </c>
      <c r="P137" s="12">
        <v>0</v>
      </c>
      <c r="Q137" s="12">
        <v>0</v>
      </c>
      <c r="R137" s="12">
        <v>0</v>
      </c>
      <c r="S137" s="75">
        <f t="shared" si="34"/>
        <v>0</v>
      </c>
      <c r="T137" s="7">
        <v>134</v>
      </c>
    </row>
    <row r="138" spans="3:20" x14ac:dyDescent="0.25">
      <c r="D138" s="7">
        <v>2014</v>
      </c>
      <c r="E138" s="7" t="s">
        <v>407</v>
      </c>
      <c r="F138" s="12">
        <v>22000</v>
      </c>
      <c r="G138" s="12">
        <v>0</v>
      </c>
      <c r="H138" s="12">
        <v>11000</v>
      </c>
      <c r="I138" s="12">
        <v>0</v>
      </c>
      <c r="J138" s="12">
        <v>0</v>
      </c>
      <c r="K138" s="12"/>
      <c r="L138" s="12">
        <v>0</v>
      </c>
      <c r="M138" s="12">
        <v>0</v>
      </c>
      <c r="N138" s="12"/>
      <c r="O138" s="12">
        <v>0</v>
      </c>
      <c r="P138" s="12">
        <v>0</v>
      </c>
      <c r="Q138" s="12">
        <v>0</v>
      </c>
      <c r="R138" s="12">
        <v>0</v>
      </c>
      <c r="S138" s="75">
        <f t="shared" si="34"/>
        <v>33000</v>
      </c>
      <c r="T138" s="7">
        <v>135</v>
      </c>
    </row>
    <row r="139" spans="3:20" x14ac:dyDescent="0.25">
      <c r="D139" s="7">
        <v>2015</v>
      </c>
      <c r="E139" s="7" t="s">
        <v>406</v>
      </c>
      <c r="F139" s="12">
        <v>0</v>
      </c>
      <c r="G139" s="12">
        <v>0</v>
      </c>
      <c r="H139" s="12">
        <v>0</v>
      </c>
      <c r="I139" s="12">
        <v>0</v>
      </c>
      <c r="J139" s="12">
        <v>0</v>
      </c>
      <c r="K139" s="12"/>
      <c r="L139" s="12">
        <v>0</v>
      </c>
      <c r="M139" s="12">
        <v>0</v>
      </c>
      <c r="N139" s="12"/>
      <c r="O139" s="12">
        <v>0</v>
      </c>
      <c r="P139" s="12">
        <v>0</v>
      </c>
      <c r="Q139" s="12">
        <v>0</v>
      </c>
      <c r="R139" s="12">
        <v>0</v>
      </c>
      <c r="S139" s="75">
        <f t="shared" si="34"/>
        <v>0</v>
      </c>
      <c r="T139" s="7">
        <v>136</v>
      </c>
    </row>
    <row r="140" spans="3:20" x14ac:dyDescent="0.25">
      <c r="D140" s="7">
        <v>2016</v>
      </c>
      <c r="E140" s="7" t="s">
        <v>268</v>
      </c>
      <c r="F140" s="12">
        <v>0</v>
      </c>
      <c r="G140" s="12">
        <v>0</v>
      </c>
      <c r="H140" s="12">
        <v>0</v>
      </c>
      <c r="I140" s="12">
        <v>0</v>
      </c>
      <c r="J140" s="12">
        <v>0</v>
      </c>
      <c r="K140" s="12"/>
      <c r="L140" s="12">
        <v>0</v>
      </c>
      <c r="M140" s="12">
        <v>0</v>
      </c>
      <c r="N140" s="12"/>
      <c r="O140" s="12">
        <v>0</v>
      </c>
      <c r="P140" s="12">
        <v>0</v>
      </c>
      <c r="Q140" s="12">
        <v>0</v>
      </c>
      <c r="R140" s="12">
        <v>0</v>
      </c>
      <c r="S140" s="75">
        <f t="shared" si="34"/>
        <v>0</v>
      </c>
      <c r="T140" s="7">
        <v>137</v>
      </c>
    </row>
    <row r="141" spans="3:20" x14ac:dyDescent="0.25">
      <c r="D141" s="7">
        <v>2019</v>
      </c>
      <c r="E141" s="7" t="s">
        <v>408</v>
      </c>
      <c r="F141" s="12">
        <v>0</v>
      </c>
      <c r="G141" s="12">
        <v>0</v>
      </c>
      <c r="H141" s="12">
        <v>0</v>
      </c>
      <c r="I141" s="12">
        <v>0</v>
      </c>
      <c r="J141" s="12">
        <v>0</v>
      </c>
      <c r="K141" s="12"/>
      <c r="L141" s="12">
        <v>0</v>
      </c>
      <c r="M141" s="12">
        <v>0</v>
      </c>
      <c r="N141" s="12"/>
      <c r="O141" s="12">
        <v>0</v>
      </c>
      <c r="P141" s="12">
        <v>0</v>
      </c>
      <c r="Q141" s="12">
        <v>0</v>
      </c>
      <c r="R141" s="12">
        <v>0</v>
      </c>
      <c r="S141" s="75">
        <f t="shared" si="34"/>
        <v>0</v>
      </c>
      <c r="T141" s="7">
        <v>138</v>
      </c>
    </row>
    <row r="142" spans="3:20" x14ac:dyDescent="0.25">
      <c r="F142" s="12"/>
      <c r="G142" s="12"/>
      <c r="H142" s="12"/>
      <c r="I142" s="12"/>
      <c r="J142" s="12"/>
      <c r="K142" s="12"/>
      <c r="L142" s="12"/>
      <c r="M142" s="12"/>
      <c r="N142" s="12"/>
      <c r="O142" s="12"/>
      <c r="P142" s="12"/>
      <c r="Q142" s="12"/>
      <c r="R142" s="12"/>
      <c r="S142" s="75"/>
      <c r="T142" s="7">
        <v>139</v>
      </c>
    </row>
    <row r="143" spans="3:20" x14ac:dyDescent="0.25">
      <c r="C143" s="111">
        <v>204</v>
      </c>
      <c r="D143" s="111"/>
      <c r="E143" s="111" t="s">
        <v>254</v>
      </c>
      <c r="F143" s="112">
        <f>F144+F145+F146+F147+F148+F149+F150+F151</f>
        <v>83649.049999999988</v>
      </c>
      <c r="G143" s="112">
        <f t="shared" ref="G143:R143" si="35">G144+G145+G146+G147+G148+G149+G150+G151</f>
        <v>0</v>
      </c>
      <c r="H143" s="112">
        <f t="shared" si="35"/>
        <v>20009.8</v>
      </c>
      <c r="I143" s="112">
        <f t="shared" si="35"/>
        <v>14.1</v>
      </c>
      <c r="J143" s="112">
        <f t="shared" si="35"/>
        <v>65192.4</v>
      </c>
      <c r="K143" s="112">
        <f t="shared" si="35"/>
        <v>0</v>
      </c>
      <c r="L143" s="112">
        <f t="shared" si="35"/>
        <v>21601.5</v>
      </c>
      <c r="M143" s="112">
        <f t="shared" si="35"/>
        <v>49156.74</v>
      </c>
      <c r="N143" s="112">
        <f t="shared" si="35"/>
        <v>0</v>
      </c>
      <c r="O143" s="112">
        <f t="shared" si="35"/>
        <v>0</v>
      </c>
      <c r="P143" s="112">
        <f t="shared" si="35"/>
        <v>15945.6</v>
      </c>
      <c r="Q143" s="112">
        <f t="shared" si="35"/>
        <v>37094.5</v>
      </c>
      <c r="R143" s="112">
        <f t="shared" si="35"/>
        <v>9233.35</v>
      </c>
      <c r="S143" s="112">
        <f t="shared" ref="S143:S151" si="36">SUM(F143:R143)</f>
        <v>301897.03999999998</v>
      </c>
      <c r="T143" s="7">
        <v>140</v>
      </c>
    </row>
    <row r="144" spans="3:20" x14ac:dyDescent="0.25">
      <c r="D144" s="7">
        <v>2040</v>
      </c>
      <c r="E144" s="7" t="s">
        <v>61</v>
      </c>
      <c r="F144" s="12">
        <v>31737.1</v>
      </c>
      <c r="G144" s="12">
        <v>0</v>
      </c>
      <c r="H144" s="12">
        <v>0</v>
      </c>
      <c r="I144" s="12">
        <v>0</v>
      </c>
      <c r="J144" s="12">
        <v>502.4</v>
      </c>
      <c r="K144" s="12"/>
      <c r="L144" s="12">
        <v>0</v>
      </c>
      <c r="M144" s="12">
        <v>0</v>
      </c>
      <c r="N144" s="12"/>
      <c r="O144" s="12">
        <v>0</v>
      </c>
      <c r="P144" s="12">
        <v>0</v>
      </c>
      <c r="Q144" s="12">
        <v>0</v>
      </c>
      <c r="R144" s="12">
        <v>0</v>
      </c>
      <c r="S144" s="75">
        <f t="shared" si="36"/>
        <v>32239.5</v>
      </c>
      <c r="T144" s="7">
        <v>141</v>
      </c>
    </row>
    <row r="145" spans="3:20" x14ac:dyDescent="0.25">
      <c r="D145" s="7">
        <v>2041</v>
      </c>
      <c r="E145" s="7" t="s">
        <v>276</v>
      </c>
      <c r="F145" s="12">
        <v>46456.95</v>
      </c>
      <c r="G145" s="12">
        <v>0</v>
      </c>
      <c r="H145" s="12">
        <v>1200</v>
      </c>
      <c r="I145" s="12">
        <v>0</v>
      </c>
      <c r="J145" s="12">
        <v>13554</v>
      </c>
      <c r="K145" s="12"/>
      <c r="L145" s="12">
        <v>0</v>
      </c>
      <c r="M145" s="12">
        <v>0</v>
      </c>
      <c r="N145" s="12"/>
      <c r="O145" s="12">
        <v>0</v>
      </c>
      <c r="P145" s="12">
        <v>0</v>
      </c>
      <c r="Q145" s="12">
        <v>0</v>
      </c>
      <c r="R145" s="12">
        <v>0</v>
      </c>
      <c r="S145" s="75">
        <f t="shared" si="36"/>
        <v>61210.95</v>
      </c>
      <c r="T145" s="7">
        <v>142</v>
      </c>
    </row>
    <row r="146" spans="3:20" x14ac:dyDescent="0.25">
      <c r="D146" s="7">
        <v>2042</v>
      </c>
      <c r="E146" s="7" t="s">
        <v>328</v>
      </c>
      <c r="F146" s="12">
        <v>5455</v>
      </c>
      <c r="G146" s="12">
        <v>0</v>
      </c>
      <c r="H146" s="12">
        <v>0</v>
      </c>
      <c r="I146" s="12">
        <v>0</v>
      </c>
      <c r="J146" s="12">
        <v>0</v>
      </c>
      <c r="K146" s="12"/>
      <c r="L146" s="12">
        <v>0</v>
      </c>
      <c r="M146" s="12">
        <v>0</v>
      </c>
      <c r="N146" s="12"/>
      <c r="O146" s="12">
        <v>0</v>
      </c>
      <c r="P146" s="12">
        <v>0</v>
      </c>
      <c r="Q146" s="12">
        <v>0</v>
      </c>
      <c r="R146" s="12">
        <v>0</v>
      </c>
      <c r="S146" s="75">
        <f t="shared" si="36"/>
        <v>5455</v>
      </c>
      <c r="T146" s="7">
        <v>143</v>
      </c>
    </row>
    <row r="147" spans="3:20" x14ac:dyDescent="0.25">
      <c r="D147" s="7">
        <v>2043</v>
      </c>
      <c r="E147" s="7" t="s">
        <v>329</v>
      </c>
      <c r="F147" s="12">
        <v>0</v>
      </c>
      <c r="G147" s="12">
        <v>0</v>
      </c>
      <c r="H147" s="12">
        <v>0</v>
      </c>
      <c r="I147" s="12">
        <v>0</v>
      </c>
      <c r="J147" s="12">
        <v>0</v>
      </c>
      <c r="K147" s="12"/>
      <c r="L147" s="12">
        <v>0</v>
      </c>
      <c r="M147" s="12">
        <v>0</v>
      </c>
      <c r="N147" s="12"/>
      <c r="O147" s="12">
        <v>0</v>
      </c>
      <c r="P147" s="12">
        <v>0</v>
      </c>
      <c r="Q147" s="12">
        <v>0</v>
      </c>
      <c r="R147" s="12">
        <v>0</v>
      </c>
      <c r="S147" s="75">
        <f t="shared" si="36"/>
        <v>0</v>
      </c>
      <c r="T147" s="7">
        <v>144</v>
      </c>
    </row>
    <row r="148" spans="3:20" x14ac:dyDescent="0.25">
      <c r="D148" s="7">
        <v>2044</v>
      </c>
      <c r="E148" s="7" t="s">
        <v>409</v>
      </c>
      <c r="F148" s="12">
        <v>0</v>
      </c>
      <c r="G148" s="12">
        <v>0</v>
      </c>
      <c r="H148" s="12">
        <v>18809.8</v>
      </c>
      <c r="I148" s="12">
        <v>0</v>
      </c>
      <c r="J148" s="12">
        <v>51136</v>
      </c>
      <c r="K148" s="12"/>
      <c r="L148" s="12">
        <v>21601.5</v>
      </c>
      <c r="M148" s="12">
        <v>49156.74</v>
      </c>
      <c r="N148" s="12"/>
      <c r="O148" s="12">
        <v>0</v>
      </c>
      <c r="P148" s="12">
        <v>0</v>
      </c>
      <c r="Q148" s="12">
        <v>37094.5</v>
      </c>
      <c r="R148" s="12">
        <v>9233.35</v>
      </c>
      <c r="S148" s="75">
        <f t="shared" si="36"/>
        <v>187031.89</v>
      </c>
      <c r="T148" s="7">
        <v>145</v>
      </c>
    </row>
    <row r="149" spans="3:20" x14ac:dyDescent="0.25">
      <c r="D149" s="7">
        <v>2045</v>
      </c>
      <c r="E149" s="7" t="s">
        <v>331</v>
      </c>
      <c r="F149" s="12">
        <v>0</v>
      </c>
      <c r="G149" s="12">
        <v>0</v>
      </c>
      <c r="H149" s="12">
        <v>0</v>
      </c>
      <c r="I149" s="12">
        <v>0</v>
      </c>
      <c r="J149" s="12">
        <v>0</v>
      </c>
      <c r="K149" s="12"/>
      <c r="L149" s="12">
        <v>0</v>
      </c>
      <c r="M149" s="12">
        <v>0</v>
      </c>
      <c r="N149" s="12"/>
      <c r="O149" s="12">
        <v>0</v>
      </c>
      <c r="P149" s="12">
        <v>0</v>
      </c>
      <c r="Q149" s="12">
        <v>0</v>
      </c>
      <c r="R149" s="12">
        <v>0</v>
      </c>
      <c r="S149" s="75">
        <f t="shared" si="36"/>
        <v>0</v>
      </c>
      <c r="T149" s="7">
        <v>146</v>
      </c>
    </row>
    <row r="150" spans="3:20" x14ac:dyDescent="0.25">
      <c r="D150" s="7">
        <v>2046</v>
      </c>
      <c r="E150" s="7" t="s">
        <v>410</v>
      </c>
      <c r="F150" s="12">
        <v>0</v>
      </c>
      <c r="G150" s="12">
        <v>0</v>
      </c>
      <c r="H150" s="12">
        <v>0</v>
      </c>
      <c r="I150" s="12">
        <v>0</v>
      </c>
      <c r="J150" s="12">
        <v>0</v>
      </c>
      <c r="K150" s="12"/>
      <c r="L150" s="12">
        <v>0</v>
      </c>
      <c r="M150" s="12">
        <v>0</v>
      </c>
      <c r="N150" s="12"/>
      <c r="O150" s="12">
        <v>0</v>
      </c>
      <c r="P150" s="12">
        <v>0</v>
      </c>
      <c r="Q150" s="12">
        <v>0</v>
      </c>
      <c r="R150" s="12">
        <v>0</v>
      </c>
      <c r="S150" s="75">
        <f t="shared" si="36"/>
        <v>0</v>
      </c>
      <c r="T150" s="7">
        <v>147</v>
      </c>
    </row>
    <row r="151" spans="3:20" x14ac:dyDescent="0.25">
      <c r="D151" s="7">
        <v>2049</v>
      </c>
      <c r="E151" s="7" t="s">
        <v>411</v>
      </c>
      <c r="F151" s="12">
        <v>0</v>
      </c>
      <c r="G151" s="12">
        <v>0</v>
      </c>
      <c r="H151" s="12">
        <v>0</v>
      </c>
      <c r="I151" s="12">
        <v>14.1</v>
      </c>
      <c r="J151" s="12">
        <v>0</v>
      </c>
      <c r="K151" s="12"/>
      <c r="L151" s="12">
        <v>0</v>
      </c>
      <c r="M151" s="12">
        <v>0</v>
      </c>
      <c r="N151" s="12"/>
      <c r="O151" s="12">
        <v>0</v>
      </c>
      <c r="P151" s="12">
        <v>15945.6</v>
      </c>
      <c r="Q151" s="12">
        <v>0</v>
      </c>
      <c r="R151" s="12">
        <v>0</v>
      </c>
      <c r="S151" s="75">
        <f t="shared" si="36"/>
        <v>15959.7</v>
      </c>
      <c r="T151" s="7">
        <v>148</v>
      </c>
    </row>
    <row r="152" spans="3:20" x14ac:dyDescent="0.25">
      <c r="F152" s="12"/>
      <c r="G152" s="12"/>
      <c r="H152" s="12"/>
      <c r="I152" s="12"/>
      <c r="J152" s="12"/>
      <c r="K152" s="12"/>
      <c r="L152" s="12"/>
      <c r="M152" s="12"/>
      <c r="N152" s="12"/>
      <c r="O152" s="12"/>
      <c r="P152" s="12"/>
      <c r="Q152" s="12"/>
      <c r="R152" s="12"/>
      <c r="S152" s="75"/>
      <c r="T152" s="7">
        <v>149</v>
      </c>
    </row>
    <row r="153" spans="3:20" x14ac:dyDescent="0.25">
      <c r="C153" s="111">
        <v>205</v>
      </c>
      <c r="D153" s="111"/>
      <c r="E153" s="111" t="s">
        <v>255</v>
      </c>
      <c r="F153" s="112">
        <f>F154+F155+F156+F157+F158+F159+F160+F161+F162+F163</f>
        <v>0</v>
      </c>
      <c r="G153" s="112">
        <f t="shared" ref="G153:R153" si="37">G154+G155+G156+G157+G158+G159+G160+G161+G162+G163</f>
        <v>0</v>
      </c>
      <c r="H153" s="112">
        <f t="shared" si="37"/>
        <v>0</v>
      </c>
      <c r="I153" s="112">
        <f t="shared" si="37"/>
        <v>0</v>
      </c>
      <c r="J153" s="112">
        <f t="shared" si="37"/>
        <v>0</v>
      </c>
      <c r="K153" s="112">
        <f t="shared" si="37"/>
        <v>0</v>
      </c>
      <c r="L153" s="112">
        <f t="shared" si="37"/>
        <v>0</v>
      </c>
      <c r="M153" s="112">
        <f t="shared" si="37"/>
        <v>0</v>
      </c>
      <c r="N153" s="112">
        <f t="shared" si="37"/>
        <v>0</v>
      </c>
      <c r="O153" s="112">
        <f t="shared" si="37"/>
        <v>0</v>
      </c>
      <c r="P153" s="112">
        <f t="shared" si="37"/>
        <v>17585.2</v>
      </c>
      <c r="Q153" s="112">
        <f t="shared" si="37"/>
        <v>0</v>
      </c>
      <c r="R153" s="112">
        <f t="shared" si="37"/>
        <v>0</v>
      </c>
      <c r="S153" s="112">
        <f t="shared" ref="S153:S163" si="38">SUM(F153:R153)</f>
        <v>17585.2</v>
      </c>
      <c r="T153" s="7">
        <v>150</v>
      </c>
    </row>
    <row r="154" spans="3:20" x14ac:dyDescent="0.25">
      <c r="D154" s="7">
        <v>2050</v>
      </c>
      <c r="E154" s="7" t="s">
        <v>412</v>
      </c>
      <c r="F154" s="12">
        <v>0</v>
      </c>
      <c r="G154" s="12">
        <v>0</v>
      </c>
      <c r="H154" s="12">
        <v>0</v>
      </c>
      <c r="I154" s="12">
        <v>0</v>
      </c>
      <c r="J154" s="12">
        <v>0</v>
      </c>
      <c r="K154" s="12"/>
      <c r="L154" s="12">
        <v>0</v>
      </c>
      <c r="M154" s="12">
        <v>0</v>
      </c>
      <c r="N154" s="12"/>
      <c r="O154" s="12">
        <v>0</v>
      </c>
      <c r="P154" s="12">
        <v>0</v>
      </c>
      <c r="Q154" s="12">
        <v>0</v>
      </c>
      <c r="R154" s="12">
        <v>0</v>
      </c>
      <c r="S154" s="75">
        <f t="shared" si="38"/>
        <v>0</v>
      </c>
      <c r="T154" s="7">
        <v>151</v>
      </c>
    </row>
    <row r="155" spans="3:20" x14ac:dyDescent="0.25">
      <c r="D155" s="7">
        <v>2051</v>
      </c>
      <c r="E155" s="7" t="s">
        <v>413</v>
      </c>
      <c r="F155" s="12">
        <v>0</v>
      </c>
      <c r="G155" s="12">
        <v>0</v>
      </c>
      <c r="H155" s="12">
        <v>0</v>
      </c>
      <c r="I155" s="12">
        <v>0</v>
      </c>
      <c r="J155" s="12">
        <v>0</v>
      </c>
      <c r="K155" s="12"/>
      <c r="L155" s="12">
        <v>0</v>
      </c>
      <c r="M155" s="12">
        <v>0</v>
      </c>
      <c r="N155" s="12"/>
      <c r="O155" s="12">
        <v>0</v>
      </c>
      <c r="P155" s="12">
        <v>0</v>
      </c>
      <c r="Q155" s="12">
        <v>0</v>
      </c>
      <c r="R155" s="12">
        <v>0</v>
      </c>
      <c r="S155" s="75">
        <f t="shared" si="38"/>
        <v>0</v>
      </c>
      <c r="T155" s="7">
        <v>152</v>
      </c>
    </row>
    <row r="156" spans="3:20" x14ac:dyDescent="0.25">
      <c r="D156" s="7">
        <v>2052</v>
      </c>
      <c r="E156" s="7" t="s">
        <v>414</v>
      </c>
      <c r="F156" s="12">
        <v>0</v>
      </c>
      <c r="G156" s="12">
        <v>0</v>
      </c>
      <c r="H156" s="12">
        <v>0</v>
      </c>
      <c r="I156" s="12">
        <v>0</v>
      </c>
      <c r="J156" s="12">
        <v>0</v>
      </c>
      <c r="K156" s="12"/>
      <c r="L156" s="12">
        <v>0</v>
      </c>
      <c r="M156" s="12">
        <v>0</v>
      </c>
      <c r="N156" s="12"/>
      <c r="O156" s="12">
        <v>0</v>
      </c>
      <c r="P156" s="12">
        <v>0</v>
      </c>
      <c r="Q156" s="12">
        <v>0</v>
      </c>
      <c r="R156" s="12">
        <v>0</v>
      </c>
      <c r="S156" s="75">
        <f t="shared" si="38"/>
        <v>0</v>
      </c>
      <c r="T156" s="7">
        <v>153</v>
      </c>
    </row>
    <row r="157" spans="3:20" x14ac:dyDescent="0.25">
      <c r="D157" s="7">
        <v>2053</v>
      </c>
      <c r="E157" s="7" t="s">
        <v>418</v>
      </c>
      <c r="F157" s="12">
        <v>0</v>
      </c>
      <c r="G157" s="12">
        <v>0</v>
      </c>
      <c r="H157" s="12">
        <v>0</v>
      </c>
      <c r="I157" s="12">
        <v>0</v>
      </c>
      <c r="J157" s="12">
        <v>0</v>
      </c>
      <c r="K157" s="12"/>
      <c r="L157" s="12">
        <v>0</v>
      </c>
      <c r="M157" s="12">
        <v>0</v>
      </c>
      <c r="N157" s="12"/>
      <c r="O157" s="12">
        <v>0</v>
      </c>
      <c r="P157" s="12">
        <v>0</v>
      </c>
      <c r="Q157" s="12">
        <v>0</v>
      </c>
      <c r="R157" s="12">
        <v>0</v>
      </c>
      <c r="S157" s="75">
        <f t="shared" si="38"/>
        <v>0</v>
      </c>
      <c r="T157" s="7">
        <v>154</v>
      </c>
    </row>
    <row r="158" spans="3:20" x14ac:dyDescent="0.25">
      <c r="D158" s="7">
        <v>2054</v>
      </c>
      <c r="E158" s="7" t="s">
        <v>416</v>
      </c>
      <c r="F158" s="12">
        <v>0</v>
      </c>
      <c r="G158" s="12">
        <v>0</v>
      </c>
      <c r="H158" s="12">
        <v>0</v>
      </c>
      <c r="I158" s="12">
        <v>0</v>
      </c>
      <c r="J158" s="12">
        <v>0</v>
      </c>
      <c r="K158" s="12"/>
      <c r="L158" s="12">
        <v>0</v>
      </c>
      <c r="M158" s="12">
        <v>0</v>
      </c>
      <c r="N158" s="12"/>
      <c r="O158" s="12">
        <v>0</v>
      </c>
      <c r="P158" s="12">
        <v>0</v>
      </c>
      <c r="Q158" s="12">
        <v>0</v>
      </c>
      <c r="R158" s="12">
        <v>0</v>
      </c>
      <c r="S158" s="75">
        <f t="shared" si="38"/>
        <v>0</v>
      </c>
      <c r="T158" s="7">
        <v>155</v>
      </c>
    </row>
    <row r="159" spans="3:20" x14ac:dyDescent="0.25">
      <c r="D159" s="7">
        <v>2055</v>
      </c>
      <c r="E159" s="7" t="s">
        <v>415</v>
      </c>
      <c r="F159" s="12">
        <v>0</v>
      </c>
      <c r="G159" s="12">
        <v>0</v>
      </c>
      <c r="H159" s="12">
        <v>0</v>
      </c>
      <c r="I159" s="12">
        <v>0</v>
      </c>
      <c r="J159" s="12">
        <v>0</v>
      </c>
      <c r="K159" s="12"/>
      <c r="L159" s="12">
        <v>0</v>
      </c>
      <c r="M159" s="12">
        <v>0</v>
      </c>
      <c r="N159" s="12"/>
      <c r="O159" s="12">
        <v>0</v>
      </c>
      <c r="P159" s="12">
        <v>17585.2</v>
      </c>
      <c r="Q159" s="12">
        <v>0</v>
      </c>
      <c r="R159" s="12">
        <v>0</v>
      </c>
      <c r="S159" s="75">
        <f t="shared" si="38"/>
        <v>17585.2</v>
      </c>
      <c r="T159" s="7">
        <v>156</v>
      </c>
    </row>
    <row r="160" spans="3:20" x14ac:dyDescent="0.25">
      <c r="D160" s="7">
        <v>2056</v>
      </c>
      <c r="E160" s="7" t="s">
        <v>417</v>
      </c>
      <c r="F160" s="12">
        <v>0</v>
      </c>
      <c r="G160" s="12">
        <v>0</v>
      </c>
      <c r="H160" s="12">
        <v>0</v>
      </c>
      <c r="I160" s="12">
        <v>0</v>
      </c>
      <c r="J160" s="12">
        <v>0</v>
      </c>
      <c r="K160" s="12"/>
      <c r="L160" s="12">
        <v>0</v>
      </c>
      <c r="M160" s="12">
        <v>0</v>
      </c>
      <c r="N160" s="12"/>
      <c r="O160" s="12">
        <v>0</v>
      </c>
      <c r="P160" s="12">
        <v>0</v>
      </c>
      <c r="Q160" s="12">
        <v>0</v>
      </c>
      <c r="R160" s="12">
        <v>0</v>
      </c>
      <c r="S160" s="75">
        <f t="shared" si="38"/>
        <v>0</v>
      </c>
      <c r="T160" s="7">
        <v>157</v>
      </c>
    </row>
    <row r="161" spans="3:20" x14ac:dyDescent="0.25">
      <c r="D161" s="7">
        <v>2057</v>
      </c>
      <c r="E161" s="7" t="s">
        <v>419</v>
      </c>
      <c r="F161" s="12">
        <v>0</v>
      </c>
      <c r="G161" s="12">
        <v>0</v>
      </c>
      <c r="H161" s="12">
        <v>0</v>
      </c>
      <c r="I161" s="12">
        <v>0</v>
      </c>
      <c r="J161" s="12">
        <v>0</v>
      </c>
      <c r="K161" s="12"/>
      <c r="L161" s="12">
        <v>0</v>
      </c>
      <c r="M161" s="12">
        <v>0</v>
      </c>
      <c r="N161" s="12"/>
      <c r="O161" s="12">
        <v>0</v>
      </c>
      <c r="P161" s="12">
        <v>0</v>
      </c>
      <c r="Q161" s="12">
        <v>0</v>
      </c>
      <c r="R161" s="12">
        <v>0</v>
      </c>
      <c r="S161" s="75">
        <f t="shared" si="38"/>
        <v>0</v>
      </c>
      <c r="T161" s="7">
        <v>158</v>
      </c>
    </row>
    <row r="162" spans="3:20" x14ac:dyDescent="0.25">
      <c r="D162" s="7">
        <v>2058</v>
      </c>
      <c r="E162" s="7" t="s">
        <v>420</v>
      </c>
      <c r="F162" s="12">
        <v>0</v>
      </c>
      <c r="G162" s="12">
        <v>0</v>
      </c>
      <c r="H162" s="12">
        <v>0</v>
      </c>
      <c r="I162" s="12">
        <v>0</v>
      </c>
      <c r="J162" s="12">
        <v>0</v>
      </c>
      <c r="K162" s="12"/>
      <c r="L162" s="12">
        <v>0</v>
      </c>
      <c r="M162" s="12">
        <v>0</v>
      </c>
      <c r="N162" s="12"/>
      <c r="O162" s="12">
        <v>0</v>
      </c>
      <c r="P162" s="12">
        <v>0</v>
      </c>
      <c r="Q162" s="12">
        <v>0</v>
      </c>
      <c r="R162" s="12">
        <v>0</v>
      </c>
      <c r="S162" s="75">
        <f t="shared" si="38"/>
        <v>0</v>
      </c>
      <c r="T162" s="7">
        <v>159</v>
      </c>
    </row>
    <row r="163" spans="3:20" x14ac:dyDescent="0.25">
      <c r="D163" s="7">
        <v>2059</v>
      </c>
      <c r="E163" s="7" t="s">
        <v>421</v>
      </c>
      <c r="F163" s="12">
        <v>0</v>
      </c>
      <c r="G163" s="12">
        <v>0</v>
      </c>
      <c r="H163" s="12">
        <v>0</v>
      </c>
      <c r="I163" s="12">
        <v>0</v>
      </c>
      <c r="J163" s="12">
        <v>0</v>
      </c>
      <c r="K163" s="12"/>
      <c r="L163" s="12">
        <v>0</v>
      </c>
      <c r="M163" s="12">
        <v>0</v>
      </c>
      <c r="N163" s="12"/>
      <c r="O163" s="12">
        <v>0</v>
      </c>
      <c r="P163" s="12">
        <v>0</v>
      </c>
      <c r="Q163" s="12">
        <v>0</v>
      </c>
      <c r="R163" s="12">
        <v>0</v>
      </c>
      <c r="S163" s="75">
        <f t="shared" si="38"/>
        <v>0</v>
      </c>
      <c r="T163" s="7">
        <v>160</v>
      </c>
    </row>
    <row r="164" spans="3:20" x14ac:dyDescent="0.25">
      <c r="F164" s="12"/>
      <c r="G164" s="12"/>
      <c r="H164" s="12"/>
      <c r="I164" s="12"/>
      <c r="J164" s="12"/>
      <c r="K164" s="12"/>
      <c r="L164" s="12"/>
      <c r="M164" s="12"/>
      <c r="N164" s="12"/>
      <c r="O164" s="12"/>
      <c r="P164" s="12"/>
      <c r="Q164" s="12"/>
      <c r="R164" s="12"/>
      <c r="S164" s="75"/>
      <c r="T164" s="7">
        <v>161</v>
      </c>
    </row>
    <row r="165" spans="3:20" x14ac:dyDescent="0.25">
      <c r="C165" s="111">
        <v>206</v>
      </c>
      <c r="D165" s="111"/>
      <c r="E165" s="111" t="s">
        <v>256</v>
      </c>
      <c r="F165" s="112">
        <f>F166+F167+F168+F169+F170+F171</f>
        <v>2892000</v>
      </c>
      <c r="G165" s="112">
        <f t="shared" ref="G165:R165" si="39">G166+G167+G168+G169+G170+G171</f>
        <v>171732</v>
      </c>
      <c r="H165" s="112">
        <f t="shared" si="39"/>
        <v>258425.60000000001</v>
      </c>
      <c r="I165" s="112">
        <f t="shared" si="39"/>
        <v>0</v>
      </c>
      <c r="J165" s="112">
        <f t="shared" si="39"/>
        <v>367400</v>
      </c>
      <c r="K165" s="112">
        <f t="shared" si="39"/>
        <v>0</v>
      </c>
      <c r="L165" s="112">
        <f t="shared" si="39"/>
        <v>130500</v>
      </c>
      <c r="M165" s="112">
        <f t="shared" si="39"/>
        <v>0</v>
      </c>
      <c r="N165" s="112">
        <f t="shared" si="39"/>
        <v>0</v>
      </c>
      <c r="O165" s="112">
        <f t="shared" si="39"/>
        <v>0</v>
      </c>
      <c r="P165" s="112">
        <f t="shared" si="39"/>
        <v>0</v>
      </c>
      <c r="Q165" s="112">
        <f t="shared" si="39"/>
        <v>425740</v>
      </c>
      <c r="R165" s="112">
        <f t="shared" si="39"/>
        <v>0</v>
      </c>
      <c r="S165" s="112">
        <f t="shared" ref="S165:S171" si="40">SUM(F165:R165)</f>
        <v>4245797.5999999996</v>
      </c>
      <c r="T165" s="7">
        <v>162</v>
      </c>
    </row>
    <row r="166" spans="3:20" x14ac:dyDescent="0.25">
      <c r="D166" s="7">
        <v>2060</v>
      </c>
      <c r="E166" s="7" t="s">
        <v>422</v>
      </c>
      <c r="F166" s="12">
        <v>2892000</v>
      </c>
      <c r="G166" s="12">
        <v>171732</v>
      </c>
      <c r="H166" s="12">
        <v>0</v>
      </c>
      <c r="I166" s="12">
        <v>0</v>
      </c>
      <c r="J166" s="12">
        <v>0</v>
      </c>
      <c r="K166" s="12"/>
      <c r="L166" s="12">
        <v>0</v>
      </c>
      <c r="M166" s="12">
        <v>0</v>
      </c>
      <c r="N166" s="12"/>
      <c r="O166" s="12">
        <v>0</v>
      </c>
      <c r="P166" s="12">
        <v>0</v>
      </c>
      <c r="Q166" s="12">
        <v>0</v>
      </c>
      <c r="R166" s="12">
        <v>0</v>
      </c>
      <c r="S166" s="75">
        <f t="shared" si="40"/>
        <v>3063732</v>
      </c>
      <c r="T166" s="7">
        <v>163</v>
      </c>
    </row>
    <row r="167" spans="3:20" x14ac:dyDescent="0.25">
      <c r="D167" s="7">
        <v>2062</v>
      </c>
      <c r="E167" s="7" t="s">
        <v>423</v>
      </c>
      <c r="F167" s="12">
        <v>0</v>
      </c>
      <c r="G167" s="12">
        <v>0</v>
      </c>
      <c r="H167" s="12">
        <v>0</v>
      </c>
      <c r="I167" s="12">
        <v>0</v>
      </c>
      <c r="J167" s="12">
        <v>0</v>
      </c>
      <c r="K167" s="12"/>
      <c r="L167" s="12">
        <v>0</v>
      </c>
      <c r="M167" s="12">
        <v>0</v>
      </c>
      <c r="N167" s="12"/>
      <c r="O167" s="12">
        <v>0</v>
      </c>
      <c r="P167" s="12">
        <v>0</v>
      </c>
      <c r="Q167" s="12">
        <v>0</v>
      </c>
      <c r="R167" s="12">
        <v>0</v>
      </c>
      <c r="S167" s="75">
        <f t="shared" si="40"/>
        <v>0</v>
      </c>
      <c r="T167" s="7">
        <v>164</v>
      </c>
    </row>
    <row r="168" spans="3:20" x14ac:dyDescent="0.25">
      <c r="D168" s="7">
        <v>2063</v>
      </c>
      <c r="E168" s="7" t="s">
        <v>424</v>
      </c>
      <c r="F168" s="12">
        <v>0</v>
      </c>
      <c r="G168" s="12">
        <v>0</v>
      </c>
      <c r="H168" s="12">
        <v>250000</v>
      </c>
      <c r="I168" s="12">
        <v>0</v>
      </c>
      <c r="J168" s="12">
        <v>367400</v>
      </c>
      <c r="K168" s="12"/>
      <c r="L168" s="12">
        <v>130500</v>
      </c>
      <c r="M168" s="12">
        <v>0</v>
      </c>
      <c r="N168" s="12"/>
      <c r="O168" s="12">
        <v>0</v>
      </c>
      <c r="P168" s="12">
        <v>0</v>
      </c>
      <c r="Q168" s="12">
        <v>425740</v>
      </c>
      <c r="R168" s="12">
        <v>0</v>
      </c>
      <c r="S168" s="75">
        <f t="shared" si="40"/>
        <v>1173640</v>
      </c>
      <c r="T168" s="7">
        <v>165</v>
      </c>
    </row>
    <row r="169" spans="3:20" x14ac:dyDescent="0.25">
      <c r="D169" s="7">
        <v>2064</v>
      </c>
      <c r="E169" s="7" t="s">
        <v>445</v>
      </c>
      <c r="F169" s="12">
        <v>0</v>
      </c>
      <c r="G169" s="12">
        <v>0</v>
      </c>
      <c r="H169" s="12">
        <v>0</v>
      </c>
      <c r="I169" s="12">
        <v>0</v>
      </c>
      <c r="J169" s="12">
        <v>0</v>
      </c>
      <c r="K169" s="12"/>
      <c r="L169" s="12">
        <v>0</v>
      </c>
      <c r="M169" s="12">
        <v>0</v>
      </c>
      <c r="N169" s="12"/>
      <c r="O169" s="12">
        <v>0</v>
      </c>
      <c r="P169" s="12">
        <v>0</v>
      </c>
      <c r="Q169" s="12">
        <v>0</v>
      </c>
      <c r="R169" s="12">
        <v>0</v>
      </c>
      <c r="S169" s="75">
        <f t="shared" si="40"/>
        <v>0</v>
      </c>
      <c r="T169" s="7">
        <v>166</v>
      </c>
    </row>
    <row r="170" spans="3:20" x14ac:dyDescent="0.25">
      <c r="D170" s="7">
        <v>2067</v>
      </c>
      <c r="E170" s="7" t="s">
        <v>426</v>
      </c>
      <c r="F170" s="12">
        <v>0</v>
      </c>
      <c r="G170" s="12">
        <v>0</v>
      </c>
      <c r="H170" s="12">
        <v>0</v>
      </c>
      <c r="I170" s="12">
        <v>0</v>
      </c>
      <c r="J170" s="12">
        <v>0</v>
      </c>
      <c r="K170" s="12"/>
      <c r="L170" s="12">
        <v>0</v>
      </c>
      <c r="M170" s="12">
        <v>0</v>
      </c>
      <c r="N170" s="12"/>
      <c r="O170" s="12">
        <v>0</v>
      </c>
      <c r="P170" s="12">
        <v>0</v>
      </c>
      <c r="Q170" s="12">
        <v>0</v>
      </c>
      <c r="R170" s="12">
        <v>0</v>
      </c>
      <c r="S170" s="75">
        <f t="shared" si="40"/>
        <v>0</v>
      </c>
      <c r="T170" s="7">
        <v>167</v>
      </c>
    </row>
    <row r="171" spans="3:20" x14ac:dyDescent="0.25">
      <c r="D171" s="7">
        <v>2069</v>
      </c>
      <c r="E171" s="7" t="s">
        <v>427</v>
      </c>
      <c r="F171" s="12">
        <v>0</v>
      </c>
      <c r="G171" s="12">
        <v>0</v>
      </c>
      <c r="H171" s="12">
        <v>8425.6</v>
      </c>
      <c r="I171" s="12">
        <v>0</v>
      </c>
      <c r="J171" s="12">
        <v>0</v>
      </c>
      <c r="K171" s="12"/>
      <c r="L171" s="12">
        <v>0</v>
      </c>
      <c r="M171" s="12">
        <v>0</v>
      </c>
      <c r="N171" s="12"/>
      <c r="O171" s="12">
        <v>0</v>
      </c>
      <c r="P171" s="12">
        <v>0</v>
      </c>
      <c r="Q171" s="12">
        <v>0</v>
      </c>
      <c r="R171" s="12">
        <v>0</v>
      </c>
      <c r="S171" s="75">
        <f t="shared" si="40"/>
        <v>8425.6</v>
      </c>
      <c r="T171" s="7">
        <v>168</v>
      </c>
    </row>
    <row r="172" spans="3:20" x14ac:dyDescent="0.25">
      <c r="F172" s="12"/>
      <c r="G172" s="12"/>
      <c r="H172" s="12"/>
      <c r="I172" s="12"/>
      <c r="J172" s="12"/>
      <c r="K172" s="12"/>
      <c r="L172" s="12"/>
      <c r="M172" s="12"/>
      <c r="N172" s="12"/>
      <c r="O172" s="12"/>
      <c r="P172" s="12"/>
      <c r="Q172" s="12"/>
      <c r="R172" s="12"/>
      <c r="S172" s="75"/>
      <c r="T172" s="7">
        <v>169</v>
      </c>
    </row>
    <row r="173" spans="3:20" x14ac:dyDescent="0.25">
      <c r="C173" s="111">
        <v>208</v>
      </c>
      <c r="D173" s="111"/>
      <c r="E173" s="111" t="s">
        <v>257</v>
      </c>
      <c r="F173" s="112">
        <f>F174+F175+F176+F177+F178+F179+F180+F181+F182</f>
        <v>3045.7</v>
      </c>
      <c r="G173" s="112">
        <f t="shared" ref="G173:R173" si="41">G174+G175+G176+G177+G178+G179+G180+G181+G182</f>
        <v>0</v>
      </c>
      <c r="H173" s="112">
        <f t="shared" si="41"/>
        <v>0</v>
      </c>
      <c r="I173" s="112">
        <f t="shared" si="41"/>
        <v>0</v>
      </c>
      <c r="J173" s="112">
        <f t="shared" si="41"/>
        <v>21800</v>
      </c>
      <c r="K173" s="112">
        <f t="shared" si="41"/>
        <v>0</v>
      </c>
      <c r="L173" s="112">
        <f t="shared" si="41"/>
        <v>0</v>
      </c>
      <c r="M173" s="112">
        <f t="shared" si="41"/>
        <v>0</v>
      </c>
      <c r="N173" s="112">
        <f t="shared" si="41"/>
        <v>0</v>
      </c>
      <c r="O173" s="112">
        <f t="shared" si="41"/>
        <v>0</v>
      </c>
      <c r="P173" s="112">
        <f t="shared" si="41"/>
        <v>0</v>
      </c>
      <c r="Q173" s="112">
        <f t="shared" si="41"/>
        <v>0</v>
      </c>
      <c r="R173" s="112">
        <f t="shared" si="41"/>
        <v>0</v>
      </c>
      <c r="S173" s="112">
        <f t="shared" ref="S173:S182" si="42">SUM(F173:R173)</f>
        <v>24845.7</v>
      </c>
      <c r="T173" s="7">
        <v>170</v>
      </c>
    </row>
    <row r="174" spans="3:20" x14ac:dyDescent="0.25">
      <c r="D174" s="7">
        <v>2081</v>
      </c>
      <c r="E174" s="7" t="s">
        <v>428</v>
      </c>
      <c r="F174" s="12">
        <v>0</v>
      </c>
      <c r="G174" s="12">
        <v>0</v>
      </c>
      <c r="H174" s="12">
        <v>0</v>
      </c>
      <c r="I174" s="12">
        <v>0</v>
      </c>
      <c r="J174" s="12">
        <v>0</v>
      </c>
      <c r="K174" s="12"/>
      <c r="L174" s="12">
        <v>0</v>
      </c>
      <c r="M174" s="12">
        <v>0</v>
      </c>
      <c r="N174" s="12"/>
      <c r="O174" s="12">
        <v>0</v>
      </c>
      <c r="P174" s="12">
        <v>0</v>
      </c>
      <c r="Q174" s="12">
        <v>0</v>
      </c>
      <c r="R174" s="12">
        <v>0</v>
      </c>
      <c r="S174" s="75">
        <f t="shared" si="42"/>
        <v>0</v>
      </c>
      <c r="T174" s="7">
        <v>171</v>
      </c>
    </row>
    <row r="175" spans="3:20" x14ac:dyDescent="0.25">
      <c r="D175" s="7">
        <v>2082</v>
      </c>
      <c r="E175" s="7" t="s">
        <v>429</v>
      </c>
      <c r="F175" s="12">
        <v>0</v>
      </c>
      <c r="G175" s="12">
        <v>0</v>
      </c>
      <c r="H175" s="12">
        <v>0</v>
      </c>
      <c r="I175" s="12">
        <v>0</v>
      </c>
      <c r="J175" s="12">
        <v>0</v>
      </c>
      <c r="K175" s="12"/>
      <c r="L175" s="12">
        <v>0</v>
      </c>
      <c r="M175" s="12">
        <v>0</v>
      </c>
      <c r="N175" s="12"/>
      <c r="O175" s="12">
        <v>0</v>
      </c>
      <c r="P175" s="12">
        <v>0</v>
      </c>
      <c r="Q175" s="12">
        <v>0</v>
      </c>
      <c r="R175" s="12">
        <v>0</v>
      </c>
      <c r="S175" s="75">
        <f t="shared" si="42"/>
        <v>0</v>
      </c>
      <c r="T175" s="7">
        <v>172</v>
      </c>
    </row>
    <row r="176" spans="3:20" x14ac:dyDescent="0.25">
      <c r="D176" s="7">
        <v>2083</v>
      </c>
      <c r="E176" s="7" t="s">
        <v>430</v>
      </c>
      <c r="F176" s="12">
        <v>0</v>
      </c>
      <c r="G176" s="12">
        <v>0</v>
      </c>
      <c r="H176" s="12">
        <v>0</v>
      </c>
      <c r="I176" s="12">
        <v>0</v>
      </c>
      <c r="J176" s="12">
        <v>0</v>
      </c>
      <c r="K176" s="12"/>
      <c r="L176" s="12">
        <v>0</v>
      </c>
      <c r="M176" s="12">
        <v>0</v>
      </c>
      <c r="N176" s="12"/>
      <c r="O176" s="12">
        <v>0</v>
      </c>
      <c r="P176" s="12">
        <v>0</v>
      </c>
      <c r="Q176" s="12">
        <v>0</v>
      </c>
      <c r="R176" s="12">
        <v>0</v>
      </c>
      <c r="S176" s="75">
        <f t="shared" si="42"/>
        <v>0</v>
      </c>
      <c r="T176" s="7">
        <v>173</v>
      </c>
    </row>
    <row r="177" spans="2:20" x14ac:dyDescent="0.25">
      <c r="D177" s="7">
        <v>2084</v>
      </c>
      <c r="E177" s="7" t="s">
        <v>431</v>
      </c>
      <c r="F177" s="12">
        <v>0</v>
      </c>
      <c r="G177" s="12">
        <v>0</v>
      </c>
      <c r="H177" s="12">
        <v>0</v>
      </c>
      <c r="I177" s="12">
        <v>0</v>
      </c>
      <c r="J177" s="12">
        <v>0</v>
      </c>
      <c r="K177" s="12"/>
      <c r="L177" s="12">
        <v>0</v>
      </c>
      <c r="M177" s="12">
        <v>0</v>
      </c>
      <c r="N177" s="12"/>
      <c r="O177" s="12">
        <v>0</v>
      </c>
      <c r="P177" s="12">
        <v>0</v>
      </c>
      <c r="Q177" s="12">
        <v>0</v>
      </c>
      <c r="R177" s="12">
        <v>0</v>
      </c>
      <c r="S177" s="75">
        <f t="shared" si="42"/>
        <v>0</v>
      </c>
      <c r="T177" s="7">
        <v>174</v>
      </c>
    </row>
    <row r="178" spans="2:20" x14ac:dyDescent="0.25">
      <c r="D178" s="7">
        <v>2085</v>
      </c>
      <c r="E178" s="7" t="s">
        <v>433</v>
      </c>
      <c r="F178" s="12">
        <v>3045.7</v>
      </c>
      <c r="G178" s="12">
        <v>0</v>
      </c>
      <c r="H178" s="12">
        <v>0</v>
      </c>
      <c r="I178" s="12">
        <v>0</v>
      </c>
      <c r="J178" s="12">
        <v>21800</v>
      </c>
      <c r="K178" s="12"/>
      <c r="L178" s="12">
        <v>0</v>
      </c>
      <c r="M178" s="12">
        <v>0</v>
      </c>
      <c r="N178" s="12"/>
      <c r="O178" s="12">
        <v>0</v>
      </c>
      <c r="P178" s="12">
        <v>0</v>
      </c>
      <c r="Q178" s="12">
        <v>0</v>
      </c>
      <c r="R178" s="12">
        <v>0</v>
      </c>
      <c r="S178" s="75">
        <f t="shared" si="42"/>
        <v>24845.7</v>
      </c>
      <c r="T178" s="7">
        <v>175</v>
      </c>
    </row>
    <row r="179" spans="2:20" x14ac:dyDescent="0.25">
      <c r="D179" s="7">
        <v>2086</v>
      </c>
      <c r="E179" s="7" t="s">
        <v>432</v>
      </c>
      <c r="F179" s="12">
        <v>0</v>
      </c>
      <c r="G179" s="12">
        <v>0</v>
      </c>
      <c r="H179" s="12">
        <v>0</v>
      </c>
      <c r="I179" s="12">
        <v>0</v>
      </c>
      <c r="J179" s="12">
        <v>0</v>
      </c>
      <c r="K179" s="12"/>
      <c r="L179" s="12">
        <v>0</v>
      </c>
      <c r="M179" s="12">
        <v>0</v>
      </c>
      <c r="N179" s="12"/>
      <c r="O179" s="12">
        <v>0</v>
      </c>
      <c r="P179" s="12">
        <v>0</v>
      </c>
      <c r="Q179" s="12">
        <v>0</v>
      </c>
      <c r="R179" s="12">
        <v>0</v>
      </c>
      <c r="S179" s="75">
        <f t="shared" si="42"/>
        <v>0</v>
      </c>
      <c r="T179" s="7">
        <v>176</v>
      </c>
    </row>
    <row r="180" spans="2:20" x14ac:dyDescent="0.25">
      <c r="D180" s="7">
        <v>2087</v>
      </c>
      <c r="E180" s="7" t="s">
        <v>434</v>
      </c>
      <c r="F180" s="12">
        <v>0</v>
      </c>
      <c r="G180" s="12">
        <v>0</v>
      </c>
      <c r="H180" s="12">
        <v>0</v>
      </c>
      <c r="I180" s="12">
        <v>0</v>
      </c>
      <c r="J180" s="12">
        <v>0</v>
      </c>
      <c r="K180" s="12"/>
      <c r="L180" s="12">
        <v>0</v>
      </c>
      <c r="M180" s="12">
        <v>0</v>
      </c>
      <c r="N180" s="12"/>
      <c r="O180" s="12">
        <v>0</v>
      </c>
      <c r="P180" s="12">
        <v>0</v>
      </c>
      <c r="Q180" s="12">
        <v>0</v>
      </c>
      <c r="R180" s="12">
        <v>0</v>
      </c>
      <c r="S180" s="75">
        <f t="shared" si="42"/>
        <v>0</v>
      </c>
      <c r="T180" s="7">
        <v>177</v>
      </c>
    </row>
    <row r="181" spans="2:20" x14ac:dyDescent="0.25">
      <c r="D181" s="7">
        <v>2088</v>
      </c>
      <c r="E181" s="7" t="s">
        <v>435</v>
      </c>
      <c r="F181" s="12">
        <v>0</v>
      </c>
      <c r="G181" s="12">
        <v>0</v>
      </c>
      <c r="H181" s="12">
        <v>0</v>
      </c>
      <c r="I181" s="12">
        <v>0</v>
      </c>
      <c r="J181" s="12">
        <v>0</v>
      </c>
      <c r="K181" s="12"/>
      <c r="L181" s="12">
        <v>0</v>
      </c>
      <c r="M181" s="12">
        <v>0</v>
      </c>
      <c r="N181" s="12"/>
      <c r="O181" s="12">
        <v>0</v>
      </c>
      <c r="P181" s="12">
        <v>0</v>
      </c>
      <c r="Q181" s="12">
        <v>0</v>
      </c>
      <c r="R181" s="12">
        <v>0</v>
      </c>
      <c r="S181" s="75">
        <f t="shared" si="42"/>
        <v>0</v>
      </c>
      <c r="T181" s="7">
        <v>178</v>
      </c>
    </row>
    <row r="182" spans="2:20" x14ac:dyDescent="0.25">
      <c r="D182" s="7">
        <v>2089</v>
      </c>
      <c r="E182" s="7" t="s">
        <v>436</v>
      </c>
      <c r="F182" s="12">
        <v>0</v>
      </c>
      <c r="G182" s="12">
        <v>0</v>
      </c>
      <c r="H182" s="12">
        <v>0</v>
      </c>
      <c r="I182" s="12">
        <v>0</v>
      </c>
      <c r="J182" s="12">
        <v>0</v>
      </c>
      <c r="K182" s="12"/>
      <c r="L182" s="12">
        <v>0</v>
      </c>
      <c r="M182" s="12">
        <v>0</v>
      </c>
      <c r="N182" s="12"/>
      <c r="O182" s="12">
        <v>0</v>
      </c>
      <c r="P182" s="12">
        <v>0</v>
      </c>
      <c r="Q182" s="12">
        <v>0</v>
      </c>
      <c r="R182" s="12">
        <v>0</v>
      </c>
      <c r="S182" s="75">
        <f t="shared" si="42"/>
        <v>0</v>
      </c>
      <c r="T182" s="7">
        <v>179</v>
      </c>
    </row>
    <row r="183" spans="2:20" x14ac:dyDescent="0.25">
      <c r="F183" s="12"/>
      <c r="G183" s="12"/>
      <c r="H183" s="12"/>
      <c r="I183" s="12"/>
      <c r="J183" s="12"/>
      <c r="K183" s="12"/>
      <c r="L183" s="12"/>
      <c r="M183" s="12"/>
      <c r="N183" s="12"/>
      <c r="O183" s="12"/>
      <c r="P183" s="12"/>
      <c r="Q183" s="12"/>
      <c r="R183" s="12"/>
      <c r="S183" s="75"/>
      <c r="T183" s="7">
        <v>180</v>
      </c>
    </row>
    <row r="184" spans="2:20" x14ac:dyDescent="0.25">
      <c r="C184" s="111">
        <v>209</v>
      </c>
      <c r="D184" s="111"/>
      <c r="E184" s="111" t="s">
        <v>258</v>
      </c>
      <c r="F184" s="112">
        <f>F185+F186+F187+F188</f>
        <v>0</v>
      </c>
      <c r="G184" s="112">
        <f t="shared" ref="G184:R184" si="43">G185+G186+G187+G188</f>
        <v>0</v>
      </c>
      <c r="H184" s="112">
        <f t="shared" si="43"/>
        <v>0</v>
      </c>
      <c r="I184" s="112">
        <f t="shared" si="43"/>
        <v>0</v>
      </c>
      <c r="J184" s="112">
        <f t="shared" si="43"/>
        <v>104120</v>
      </c>
      <c r="K184" s="112">
        <f t="shared" si="43"/>
        <v>0</v>
      </c>
      <c r="L184" s="112">
        <f t="shared" si="43"/>
        <v>0</v>
      </c>
      <c r="M184" s="112">
        <f t="shared" si="43"/>
        <v>0</v>
      </c>
      <c r="N184" s="112">
        <f t="shared" si="43"/>
        <v>0</v>
      </c>
      <c r="O184" s="112">
        <f t="shared" si="43"/>
        <v>0</v>
      </c>
      <c r="P184" s="112">
        <f t="shared" si="43"/>
        <v>0</v>
      </c>
      <c r="Q184" s="112">
        <f t="shared" si="43"/>
        <v>0</v>
      </c>
      <c r="R184" s="112">
        <f t="shared" si="43"/>
        <v>0</v>
      </c>
      <c r="S184" s="112">
        <f>SUM(F184:R184)</f>
        <v>104120</v>
      </c>
      <c r="T184" s="7">
        <v>181</v>
      </c>
    </row>
    <row r="185" spans="2:20" x14ac:dyDescent="0.25">
      <c r="D185" s="7">
        <v>2090</v>
      </c>
      <c r="E185" s="7" t="s">
        <v>258</v>
      </c>
      <c r="F185" s="12">
        <v>0</v>
      </c>
      <c r="G185" s="12">
        <v>0</v>
      </c>
      <c r="H185" s="12">
        <v>0</v>
      </c>
      <c r="I185" s="12">
        <v>0</v>
      </c>
      <c r="J185" s="12">
        <v>104120</v>
      </c>
      <c r="K185" s="12"/>
      <c r="L185" s="12">
        <v>0</v>
      </c>
      <c r="M185" s="12">
        <v>0</v>
      </c>
      <c r="N185" s="12"/>
      <c r="O185" s="12">
        <v>0</v>
      </c>
      <c r="P185" s="12">
        <v>0</v>
      </c>
      <c r="Q185" s="12">
        <v>0</v>
      </c>
      <c r="R185" s="12">
        <v>0</v>
      </c>
      <c r="S185" s="75">
        <f>SUM(F185:R185)</f>
        <v>104120</v>
      </c>
      <c r="T185" s="7">
        <v>182</v>
      </c>
    </row>
    <row r="186" spans="2:20" x14ac:dyDescent="0.25">
      <c r="D186" s="7">
        <v>2091</v>
      </c>
      <c r="E186" s="7" t="s">
        <v>437</v>
      </c>
      <c r="F186" s="12">
        <v>0</v>
      </c>
      <c r="G186" s="12">
        <v>0</v>
      </c>
      <c r="H186" s="12">
        <v>0</v>
      </c>
      <c r="I186" s="12">
        <v>0</v>
      </c>
      <c r="J186" s="12">
        <v>0</v>
      </c>
      <c r="K186" s="12"/>
      <c r="L186" s="12">
        <v>0</v>
      </c>
      <c r="M186" s="12">
        <v>0</v>
      </c>
      <c r="N186" s="12"/>
      <c r="O186" s="12">
        <v>0</v>
      </c>
      <c r="P186" s="12">
        <v>0</v>
      </c>
      <c r="Q186" s="12">
        <v>0</v>
      </c>
      <c r="R186" s="12">
        <v>0</v>
      </c>
      <c r="S186" s="75">
        <f>SUM(F186:R186)</f>
        <v>0</v>
      </c>
      <c r="T186" s="7">
        <v>183</v>
      </c>
    </row>
    <row r="187" spans="2:20" x14ac:dyDescent="0.25">
      <c r="D187" s="7">
        <v>2092</v>
      </c>
      <c r="E187" s="7" t="s">
        <v>438</v>
      </c>
      <c r="F187" s="12">
        <v>0</v>
      </c>
      <c r="G187" s="12">
        <v>0</v>
      </c>
      <c r="H187" s="12">
        <v>0</v>
      </c>
      <c r="I187" s="12">
        <v>0</v>
      </c>
      <c r="J187" s="12">
        <v>0</v>
      </c>
      <c r="K187" s="12"/>
      <c r="L187" s="12">
        <v>0</v>
      </c>
      <c r="M187" s="12">
        <v>0</v>
      </c>
      <c r="N187" s="12"/>
      <c r="O187" s="12">
        <v>0</v>
      </c>
      <c r="P187" s="12">
        <v>0</v>
      </c>
      <c r="Q187" s="12">
        <v>0</v>
      </c>
      <c r="R187" s="12">
        <v>0</v>
      </c>
      <c r="S187" s="75">
        <f>SUM(F187:R187)</f>
        <v>0</v>
      </c>
      <c r="T187" s="7">
        <v>184</v>
      </c>
    </row>
    <row r="188" spans="2:20" x14ac:dyDescent="0.25">
      <c r="D188" s="7">
        <v>2093</v>
      </c>
      <c r="E188" s="7" t="s">
        <v>439</v>
      </c>
      <c r="F188" s="12">
        <v>0</v>
      </c>
      <c r="G188" s="12">
        <v>0</v>
      </c>
      <c r="H188" s="12">
        <v>0</v>
      </c>
      <c r="I188" s="12">
        <v>0</v>
      </c>
      <c r="J188" s="12">
        <v>0</v>
      </c>
      <c r="K188" s="12"/>
      <c r="L188" s="12">
        <v>0</v>
      </c>
      <c r="M188" s="12">
        <v>0</v>
      </c>
      <c r="N188" s="12"/>
      <c r="O188" s="12">
        <v>0</v>
      </c>
      <c r="P188" s="12">
        <v>0</v>
      </c>
      <c r="Q188" s="12">
        <v>0</v>
      </c>
      <c r="R188" s="12">
        <v>0</v>
      </c>
      <c r="S188" s="75">
        <f>SUM(F188:R188)</f>
        <v>0</v>
      </c>
      <c r="T188" s="7">
        <v>185</v>
      </c>
    </row>
    <row r="189" spans="2:20" x14ac:dyDescent="0.25">
      <c r="F189" s="12"/>
      <c r="G189" s="12"/>
      <c r="H189" s="12"/>
      <c r="I189" s="12"/>
      <c r="J189" s="12"/>
      <c r="K189" s="12"/>
      <c r="L189" s="12"/>
      <c r="M189" s="12"/>
      <c r="N189" s="12"/>
      <c r="O189" s="12"/>
      <c r="P189" s="12"/>
      <c r="Q189" s="12"/>
      <c r="R189" s="12"/>
      <c r="S189" s="75"/>
      <c r="T189" s="7">
        <v>186</v>
      </c>
    </row>
    <row r="190" spans="2:20" x14ac:dyDescent="0.25">
      <c r="B190" s="109">
        <v>29</v>
      </c>
      <c r="C190" s="109"/>
      <c r="D190" s="109"/>
      <c r="E190" s="109" t="s">
        <v>259</v>
      </c>
      <c r="F190" s="110">
        <f>F191+F194+F198+F201+F204+F207+F210+F213+F216</f>
        <v>7610724.25</v>
      </c>
      <c r="G190" s="110">
        <f t="shared" ref="G190:S190" si="44">G191+G194+G198+G201+G204+G207+G210+G213+G216</f>
        <v>681259.22</v>
      </c>
      <c r="H190" s="110">
        <f t="shared" si="44"/>
        <v>772558.47</v>
      </c>
      <c r="I190" s="110">
        <f t="shared" si="44"/>
        <v>874693.03999999992</v>
      </c>
      <c r="J190" s="110">
        <f t="shared" si="44"/>
        <v>2197678.9300000002</v>
      </c>
      <c r="K190" s="110">
        <f t="shared" si="44"/>
        <v>0</v>
      </c>
      <c r="L190" s="110">
        <f t="shared" si="44"/>
        <v>978772.22</v>
      </c>
      <c r="M190" s="110">
        <f t="shared" si="44"/>
        <v>1739782.5</v>
      </c>
      <c r="N190" s="110">
        <f t="shared" si="44"/>
        <v>0</v>
      </c>
      <c r="O190" s="110">
        <f t="shared" si="44"/>
        <v>576444.63</v>
      </c>
      <c r="P190" s="110">
        <f t="shared" si="44"/>
        <v>2625383.16</v>
      </c>
      <c r="Q190" s="110">
        <f t="shared" si="44"/>
        <v>1460387.53</v>
      </c>
      <c r="R190" s="110">
        <f t="shared" si="44"/>
        <v>2493897.5700000003</v>
      </c>
      <c r="S190" s="110">
        <f t="shared" si="44"/>
        <v>22011581.52</v>
      </c>
      <c r="T190" s="7">
        <v>187</v>
      </c>
    </row>
    <row r="191" spans="2:20" x14ac:dyDescent="0.25">
      <c r="C191" s="111">
        <v>290</v>
      </c>
      <c r="D191" s="111"/>
      <c r="E191" s="111" t="s">
        <v>260</v>
      </c>
      <c r="F191" s="112">
        <f>F192</f>
        <v>338123.14</v>
      </c>
      <c r="G191" s="112">
        <f t="shared" ref="G191:R191" si="45">G192</f>
        <v>36537.629999999997</v>
      </c>
      <c r="H191" s="112">
        <f t="shared" si="45"/>
        <v>34698.19</v>
      </c>
      <c r="I191" s="112">
        <f t="shared" si="45"/>
        <v>13267.1</v>
      </c>
      <c r="J191" s="112">
        <f t="shared" si="45"/>
        <v>395505.93</v>
      </c>
      <c r="K191" s="112">
        <f t="shared" si="45"/>
        <v>0</v>
      </c>
      <c r="L191" s="112">
        <f t="shared" si="45"/>
        <v>54798.85</v>
      </c>
      <c r="M191" s="112">
        <f t="shared" si="45"/>
        <v>391331.26</v>
      </c>
      <c r="N191" s="112">
        <f t="shared" si="45"/>
        <v>0</v>
      </c>
      <c r="O191" s="112">
        <f t="shared" si="45"/>
        <v>108631.13</v>
      </c>
      <c r="P191" s="112">
        <f t="shared" si="45"/>
        <v>84038.7</v>
      </c>
      <c r="Q191" s="112">
        <f t="shared" si="45"/>
        <v>168164.92</v>
      </c>
      <c r="R191" s="112">
        <f t="shared" si="45"/>
        <v>376649.03</v>
      </c>
      <c r="S191" s="112">
        <f>SUM(F191:R191)</f>
        <v>2001745.88</v>
      </c>
      <c r="T191" s="7">
        <v>188</v>
      </c>
    </row>
    <row r="192" spans="2:20" x14ac:dyDescent="0.25">
      <c r="D192" s="7">
        <v>2900</v>
      </c>
      <c r="E192" s="7" t="s">
        <v>260</v>
      </c>
      <c r="F192" s="12">
        <v>338123.14</v>
      </c>
      <c r="G192" s="12">
        <v>36537.629999999997</v>
      </c>
      <c r="H192" s="12">
        <v>34698.19</v>
      </c>
      <c r="I192" s="12">
        <v>13267.1</v>
      </c>
      <c r="J192" s="12">
        <v>395505.93</v>
      </c>
      <c r="K192" s="12"/>
      <c r="L192" s="12">
        <v>54798.85</v>
      </c>
      <c r="M192" s="12">
        <v>391331.26</v>
      </c>
      <c r="N192" s="12"/>
      <c r="O192" s="12">
        <v>108631.13</v>
      </c>
      <c r="P192" s="12">
        <v>84038.7</v>
      </c>
      <c r="Q192" s="12">
        <v>168164.92</v>
      </c>
      <c r="R192" s="12">
        <v>376649.03</v>
      </c>
      <c r="S192" s="75">
        <f>SUM(F192:R192)</f>
        <v>2001745.88</v>
      </c>
      <c r="T192" s="7">
        <v>189</v>
      </c>
    </row>
    <row r="193" spans="3:20" x14ac:dyDescent="0.25">
      <c r="F193" s="12"/>
      <c r="G193" s="12"/>
      <c r="H193" s="12"/>
      <c r="I193" s="12"/>
      <c r="J193" s="12"/>
      <c r="K193" s="12"/>
      <c r="L193" s="12"/>
      <c r="M193" s="12"/>
      <c r="N193" s="12"/>
      <c r="O193" s="12"/>
      <c r="P193" s="12"/>
      <c r="Q193" s="12"/>
      <c r="R193" s="12"/>
      <c r="S193" s="75"/>
      <c r="T193" s="7">
        <v>190</v>
      </c>
    </row>
    <row r="194" spans="3:20" x14ac:dyDescent="0.25">
      <c r="C194" s="111">
        <v>291</v>
      </c>
      <c r="D194" s="111"/>
      <c r="E194" s="111" t="s">
        <v>261</v>
      </c>
      <c r="F194" s="112">
        <f>F195+F196</f>
        <v>0</v>
      </c>
      <c r="G194" s="112">
        <f t="shared" ref="G194:R194" si="46">G195+G196</f>
        <v>0</v>
      </c>
      <c r="H194" s="112">
        <f t="shared" si="46"/>
        <v>0</v>
      </c>
      <c r="I194" s="112">
        <f t="shared" si="46"/>
        <v>0</v>
      </c>
      <c r="J194" s="112">
        <f t="shared" si="46"/>
        <v>0</v>
      </c>
      <c r="K194" s="112">
        <f t="shared" si="46"/>
        <v>0</v>
      </c>
      <c r="L194" s="112">
        <f t="shared" si="46"/>
        <v>0</v>
      </c>
      <c r="M194" s="112">
        <f t="shared" si="46"/>
        <v>0</v>
      </c>
      <c r="N194" s="112">
        <f t="shared" si="46"/>
        <v>0</v>
      </c>
      <c r="O194" s="112">
        <f t="shared" si="46"/>
        <v>0</v>
      </c>
      <c r="P194" s="112">
        <f t="shared" si="46"/>
        <v>0</v>
      </c>
      <c r="Q194" s="112">
        <f t="shared" si="46"/>
        <v>0</v>
      </c>
      <c r="R194" s="112">
        <f t="shared" si="46"/>
        <v>0</v>
      </c>
      <c r="S194" s="112">
        <f>SUM(F194:R194)</f>
        <v>0</v>
      </c>
      <c r="T194" s="7">
        <v>191</v>
      </c>
    </row>
    <row r="195" spans="3:20" x14ac:dyDescent="0.25">
      <c r="D195" s="7">
        <v>2910</v>
      </c>
      <c r="E195" s="7" t="s">
        <v>261</v>
      </c>
      <c r="F195" s="12">
        <v>0</v>
      </c>
      <c r="G195" s="12">
        <v>0</v>
      </c>
      <c r="H195" s="12">
        <v>0</v>
      </c>
      <c r="I195" s="12">
        <v>0</v>
      </c>
      <c r="J195" s="12">
        <v>0</v>
      </c>
      <c r="K195" s="12"/>
      <c r="L195" s="12">
        <v>0</v>
      </c>
      <c r="M195" s="12">
        <v>0</v>
      </c>
      <c r="N195" s="12"/>
      <c r="O195" s="12">
        <v>0</v>
      </c>
      <c r="P195" s="12">
        <v>0</v>
      </c>
      <c r="Q195" s="12">
        <v>0</v>
      </c>
      <c r="R195" s="12">
        <v>0</v>
      </c>
      <c r="S195" s="75">
        <f>SUM(F195:R195)</f>
        <v>0</v>
      </c>
      <c r="T195" s="7">
        <v>192</v>
      </c>
    </row>
    <row r="196" spans="3:20" x14ac:dyDescent="0.25">
      <c r="D196" s="7">
        <v>2911</v>
      </c>
      <c r="E196" s="7" t="s">
        <v>440</v>
      </c>
      <c r="F196" s="12">
        <v>0</v>
      </c>
      <c r="G196" s="12">
        <v>0</v>
      </c>
      <c r="H196" s="12">
        <v>0</v>
      </c>
      <c r="I196" s="12">
        <v>0</v>
      </c>
      <c r="J196" s="12">
        <v>0</v>
      </c>
      <c r="K196" s="12"/>
      <c r="L196" s="12">
        <v>0</v>
      </c>
      <c r="M196" s="12">
        <v>0</v>
      </c>
      <c r="N196" s="12"/>
      <c r="O196" s="12">
        <v>0</v>
      </c>
      <c r="P196" s="12">
        <v>0</v>
      </c>
      <c r="Q196" s="12">
        <v>0</v>
      </c>
      <c r="R196" s="12">
        <v>0</v>
      </c>
      <c r="S196" s="75">
        <f>SUM(F196:R196)</f>
        <v>0</v>
      </c>
      <c r="T196" s="7">
        <v>193</v>
      </c>
    </row>
    <row r="197" spans="3:20" x14ac:dyDescent="0.25">
      <c r="F197" s="12"/>
      <c r="G197" s="12"/>
      <c r="H197" s="12"/>
      <c r="I197" s="12"/>
      <c r="J197" s="12"/>
      <c r="K197" s="12"/>
      <c r="L197" s="12"/>
      <c r="M197" s="12"/>
      <c r="N197" s="12"/>
      <c r="O197" s="12"/>
      <c r="P197" s="12"/>
      <c r="Q197" s="12"/>
      <c r="R197" s="12"/>
      <c r="S197" s="75"/>
      <c r="T197" s="7">
        <v>194</v>
      </c>
    </row>
    <row r="198" spans="3:20" x14ac:dyDescent="0.25">
      <c r="C198" s="111">
        <v>292</v>
      </c>
      <c r="D198" s="111"/>
      <c r="E198" s="111" t="s">
        <v>262</v>
      </c>
      <c r="F198" s="112">
        <f>F199</f>
        <v>0</v>
      </c>
      <c r="G198" s="112">
        <f t="shared" ref="G198:R198" si="47">G199</f>
        <v>0</v>
      </c>
      <c r="H198" s="112">
        <f t="shared" si="47"/>
        <v>0</v>
      </c>
      <c r="I198" s="112">
        <f t="shared" si="47"/>
        <v>0</v>
      </c>
      <c r="J198" s="112">
        <f t="shared" si="47"/>
        <v>0</v>
      </c>
      <c r="K198" s="112">
        <f t="shared" si="47"/>
        <v>0</v>
      </c>
      <c r="L198" s="112">
        <f t="shared" si="47"/>
        <v>0</v>
      </c>
      <c r="M198" s="112">
        <f t="shared" si="47"/>
        <v>0</v>
      </c>
      <c r="N198" s="112">
        <f t="shared" si="47"/>
        <v>0</v>
      </c>
      <c r="O198" s="112">
        <f t="shared" si="47"/>
        <v>0</v>
      </c>
      <c r="P198" s="112">
        <f t="shared" si="47"/>
        <v>0</v>
      </c>
      <c r="Q198" s="112">
        <f t="shared" si="47"/>
        <v>0</v>
      </c>
      <c r="R198" s="112">
        <f t="shared" si="47"/>
        <v>3500</v>
      </c>
      <c r="S198" s="112">
        <f>SUM(F198:R198)</f>
        <v>3500</v>
      </c>
      <c r="T198" s="7">
        <v>195</v>
      </c>
    </row>
    <row r="199" spans="3:20" x14ac:dyDescent="0.25">
      <c r="D199" s="7">
        <v>2920</v>
      </c>
      <c r="E199" s="7" t="s">
        <v>262</v>
      </c>
      <c r="F199" s="12">
        <v>0</v>
      </c>
      <c r="G199" s="12">
        <v>0</v>
      </c>
      <c r="H199" s="12">
        <v>0</v>
      </c>
      <c r="I199" s="12">
        <v>0</v>
      </c>
      <c r="J199" s="12">
        <v>0</v>
      </c>
      <c r="K199" s="12"/>
      <c r="L199" s="12">
        <v>0</v>
      </c>
      <c r="M199" s="12">
        <v>0</v>
      </c>
      <c r="N199" s="12"/>
      <c r="O199" s="12">
        <v>0</v>
      </c>
      <c r="P199" s="12">
        <v>0</v>
      </c>
      <c r="Q199" s="12">
        <v>0</v>
      </c>
      <c r="R199" s="12">
        <v>3500</v>
      </c>
      <c r="S199" s="75">
        <f>SUM(F199:R199)</f>
        <v>3500</v>
      </c>
      <c r="T199" s="7">
        <v>196</v>
      </c>
    </row>
    <row r="200" spans="3:20" x14ac:dyDescent="0.25">
      <c r="F200" s="12"/>
      <c r="G200" s="12"/>
      <c r="H200" s="12"/>
      <c r="I200" s="12"/>
      <c r="J200" s="12"/>
      <c r="K200" s="12"/>
      <c r="L200" s="12"/>
      <c r="M200" s="12"/>
      <c r="N200" s="12"/>
      <c r="O200" s="12"/>
      <c r="P200" s="12"/>
      <c r="Q200" s="12"/>
      <c r="R200" s="12"/>
      <c r="S200" s="75"/>
      <c r="T200" s="7">
        <v>197</v>
      </c>
    </row>
    <row r="201" spans="3:20" x14ac:dyDescent="0.25">
      <c r="C201" s="111">
        <v>293</v>
      </c>
      <c r="D201" s="111"/>
      <c r="E201" s="111" t="s">
        <v>263</v>
      </c>
      <c r="F201" s="112">
        <f>F202</f>
        <v>0</v>
      </c>
      <c r="G201" s="112">
        <f t="shared" ref="G201:R201" si="48">G202</f>
        <v>0</v>
      </c>
      <c r="H201" s="112">
        <f t="shared" si="48"/>
        <v>0</v>
      </c>
      <c r="I201" s="112">
        <f t="shared" si="48"/>
        <v>0</v>
      </c>
      <c r="J201" s="112">
        <f t="shared" si="48"/>
        <v>0</v>
      </c>
      <c r="K201" s="112">
        <f t="shared" si="48"/>
        <v>0</v>
      </c>
      <c r="L201" s="112">
        <f t="shared" si="48"/>
        <v>0</v>
      </c>
      <c r="M201" s="112">
        <f t="shared" si="48"/>
        <v>0</v>
      </c>
      <c r="N201" s="112">
        <f t="shared" si="48"/>
        <v>0</v>
      </c>
      <c r="O201" s="112">
        <f t="shared" si="48"/>
        <v>0</v>
      </c>
      <c r="P201" s="112">
        <f t="shared" si="48"/>
        <v>0</v>
      </c>
      <c r="Q201" s="112">
        <f t="shared" si="48"/>
        <v>0</v>
      </c>
      <c r="R201" s="112">
        <f t="shared" si="48"/>
        <v>0</v>
      </c>
      <c r="S201" s="112">
        <f>SUM(F201:R201)</f>
        <v>0</v>
      </c>
      <c r="T201" s="7">
        <v>198</v>
      </c>
    </row>
    <row r="202" spans="3:20" x14ac:dyDescent="0.25">
      <c r="D202" s="7">
        <v>2930</v>
      </c>
      <c r="E202" s="7" t="s">
        <v>263</v>
      </c>
      <c r="F202" s="12">
        <v>0</v>
      </c>
      <c r="G202" s="12">
        <v>0</v>
      </c>
      <c r="H202" s="12">
        <v>0</v>
      </c>
      <c r="I202" s="12">
        <v>0</v>
      </c>
      <c r="J202" s="12">
        <v>0</v>
      </c>
      <c r="K202" s="12"/>
      <c r="L202" s="12">
        <v>0</v>
      </c>
      <c r="M202" s="12">
        <v>0</v>
      </c>
      <c r="N202" s="12"/>
      <c r="O202" s="12">
        <v>0</v>
      </c>
      <c r="P202" s="12">
        <v>0</v>
      </c>
      <c r="Q202" s="12">
        <v>0</v>
      </c>
      <c r="R202" s="12">
        <v>0</v>
      </c>
      <c r="S202" s="75">
        <f>SUM(F202:R202)</f>
        <v>0</v>
      </c>
      <c r="T202" s="7">
        <v>199</v>
      </c>
    </row>
    <row r="203" spans="3:20" x14ac:dyDescent="0.25">
      <c r="F203" s="12"/>
      <c r="G203" s="12"/>
      <c r="H203" s="12"/>
      <c r="I203" s="12"/>
      <c r="J203" s="12"/>
      <c r="K203" s="12"/>
      <c r="L203" s="12"/>
      <c r="M203" s="12"/>
      <c r="N203" s="12"/>
      <c r="O203" s="12"/>
      <c r="P203" s="12"/>
      <c r="Q203" s="12"/>
      <c r="R203" s="12"/>
      <c r="S203" s="75"/>
      <c r="T203" s="7">
        <v>200</v>
      </c>
    </row>
    <row r="204" spans="3:20" x14ac:dyDescent="0.25">
      <c r="C204" s="111">
        <v>294</v>
      </c>
      <c r="D204" s="111"/>
      <c r="E204" s="111" t="s">
        <v>264</v>
      </c>
      <c r="F204" s="112">
        <f>F205</f>
        <v>0</v>
      </c>
      <c r="G204" s="112">
        <f t="shared" ref="G204:R204" si="49">G205</f>
        <v>0</v>
      </c>
      <c r="H204" s="112">
        <f t="shared" si="49"/>
        <v>0</v>
      </c>
      <c r="I204" s="112">
        <f t="shared" si="49"/>
        <v>0</v>
      </c>
      <c r="J204" s="112">
        <f t="shared" si="49"/>
        <v>0</v>
      </c>
      <c r="K204" s="112">
        <f t="shared" si="49"/>
        <v>0</v>
      </c>
      <c r="L204" s="112">
        <f t="shared" si="49"/>
        <v>0</v>
      </c>
      <c r="M204" s="112">
        <f t="shared" si="49"/>
        <v>0</v>
      </c>
      <c r="N204" s="112">
        <f t="shared" si="49"/>
        <v>0</v>
      </c>
      <c r="O204" s="112">
        <f t="shared" si="49"/>
        <v>60181.84</v>
      </c>
      <c r="P204" s="112">
        <f t="shared" si="49"/>
        <v>104655.4</v>
      </c>
      <c r="Q204" s="112">
        <f t="shared" si="49"/>
        <v>0</v>
      </c>
      <c r="R204" s="112">
        <f t="shared" si="49"/>
        <v>0</v>
      </c>
      <c r="S204" s="112">
        <f>SUM(F204:R204)</f>
        <v>164837.24</v>
      </c>
      <c r="T204" s="7">
        <v>201</v>
      </c>
    </row>
    <row r="205" spans="3:20" x14ac:dyDescent="0.25">
      <c r="D205" s="7">
        <v>2940</v>
      </c>
      <c r="E205" s="7" t="s">
        <v>264</v>
      </c>
      <c r="F205" s="12">
        <v>0</v>
      </c>
      <c r="G205" s="12">
        <v>0</v>
      </c>
      <c r="H205" s="12">
        <v>0</v>
      </c>
      <c r="I205" s="12">
        <v>0</v>
      </c>
      <c r="J205" s="12">
        <v>0</v>
      </c>
      <c r="K205" s="12"/>
      <c r="L205" s="12">
        <v>0</v>
      </c>
      <c r="M205" s="12">
        <v>0</v>
      </c>
      <c r="N205" s="12"/>
      <c r="O205" s="12">
        <v>60181.84</v>
      </c>
      <c r="P205" s="12">
        <v>104655.4</v>
      </c>
      <c r="Q205" s="12">
        <v>0</v>
      </c>
      <c r="R205" s="12">
        <v>0</v>
      </c>
      <c r="S205" s="75">
        <f>SUM(F205:R205)</f>
        <v>164837.24</v>
      </c>
      <c r="T205" s="7">
        <v>202</v>
      </c>
    </row>
    <row r="206" spans="3:20" x14ac:dyDescent="0.25">
      <c r="F206" s="12"/>
      <c r="G206" s="12"/>
      <c r="H206" s="12"/>
      <c r="I206" s="12"/>
      <c r="J206" s="12"/>
      <c r="K206" s="12"/>
      <c r="L206" s="12"/>
      <c r="M206" s="12"/>
      <c r="N206" s="12"/>
      <c r="O206" s="12"/>
      <c r="P206" s="12"/>
      <c r="Q206" s="12"/>
      <c r="R206" s="12"/>
      <c r="S206" s="75"/>
      <c r="T206" s="7">
        <v>203</v>
      </c>
    </row>
    <row r="207" spans="3:20" x14ac:dyDescent="0.25">
      <c r="C207" s="111">
        <v>295</v>
      </c>
      <c r="D207" s="111"/>
      <c r="E207" s="111" t="s">
        <v>265</v>
      </c>
      <c r="F207" s="112">
        <f>F208</f>
        <v>0</v>
      </c>
      <c r="G207" s="112">
        <f t="shared" ref="G207:R207" si="50">G208</f>
        <v>0</v>
      </c>
      <c r="H207" s="112">
        <f>H208</f>
        <v>0</v>
      </c>
      <c r="I207" s="112">
        <f t="shared" si="50"/>
        <v>0</v>
      </c>
      <c r="J207" s="112">
        <f t="shared" si="50"/>
        <v>0</v>
      </c>
      <c r="K207" s="112">
        <f t="shared" si="50"/>
        <v>0</v>
      </c>
      <c r="L207" s="112">
        <f t="shared" si="50"/>
        <v>0</v>
      </c>
      <c r="M207" s="112">
        <f t="shared" si="50"/>
        <v>0</v>
      </c>
      <c r="N207" s="112">
        <f t="shared" si="50"/>
        <v>0</v>
      </c>
      <c r="O207" s="112">
        <f t="shared" si="50"/>
        <v>0</v>
      </c>
      <c r="P207" s="112">
        <f t="shared" si="50"/>
        <v>9000</v>
      </c>
      <c r="Q207" s="112">
        <f t="shared" si="50"/>
        <v>0</v>
      </c>
      <c r="R207" s="112">
        <f t="shared" si="50"/>
        <v>0</v>
      </c>
      <c r="S207" s="112">
        <f>SUM(F207:R207)</f>
        <v>9000</v>
      </c>
      <c r="T207" s="7">
        <v>204</v>
      </c>
    </row>
    <row r="208" spans="3:20" x14ac:dyDescent="0.25">
      <c r="D208" s="7">
        <v>2950</v>
      </c>
      <c r="E208" s="7" t="s">
        <v>265</v>
      </c>
      <c r="F208" s="12">
        <v>0</v>
      </c>
      <c r="G208" s="12">
        <v>0</v>
      </c>
      <c r="H208" s="12">
        <v>0</v>
      </c>
      <c r="I208" s="12">
        <v>0</v>
      </c>
      <c r="J208" s="12">
        <v>0</v>
      </c>
      <c r="K208" s="12"/>
      <c r="L208" s="12">
        <v>0</v>
      </c>
      <c r="M208" s="12">
        <v>0</v>
      </c>
      <c r="N208" s="12"/>
      <c r="O208" s="12">
        <v>0</v>
      </c>
      <c r="P208" s="12">
        <v>9000</v>
      </c>
      <c r="Q208" s="12">
        <v>0</v>
      </c>
      <c r="R208" s="12">
        <v>0</v>
      </c>
      <c r="S208" s="75">
        <f>SUM(F208:R208)</f>
        <v>9000</v>
      </c>
      <c r="T208" s="7">
        <v>205</v>
      </c>
    </row>
    <row r="209" spans="3:20" x14ac:dyDescent="0.25">
      <c r="F209" s="12"/>
      <c r="G209" s="12"/>
      <c r="H209" s="12"/>
      <c r="I209" s="12"/>
      <c r="J209" s="12"/>
      <c r="K209" s="12"/>
      <c r="L209" s="12"/>
      <c r="M209" s="12"/>
      <c r="N209" s="12"/>
      <c r="O209" s="12"/>
      <c r="P209" s="12"/>
      <c r="Q209" s="12"/>
      <c r="R209" s="12"/>
      <c r="S209" s="75"/>
      <c r="T209" s="7">
        <v>206</v>
      </c>
    </row>
    <row r="210" spans="3:20" x14ac:dyDescent="0.25">
      <c r="C210" s="111">
        <v>296</v>
      </c>
      <c r="D210" s="111"/>
      <c r="E210" s="111" t="s">
        <v>266</v>
      </c>
      <c r="F210" s="112">
        <f>F211</f>
        <v>0</v>
      </c>
      <c r="G210" s="112">
        <f t="shared" ref="G210:R210" si="51">G211</f>
        <v>0</v>
      </c>
      <c r="H210" s="112">
        <f t="shared" si="51"/>
        <v>0</v>
      </c>
      <c r="I210" s="112">
        <f t="shared" si="51"/>
        <v>0</v>
      </c>
      <c r="J210" s="112">
        <f t="shared" si="51"/>
        <v>0</v>
      </c>
      <c r="K210" s="112">
        <f t="shared" si="51"/>
        <v>0</v>
      </c>
      <c r="L210" s="112">
        <f t="shared" si="51"/>
        <v>0</v>
      </c>
      <c r="M210" s="112">
        <f t="shared" si="51"/>
        <v>0</v>
      </c>
      <c r="N210" s="112">
        <f t="shared" si="51"/>
        <v>0</v>
      </c>
      <c r="O210" s="112">
        <f t="shared" si="51"/>
        <v>0</v>
      </c>
      <c r="P210" s="112">
        <f t="shared" si="51"/>
        <v>0</v>
      </c>
      <c r="Q210" s="112">
        <f t="shared" si="51"/>
        <v>0</v>
      </c>
      <c r="R210" s="112">
        <f t="shared" si="51"/>
        <v>0</v>
      </c>
      <c r="S210" s="112">
        <f>SUM(F210:R210)</f>
        <v>0</v>
      </c>
      <c r="T210" s="7">
        <v>207</v>
      </c>
    </row>
    <row r="211" spans="3:20" x14ac:dyDescent="0.25">
      <c r="D211" s="7">
        <v>2960</v>
      </c>
      <c r="E211" s="7" t="s">
        <v>266</v>
      </c>
      <c r="F211" s="12">
        <v>0</v>
      </c>
      <c r="G211" s="12">
        <v>0</v>
      </c>
      <c r="H211" s="12">
        <v>0</v>
      </c>
      <c r="I211" s="12">
        <v>0</v>
      </c>
      <c r="J211" s="12">
        <v>0</v>
      </c>
      <c r="K211" s="12"/>
      <c r="L211" s="12">
        <v>0</v>
      </c>
      <c r="M211" s="12">
        <v>0</v>
      </c>
      <c r="N211" s="12"/>
      <c r="O211" s="12">
        <v>0</v>
      </c>
      <c r="P211" s="12">
        <v>0</v>
      </c>
      <c r="Q211" s="12">
        <v>0</v>
      </c>
      <c r="R211" s="12">
        <v>0</v>
      </c>
      <c r="S211" s="75">
        <f>SUM(F211:R211)</f>
        <v>0</v>
      </c>
      <c r="T211" s="7">
        <v>208</v>
      </c>
    </row>
    <row r="212" spans="3:20" x14ac:dyDescent="0.25">
      <c r="F212" s="12"/>
      <c r="G212" s="12"/>
      <c r="H212" s="12"/>
      <c r="I212" s="12"/>
      <c r="J212" s="12"/>
      <c r="K212" s="12"/>
      <c r="L212" s="12"/>
      <c r="M212" s="12"/>
      <c r="N212" s="12"/>
      <c r="O212" s="12"/>
      <c r="P212" s="12"/>
      <c r="Q212" s="12"/>
      <c r="R212" s="12"/>
      <c r="S212" s="75"/>
      <c r="T212" s="7">
        <v>209</v>
      </c>
    </row>
    <row r="213" spans="3:20" x14ac:dyDescent="0.25">
      <c r="C213" s="111">
        <v>298</v>
      </c>
      <c r="D213" s="111"/>
      <c r="E213" s="111" t="s">
        <v>267</v>
      </c>
      <c r="F213" s="112">
        <f>F214</f>
        <v>0</v>
      </c>
      <c r="G213" s="112">
        <f t="shared" ref="G213:R213" si="52">G214</f>
        <v>0</v>
      </c>
      <c r="H213" s="112">
        <f t="shared" si="52"/>
        <v>0</v>
      </c>
      <c r="I213" s="112">
        <f t="shared" si="52"/>
        <v>0</v>
      </c>
      <c r="J213" s="112">
        <f t="shared" si="52"/>
        <v>0</v>
      </c>
      <c r="K213" s="112">
        <f t="shared" si="52"/>
        <v>0</v>
      </c>
      <c r="L213" s="112">
        <f t="shared" si="52"/>
        <v>0</v>
      </c>
      <c r="M213" s="112">
        <f t="shared" si="52"/>
        <v>0</v>
      </c>
      <c r="N213" s="112">
        <f t="shared" si="52"/>
        <v>0</v>
      </c>
      <c r="O213" s="112">
        <f t="shared" si="52"/>
        <v>0</v>
      </c>
      <c r="P213" s="112">
        <f t="shared" si="52"/>
        <v>0</v>
      </c>
      <c r="Q213" s="112">
        <f t="shared" si="52"/>
        <v>0</v>
      </c>
      <c r="R213" s="112">
        <f t="shared" si="52"/>
        <v>0</v>
      </c>
      <c r="S213" s="112">
        <f>SUM(F213:R213)</f>
        <v>0</v>
      </c>
      <c r="T213" s="7">
        <v>210</v>
      </c>
    </row>
    <row r="214" spans="3:20" x14ac:dyDescent="0.25">
      <c r="D214" s="7">
        <v>2980</v>
      </c>
      <c r="E214" s="7" t="s">
        <v>267</v>
      </c>
      <c r="F214" s="12">
        <v>0</v>
      </c>
      <c r="G214" s="12">
        <v>0</v>
      </c>
      <c r="H214" s="12">
        <v>0</v>
      </c>
      <c r="I214" s="12">
        <v>0</v>
      </c>
      <c r="J214" s="12">
        <v>0</v>
      </c>
      <c r="K214" s="12"/>
      <c r="L214" s="12">
        <v>0</v>
      </c>
      <c r="M214" s="12">
        <v>0</v>
      </c>
      <c r="N214" s="12"/>
      <c r="O214" s="12">
        <v>0</v>
      </c>
      <c r="P214" s="12">
        <v>0</v>
      </c>
      <c r="Q214" s="12">
        <v>0</v>
      </c>
      <c r="R214" s="12">
        <v>0</v>
      </c>
      <c r="S214" s="75">
        <f>SUM(F214:R214)</f>
        <v>0</v>
      </c>
      <c r="T214" s="7">
        <v>211</v>
      </c>
    </row>
    <row r="215" spans="3:20" x14ac:dyDescent="0.25">
      <c r="F215" s="12"/>
      <c r="G215" s="12"/>
      <c r="H215" s="12"/>
      <c r="I215" s="12"/>
      <c r="J215" s="12"/>
      <c r="K215" s="12"/>
      <c r="L215" s="12"/>
      <c r="M215" s="12"/>
      <c r="N215" s="12"/>
      <c r="O215" s="12"/>
      <c r="P215" s="12"/>
      <c r="Q215" s="12"/>
      <c r="R215" s="12"/>
      <c r="S215" s="75"/>
      <c r="T215" s="7">
        <v>212</v>
      </c>
    </row>
    <row r="216" spans="3:20" x14ac:dyDescent="0.25">
      <c r="C216" s="111">
        <v>299</v>
      </c>
      <c r="D216" s="111"/>
      <c r="E216" s="111" t="s">
        <v>441</v>
      </c>
      <c r="F216" s="112">
        <f>F217+F218</f>
        <v>7272601.1100000003</v>
      </c>
      <c r="G216" s="112">
        <f t="shared" ref="G216:R216" si="53">G217+G218</f>
        <v>644721.59</v>
      </c>
      <c r="H216" s="112">
        <f t="shared" si="53"/>
        <v>737860.28</v>
      </c>
      <c r="I216" s="112">
        <f t="shared" si="53"/>
        <v>861425.94</v>
      </c>
      <c r="J216" s="112">
        <f t="shared" si="53"/>
        <v>1802173</v>
      </c>
      <c r="K216" s="112">
        <f t="shared" si="53"/>
        <v>0</v>
      </c>
      <c r="L216" s="112">
        <f t="shared" si="53"/>
        <v>923973.37</v>
      </c>
      <c r="M216" s="112">
        <f t="shared" si="53"/>
        <v>1348451.24</v>
      </c>
      <c r="N216" s="112">
        <f t="shared" si="53"/>
        <v>0</v>
      </c>
      <c r="O216" s="112">
        <f t="shared" si="53"/>
        <v>407631.66</v>
      </c>
      <c r="P216" s="112">
        <f t="shared" si="53"/>
        <v>2427689.06</v>
      </c>
      <c r="Q216" s="112">
        <f t="shared" si="53"/>
        <v>1292222.6100000001</v>
      </c>
      <c r="R216" s="112">
        <f t="shared" si="53"/>
        <v>2113748.54</v>
      </c>
      <c r="S216" s="112">
        <f>SUM(F216:R216)</f>
        <v>19832498.399999999</v>
      </c>
      <c r="T216" s="7">
        <v>213</v>
      </c>
    </row>
    <row r="217" spans="3:20" x14ac:dyDescent="0.25">
      <c r="D217" s="7">
        <v>2990</v>
      </c>
      <c r="E217" s="7" t="s">
        <v>441</v>
      </c>
      <c r="F217" s="12">
        <v>89792</v>
      </c>
      <c r="G217" s="12">
        <v>-15370.52</v>
      </c>
      <c r="H217" s="12">
        <v>18763.12</v>
      </c>
      <c r="I217" s="12">
        <v>13233</v>
      </c>
      <c r="J217" s="12">
        <v>13585.31</v>
      </c>
      <c r="K217" s="12"/>
      <c r="L217" s="12">
        <v>18069.509999999998</v>
      </c>
      <c r="M217" s="12">
        <v>5815.81</v>
      </c>
      <c r="N217" s="12"/>
      <c r="O217" s="12">
        <v>-7888.14</v>
      </c>
      <c r="P217" s="12">
        <v>343.19</v>
      </c>
      <c r="Q217" s="12">
        <v>-1406.69</v>
      </c>
      <c r="R217" s="12">
        <v>59355.03</v>
      </c>
      <c r="S217" s="75">
        <f>SUM(F217:R217)</f>
        <v>194291.61999999997</v>
      </c>
      <c r="T217" s="7">
        <v>214</v>
      </c>
    </row>
    <row r="218" spans="3:20" x14ac:dyDescent="0.25">
      <c r="D218" s="7">
        <v>2999</v>
      </c>
      <c r="E218" s="7" t="s">
        <v>842</v>
      </c>
      <c r="F218" s="12">
        <v>7182809.1100000003</v>
      </c>
      <c r="G218" s="12">
        <v>660092.11</v>
      </c>
      <c r="H218" s="12">
        <v>719097.16</v>
      </c>
      <c r="I218" s="12">
        <v>848192.94</v>
      </c>
      <c r="J218" s="12">
        <v>1788587.69</v>
      </c>
      <c r="K218" s="12"/>
      <c r="L218" s="12">
        <v>905903.86</v>
      </c>
      <c r="M218" s="12">
        <v>1342635.43</v>
      </c>
      <c r="N218" s="12"/>
      <c r="O218" s="12">
        <v>415519.8</v>
      </c>
      <c r="P218" s="12">
        <v>2427345.87</v>
      </c>
      <c r="Q218" s="12">
        <v>1293629.3</v>
      </c>
      <c r="R218" s="12">
        <v>2054393.51</v>
      </c>
      <c r="S218" s="75">
        <f>SUM(F218:R218)</f>
        <v>19638206.780000001</v>
      </c>
      <c r="T218" s="7">
        <v>215</v>
      </c>
    </row>
    <row r="219" spans="3:20" x14ac:dyDescent="0.25">
      <c r="F219" s="12"/>
      <c r="G219" s="12"/>
      <c r="H219" s="12"/>
      <c r="I219" s="113"/>
      <c r="J219" s="12"/>
      <c r="K219" s="12"/>
      <c r="L219" s="12"/>
      <c r="M219" s="12"/>
      <c r="N219" s="12"/>
      <c r="O219" s="12"/>
      <c r="P219" s="21"/>
      <c r="Q219" s="12"/>
      <c r="R219" s="12"/>
      <c r="S219" s="75"/>
      <c r="T219" s="7">
        <v>216</v>
      </c>
    </row>
    <row r="220" spans="3:20" x14ac:dyDescent="0.25">
      <c r="C220" s="114"/>
      <c r="D220" s="114"/>
      <c r="E220" s="114" t="s">
        <v>580</v>
      </c>
      <c r="T220" s="7">
        <v>217</v>
      </c>
    </row>
    <row r="221" spans="3:20" x14ac:dyDescent="0.25">
      <c r="D221" s="7">
        <v>290</v>
      </c>
      <c r="E221" s="7" t="s">
        <v>579</v>
      </c>
      <c r="F221" s="12">
        <f>'Bourgeoisies Comptes 2022'!E156</f>
        <v>0</v>
      </c>
      <c r="G221" s="12">
        <f>'Bourgeoisies Comptes 2022'!F156</f>
        <v>0</v>
      </c>
      <c r="H221" s="12">
        <f>'Bourgeoisies Comptes 2022'!G156</f>
        <v>0</v>
      </c>
      <c r="I221" s="12">
        <f>'Bourgeoisies Comptes 2022'!H156</f>
        <v>0</v>
      </c>
      <c r="J221" s="12">
        <f>'Bourgeoisies Comptes 2022'!I156</f>
        <v>0</v>
      </c>
      <c r="K221" s="12">
        <f>'Bourgeoisies Comptes 2022'!J156</f>
        <v>0</v>
      </c>
      <c r="L221" s="12">
        <f>'Bourgeoisies Comptes 2022'!K156</f>
        <v>0</v>
      </c>
      <c r="M221" s="12">
        <f>'Bourgeoisies Comptes 2022'!L156</f>
        <v>0</v>
      </c>
      <c r="N221" s="12">
        <f>'Bourgeoisies Comptes 2022'!M156</f>
        <v>0</v>
      </c>
      <c r="O221" s="12">
        <f>'Bourgeoisies Comptes 2022'!N156</f>
        <v>0</v>
      </c>
      <c r="P221" s="12">
        <f>'Bourgeoisies Comptes 2022'!O156</f>
        <v>0</v>
      </c>
      <c r="Q221" s="12">
        <f>'Bourgeoisies Comptes 2022'!P156</f>
        <v>0</v>
      </c>
      <c r="R221" s="12">
        <f>'Bourgeoisies Comptes 2022'!Q156</f>
        <v>0</v>
      </c>
      <c r="S221" s="12">
        <f>'Bourgeoisies Comptes 2022'!R156</f>
        <v>0</v>
      </c>
      <c r="T221" s="7">
        <v>218</v>
      </c>
    </row>
    <row r="222" spans="3:20" x14ac:dyDescent="0.25">
      <c r="D222" s="7">
        <v>2990</v>
      </c>
      <c r="E222" s="7" t="s">
        <v>583</v>
      </c>
      <c r="F222" s="12">
        <f>F217</f>
        <v>89792</v>
      </c>
      <c r="G222" s="12">
        <f t="shared" ref="G222:S222" si="54">G217</f>
        <v>-15370.52</v>
      </c>
      <c r="H222" s="12">
        <f t="shared" si="54"/>
        <v>18763.12</v>
      </c>
      <c r="I222" s="12">
        <f t="shared" si="54"/>
        <v>13233</v>
      </c>
      <c r="J222" s="12">
        <f t="shared" si="54"/>
        <v>13585.31</v>
      </c>
      <c r="K222" s="12">
        <f t="shared" si="54"/>
        <v>0</v>
      </c>
      <c r="L222" s="12">
        <f t="shared" si="54"/>
        <v>18069.509999999998</v>
      </c>
      <c r="M222" s="12">
        <f t="shared" si="54"/>
        <v>5815.81</v>
      </c>
      <c r="N222" s="12">
        <f t="shared" si="54"/>
        <v>0</v>
      </c>
      <c r="O222" s="12">
        <f t="shared" si="54"/>
        <v>-7888.14</v>
      </c>
      <c r="P222" s="12">
        <f t="shared" si="54"/>
        <v>343.19</v>
      </c>
      <c r="Q222" s="12">
        <f t="shared" si="54"/>
        <v>-1406.69</v>
      </c>
      <c r="R222" s="12">
        <f t="shared" si="54"/>
        <v>59355.03</v>
      </c>
      <c r="S222" s="12">
        <f t="shared" si="54"/>
        <v>194291.61999999997</v>
      </c>
      <c r="T222" s="7">
        <v>219</v>
      </c>
    </row>
    <row r="223" spans="3:20" x14ac:dyDescent="0.25">
      <c r="T223" s="7">
        <v>220</v>
      </c>
    </row>
    <row r="224" spans="3:20" x14ac:dyDescent="0.25">
      <c r="E224" s="6" t="s">
        <v>582</v>
      </c>
      <c r="F224" s="75">
        <f>F221+F222</f>
        <v>89792</v>
      </c>
      <c r="G224" s="75">
        <f t="shared" ref="G224:S224" si="55">G221+G222</f>
        <v>-15370.52</v>
      </c>
      <c r="H224" s="75">
        <f t="shared" si="55"/>
        <v>18763.12</v>
      </c>
      <c r="I224" s="75">
        <f t="shared" si="55"/>
        <v>13233</v>
      </c>
      <c r="J224" s="75">
        <f t="shared" si="55"/>
        <v>13585.31</v>
      </c>
      <c r="K224" s="75">
        <f t="shared" si="55"/>
        <v>0</v>
      </c>
      <c r="L224" s="75">
        <f t="shared" si="55"/>
        <v>18069.509999999998</v>
      </c>
      <c r="M224" s="75">
        <f t="shared" si="55"/>
        <v>5815.81</v>
      </c>
      <c r="N224" s="75">
        <f t="shared" si="55"/>
        <v>0</v>
      </c>
      <c r="O224" s="75">
        <f t="shared" si="55"/>
        <v>-7888.14</v>
      </c>
      <c r="P224" s="75">
        <f t="shared" si="55"/>
        <v>343.19</v>
      </c>
      <c r="Q224" s="75">
        <f t="shared" si="55"/>
        <v>-1406.69</v>
      </c>
      <c r="R224" s="75">
        <f t="shared" si="55"/>
        <v>59355.03</v>
      </c>
      <c r="S224" s="75">
        <f t="shared" si="55"/>
        <v>194291.61999999997</v>
      </c>
      <c r="T224" s="7">
        <v>221</v>
      </c>
    </row>
    <row r="225" spans="5:20" x14ac:dyDescent="0.25">
      <c r="N225" s="12"/>
      <c r="S225" s="12"/>
      <c r="T225" s="7">
        <v>222</v>
      </c>
    </row>
    <row r="226" spans="5:20" x14ac:dyDescent="0.25">
      <c r="E226" s="77" t="s">
        <v>581</v>
      </c>
      <c r="F226" s="21">
        <f>F5-F121</f>
        <v>0</v>
      </c>
      <c r="G226" s="21">
        <f t="shared" ref="G226:S226" si="56">G5-G121</f>
        <v>0</v>
      </c>
      <c r="H226" s="21">
        <f t="shared" si="56"/>
        <v>0</v>
      </c>
      <c r="I226" s="21">
        <f t="shared" si="56"/>
        <v>0</v>
      </c>
      <c r="J226" s="21">
        <f t="shared" si="56"/>
        <v>0</v>
      </c>
      <c r="K226" s="21">
        <f t="shared" si="56"/>
        <v>0</v>
      </c>
      <c r="L226" s="21">
        <f t="shared" si="56"/>
        <v>0</v>
      </c>
      <c r="M226" s="21">
        <f t="shared" si="56"/>
        <v>0</v>
      </c>
      <c r="N226" s="21">
        <f t="shared" si="56"/>
        <v>0</v>
      </c>
      <c r="O226" s="21">
        <f t="shared" si="56"/>
        <v>0</v>
      </c>
      <c r="P226" s="21">
        <f t="shared" si="56"/>
        <v>0</v>
      </c>
      <c r="Q226" s="21">
        <f t="shared" si="56"/>
        <v>0</v>
      </c>
      <c r="R226" s="21">
        <f t="shared" si="56"/>
        <v>0</v>
      </c>
      <c r="S226" s="21">
        <f t="shared" si="56"/>
        <v>0</v>
      </c>
      <c r="T226" s="7">
        <v>223</v>
      </c>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00B0F0"/>
  </sheetPr>
  <dimension ref="A2:F229"/>
  <sheetViews>
    <sheetView workbookViewId="0">
      <selection activeCell="E5" sqref="E5"/>
    </sheetView>
  </sheetViews>
  <sheetFormatPr baseColWidth="10" defaultColWidth="11.44140625" defaultRowHeight="13.8" x14ac:dyDescent="0.25"/>
  <cols>
    <col min="1" max="3" width="4.6640625" style="7" customWidth="1"/>
    <col min="4" max="4" width="9" style="7" customWidth="1"/>
    <col min="5" max="5" width="63.5546875" style="7" customWidth="1"/>
    <col min="6" max="6" width="22.6640625" style="7" customWidth="1"/>
    <col min="7" max="16384" width="11.44140625" style="7"/>
  </cols>
  <sheetData>
    <row r="2" spans="1:6" ht="21" x14ac:dyDescent="0.4">
      <c r="A2" s="79" t="s">
        <v>859</v>
      </c>
      <c r="B2" s="6"/>
      <c r="C2" s="6"/>
      <c r="D2" s="6"/>
      <c r="E2" s="6"/>
    </row>
    <row r="4" spans="1:6" ht="14.4" thickBot="1" x14ac:dyDescent="0.3"/>
    <row r="5" spans="1:6" ht="14.4" thickBot="1" x14ac:dyDescent="0.3">
      <c r="A5" s="7" t="s">
        <v>734</v>
      </c>
      <c r="E5" s="83" t="s">
        <v>33</v>
      </c>
    </row>
    <row r="8" spans="1:6" ht="21" x14ac:dyDescent="0.4">
      <c r="A8" s="102">
        <v>1</v>
      </c>
      <c r="B8" s="102"/>
      <c r="C8" s="102"/>
      <c r="D8" s="102"/>
      <c r="E8" s="102" t="s">
        <v>238</v>
      </c>
      <c r="F8" s="115">
        <f>HLOOKUP($E$5,'Bourgeoisie bilan'!$F$4:$S$229,2,0)</f>
        <v>2806191.33</v>
      </c>
    </row>
    <row r="9" spans="1:6" x14ac:dyDescent="0.25">
      <c r="A9" s="6"/>
      <c r="B9" s="104">
        <v>10</v>
      </c>
      <c r="C9" s="104"/>
      <c r="D9" s="104"/>
      <c r="E9" s="104" t="s">
        <v>239</v>
      </c>
      <c r="F9" s="105">
        <f>HLOOKUP($E$5,'Bourgeoisie bilan'!$F$4:$S$229,2,0)</f>
        <v>2806191.33</v>
      </c>
    </row>
    <row r="10" spans="1:6" x14ac:dyDescent="0.25">
      <c r="C10" s="76">
        <v>100</v>
      </c>
      <c r="D10" s="76"/>
      <c r="E10" s="76" t="s">
        <v>240</v>
      </c>
      <c r="F10" s="96">
        <f>HLOOKUP($E$5,'Bourgeoisie bilan'!$F$4:$S$229,2,0)</f>
        <v>2806191.33</v>
      </c>
    </row>
    <row r="11" spans="1:6" x14ac:dyDescent="0.25">
      <c r="D11" s="7">
        <v>1000</v>
      </c>
      <c r="E11" s="7" t="s">
        <v>310</v>
      </c>
      <c r="F11" s="12">
        <f>HLOOKUP($E$5,'Bourgeoisie bilan'!$F$4:$S$229,5,0)</f>
        <v>1020.2</v>
      </c>
    </row>
    <row r="12" spans="1:6" x14ac:dyDescent="0.25">
      <c r="D12" s="7">
        <v>1001</v>
      </c>
      <c r="E12" s="7" t="s">
        <v>311</v>
      </c>
      <c r="F12" s="12">
        <f>HLOOKUP($E$5,'Bourgeoisie bilan'!$F$4:$S$229,6,0)</f>
        <v>54766.61</v>
      </c>
    </row>
    <row r="13" spans="1:6" x14ac:dyDescent="0.25">
      <c r="D13" s="7">
        <v>1002</v>
      </c>
      <c r="E13" s="7" t="s">
        <v>319</v>
      </c>
      <c r="F13" s="12">
        <f>HLOOKUP($E$5,'Bourgeoisie bilan'!$F$4:$S$229,7,0)</f>
        <v>613273.47</v>
      </c>
    </row>
    <row r="14" spans="1:6" x14ac:dyDescent="0.25">
      <c r="D14" s="7">
        <v>1003</v>
      </c>
      <c r="E14" s="7" t="s">
        <v>312</v>
      </c>
      <c r="F14" s="12">
        <f>HLOOKUP($E$5,'Bourgeoisie bilan'!$F$4:$S$229,8,0)</f>
        <v>70208.800000000003</v>
      </c>
    </row>
    <row r="15" spans="1:6" x14ac:dyDescent="0.25">
      <c r="D15" s="7">
        <v>1004</v>
      </c>
      <c r="E15" s="7" t="s">
        <v>313</v>
      </c>
      <c r="F15" s="12">
        <f>HLOOKUP($E$5,'Bourgeoisie bilan'!$F$4:$S$229,9,0)</f>
        <v>0</v>
      </c>
    </row>
    <row r="16" spans="1:6" x14ac:dyDescent="0.25">
      <c r="D16" s="7">
        <v>1009</v>
      </c>
      <c r="E16" s="7" t="s">
        <v>314</v>
      </c>
      <c r="F16" s="12">
        <f>HLOOKUP($E$5,'Bourgeoisie bilan'!$F$4:$S$229,10,0)</f>
        <v>0</v>
      </c>
    </row>
    <row r="17" spans="3:6" x14ac:dyDescent="0.25">
      <c r="F17" s="12"/>
    </row>
    <row r="18" spans="3:6" x14ac:dyDescent="0.25">
      <c r="C18" s="76">
        <v>101</v>
      </c>
      <c r="D18" s="76"/>
      <c r="E18" s="76" t="s">
        <v>241</v>
      </c>
      <c r="F18" s="96">
        <f>HLOOKUP($E$5,'Bourgeoisie bilan'!$F$4:$S$229,12,0)</f>
        <v>19662.45</v>
      </c>
    </row>
    <row r="19" spans="3:6" x14ac:dyDescent="0.25">
      <c r="D19" s="7">
        <v>1010</v>
      </c>
      <c r="E19" s="7" t="s">
        <v>315</v>
      </c>
      <c r="F19" s="12">
        <f>HLOOKUP($E$5,'Bourgeoisie bilan'!$F$4:$S$229,13,0)</f>
        <v>19662.45</v>
      </c>
    </row>
    <row r="20" spans="3:6" x14ac:dyDescent="0.25">
      <c r="D20" s="7">
        <v>1011</v>
      </c>
      <c r="E20" s="7" t="s">
        <v>396</v>
      </c>
      <c r="F20" s="12">
        <f>HLOOKUP($E$5,'Bourgeoisie bilan'!$F$4:$S$229,14,0)</f>
        <v>0</v>
      </c>
    </row>
    <row r="21" spans="3:6" x14ac:dyDescent="0.25">
      <c r="D21" s="7">
        <v>1012</v>
      </c>
      <c r="E21" s="7" t="s">
        <v>316</v>
      </c>
      <c r="F21" s="12">
        <f>HLOOKUP($E$5,'Bourgeoisie bilan'!$F$4:$S$229,15,0)</f>
        <v>0</v>
      </c>
    </row>
    <row r="22" spans="3:6" x14ac:dyDescent="0.25">
      <c r="D22" s="7">
        <v>1013</v>
      </c>
      <c r="E22" s="7" t="s">
        <v>317</v>
      </c>
      <c r="F22" s="12">
        <f>HLOOKUP($E$5,'Bourgeoisie bilan'!$F$4:$S$229,16,0)</f>
        <v>0</v>
      </c>
    </row>
    <row r="23" spans="3:6" x14ac:dyDescent="0.25">
      <c r="D23" s="7">
        <v>1014</v>
      </c>
      <c r="E23" s="7" t="s">
        <v>318</v>
      </c>
      <c r="F23" s="12">
        <f>HLOOKUP($E$5,'Bourgeoisie bilan'!$F$4:$S$229,17,0)</f>
        <v>0</v>
      </c>
    </row>
    <row r="24" spans="3:6" x14ac:dyDescent="0.25">
      <c r="D24" s="7">
        <v>1015</v>
      </c>
      <c r="E24" s="7" t="s">
        <v>320</v>
      </c>
      <c r="F24" s="12">
        <f>HLOOKUP($E$5,'Bourgeoisie bilan'!$F$4:$S$229,18,0)</f>
        <v>0</v>
      </c>
    </row>
    <row r="25" spans="3:6" x14ac:dyDescent="0.25">
      <c r="D25" s="7">
        <v>1016</v>
      </c>
      <c r="E25" s="7" t="s">
        <v>321</v>
      </c>
      <c r="F25" s="12">
        <f>HLOOKUP($E$5,'Bourgeoisie bilan'!$F$4:$S$229,19,0)</f>
        <v>0</v>
      </c>
    </row>
    <row r="26" spans="3:6" x14ac:dyDescent="0.25">
      <c r="D26" s="7">
        <v>1019</v>
      </c>
      <c r="E26" s="7" t="s">
        <v>322</v>
      </c>
      <c r="F26" s="12">
        <f>HLOOKUP($E$5,'Bourgeoisie bilan'!$F$4:$S$229,20,0)</f>
        <v>0</v>
      </c>
    </row>
    <row r="27" spans="3:6" x14ac:dyDescent="0.25">
      <c r="F27" s="12"/>
    </row>
    <row r="28" spans="3:6" x14ac:dyDescent="0.25">
      <c r="C28" s="76">
        <v>102</v>
      </c>
      <c r="D28" s="76"/>
      <c r="E28" s="76" t="s">
        <v>242</v>
      </c>
      <c r="F28" s="96">
        <f>HLOOKUP($E$5,'Bourgeoisie bilan'!$F$4:$S$229,22,0)</f>
        <v>0</v>
      </c>
    </row>
    <row r="29" spans="3:6" x14ac:dyDescent="0.25">
      <c r="D29" s="7">
        <v>1020</v>
      </c>
      <c r="E29" s="7" t="s">
        <v>323</v>
      </c>
      <c r="F29" s="12">
        <f>HLOOKUP($E$5,'Bourgeoisie bilan'!$F$4:$S$229,23,0)</f>
        <v>0</v>
      </c>
    </row>
    <row r="30" spans="3:6" x14ac:dyDescent="0.25">
      <c r="D30" s="7">
        <v>1022</v>
      </c>
      <c r="E30" s="7" t="s">
        <v>324</v>
      </c>
      <c r="F30" s="12">
        <f>HLOOKUP($E$5,'Bourgeoisie bilan'!$F$4:$S$229,24,0)</f>
        <v>0</v>
      </c>
    </row>
    <row r="31" spans="3:6" x14ac:dyDescent="0.25">
      <c r="D31" s="7">
        <v>1023</v>
      </c>
      <c r="E31" s="7" t="s">
        <v>325</v>
      </c>
      <c r="F31" s="12">
        <f>HLOOKUP($E$5,'Bourgeoisie bilan'!$F$4:$S$229,25,0)</f>
        <v>0</v>
      </c>
    </row>
    <row r="32" spans="3:6" x14ac:dyDescent="0.25">
      <c r="D32" s="7">
        <v>1029</v>
      </c>
      <c r="E32" s="7" t="s">
        <v>326</v>
      </c>
      <c r="F32" s="12">
        <f>HLOOKUP($E$5,'Bourgeoisie bilan'!$F$4:$S$229,26,0)</f>
        <v>0</v>
      </c>
    </row>
    <row r="33" spans="3:6" x14ac:dyDescent="0.25">
      <c r="F33" s="12"/>
    </row>
    <row r="34" spans="3:6" x14ac:dyDescent="0.25">
      <c r="C34" s="76">
        <v>104</v>
      </c>
      <c r="D34" s="76"/>
      <c r="E34" s="76" t="s">
        <v>243</v>
      </c>
      <c r="F34" s="96">
        <f>HLOOKUP($E$5,'Bourgeoisie bilan'!$F$4:$S$229,28,0)</f>
        <v>0</v>
      </c>
    </row>
    <row r="35" spans="3:6" x14ac:dyDescent="0.25">
      <c r="D35" s="7">
        <v>1040</v>
      </c>
      <c r="E35" s="7" t="s">
        <v>61</v>
      </c>
      <c r="F35" s="12">
        <f>HLOOKUP($E$5,'Bourgeoisie bilan'!$F$4:$S$229,29,0)</f>
        <v>0</v>
      </c>
    </row>
    <row r="36" spans="3:6" x14ac:dyDescent="0.25">
      <c r="D36" s="7">
        <v>1041</v>
      </c>
      <c r="E36" s="7" t="s">
        <v>327</v>
      </c>
      <c r="F36" s="12">
        <f>HLOOKUP($E$5,'Bourgeoisie bilan'!$F$4:$S$229,30,0)</f>
        <v>0</v>
      </c>
    </row>
    <row r="37" spans="3:6" x14ac:dyDescent="0.25">
      <c r="D37" s="7">
        <v>1042</v>
      </c>
      <c r="E37" s="7" t="s">
        <v>328</v>
      </c>
      <c r="F37" s="12">
        <f>HLOOKUP($E$5,'Bourgeoisie bilan'!$F$4:$S$229,31,0)</f>
        <v>0</v>
      </c>
    </row>
    <row r="38" spans="3:6" x14ac:dyDescent="0.25">
      <c r="D38" s="7">
        <v>1043</v>
      </c>
      <c r="E38" s="7" t="s">
        <v>329</v>
      </c>
      <c r="F38" s="12">
        <f>HLOOKUP($E$5,'Bourgeoisie bilan'!$F$4:$S$229,32,0)</f>
        <v>0</v>
      </c>
    </row>
    <row r="39" spans="3:6" x14ac:dyDescent="0.25">
      <c r="D39" s="7">
        <v>1044</v>
      </c>
      <c r="E39" s="7" t="s">
        <v>330</v>
      </c>
      <c r="F39" s="12">
        <f>HLOOKUP($E$5,'Bourgeoisie bilan'!$F$4:$S$229,33,0)</f>
        <v>0</v>
      </c>
    </row>
    <row r="40" spans="3:6" x14ac:dyDescent="0.25">
      <c r="D40" s="7">
        <v>1045</v>
      </c>
      <c r="E40" s="7" t="s">
        <v>331</v>
      </c>
      <c r="F40" s="12">
        <f>HLOOKUP($E$5,'Bourgeoisie bilan'!$F$4:$S$229,34,0)</f>
        <v>0</v>
      </c>
    </row>
    <row r="41" spans="3:6" x14ac:dyDescent="0.25">
      <c r="D41" s="7">
        <v>1046</v>
      </c>
      <c r="E41" s="7" t="s">
        <v>332</v>
      </c>
      <c r="F41" s="12">
        <f>HLOOKUP($E$5,'Bourgeoisie bilan'!$F$4:$S$229,35,0)</f>
        <v>0</v>
      </c>
    </row>
    <row r="42" spans="3:6" x14ac:dyDescent="0.25">
      <c r="D42" s="7">
        <v>1049</v>
      </c>
      <c r="E42" s="7" t="s">
        <v>333</v>
      </c>
      <c r="F42" s="12">
        <f>HLOOKUP($E$5,'Bourgeoisie bilan'!$F$4:$S$229,36,0)</f>
        <v>0</v>
      </c>
    </row>
    <row r="43" spans="3:6" x14ac:dyDescent="0.25">
      <c r="F43" s="12"/>
    </row>
    <row r="44" spans="3:6" x14ac:dyDescent="0.25">
      <c r="C44" s="76">
        <v>106</v>
      </c>
      <c r="D44" s="76"/>
      <c r="E44" s="76" t="s">
        <v>244</v>
      </c>
      <c r="F44" s="96">
        <f>HLOOKUP($E$5,'Bourgeoisie bilan'!$F$4:$S$229,38,0)</f>
        <v>0</v>
      </c>
    </row>
    <row r="45" spans="3:6" x14ac:dyDescent="0.25">
      <c r="D45" s="7">
        <v>1060</v>
      </c>
      <c r="E45" s="7" t="s">
        <v>334</v>
      </c>
      <c r="F45" s="12">
        <f>HLOOKUP($E$5,'Bourgeoisie bilan'!$F$4:$S$229,39,0)</f>
        <v>0</v>
      </c>
    </row>
    <row r="46" spans="3:6" x14ac:dyDescent="0.25">
      <c r="D46" s="7">
        <v>1061</v>
      </c>
      <c r="E46" s="7" t="s">
        <v>335</v>
      </c>
      <c r="F46" s="12">
        <f>HLOOKUP($E$5,'Bourgeoisie bilan'!$F$4:$S$229,40,0)</f>
        <v>0</v>
      </c>
    </row>
    <row r="47" spans="3:6" x14ac:dyDescent="0.25">
      <c r="D47" s="7">
        <v>1062</v>
      </c>
      <c r="E47" s="7" t="s">
        <v>336</v>
      </c>
      <c r="F47" s="12">
        <f>HLOOKUP($E$5,'Bourgeoisie bilan'!$F$4:$S$229,41,0)</f>
        <v>0</v>
      </c>
    </row>
    <row r="48" spans="3:6" x14ac:dyDescent="0.25">
      <c r="D48" s="7">
        <v>1063</v>
      </c>
      <c r="E48" s="7" t="s">
        <v>337</v>
      </c>
      <c r="F48" s="12">
        <f>HLOOKUP($E$5,'Bourgeoisie bilan'!$F$4:$S$229,42,0)</f>
        <v>0</v>
      </c>
    </row>
    <row r="49" spans="3:6" x14ac:dyDescent="0.25">
      <c r="D49" s="7">
        <v>1068</v>
      </c>
      <c r="E49" s="7" t="s">
        <v>338</v>
      </c>
      <c r="F49" s="12">
        <f>HLOOKUP($E$5,'Bourgeoisie bilan'!$F$4:$S$229,43,0)</f>
        <v>0</v>
      </c>
    </row>
    <row r="50" spans="3:6" x14ac:dyDescent="0.25">
      <c r="F50" s="12"/>
    </row>
    <row r="51" spans="3:6" x14ac:dyDescent="0.25">
      <c r="C51" s="76">
        <v>107</v>
      </c>
      <c r="D51" s="76"/>
      <c r="E51" s="76" t="s">
        <v>343</v>
      </c>
      <c r="F51" s="96">
        <f>HLOOKUP($E$5,'Bourgeoisie bilan'!$F$4:$S$229,45,0)</f>
        <v>1200</v>
      </c>
    </row>
    <row r="52" spans="3:6" x14ac:dyDescent="0.25">
      <c r="D52" s="7">
        <v>1070</v>
      </c>
      <c r="E52" s="7" t="s">
        <v>339</v>
      </c>
      <c r="F52" s="12">
        <f>HLOOKUP($E$5,'Bourgeoisie bilan'!$F$4:$S$229,46,0)</f>
        <v>1200</v>
      </c>
    </row>
    <row r="53" spans="3:6" x14ac:dyDescent="0.25">
      <c r="D53" s="7">
        <v>1071</v>
      </c>
      <c r="E53" s="7" t="s">
        <v>340</v>
      </c>
      <c r="F53" s="12">
        <f>HLOOKUP($E$5,'Bourgeoisie bilan'!$F$4:$S$229,47,0)</f>
        <v>0</v>
      </c>
    </row>
    <row r="54" spans="3:6" x14ac:dyDescent="0.25">
      <c r="D54" s="7">
        <v>1072</v>
      </c>
      <c r="E54" s="7" t="s">
        <v>341</v>
      </c>
      <c r="F54" s="12">
        <f>HLOOKUP($E$5,'Bourgeoisie bilan'!$F$4:$S$229,48,0)</f>
        <v>0</v>
      </c>
    </row>
    <row r="55" spans="3:6" x14ac:dyDescent="0.25">
      <c r="D55" s="7">
        <v>1079</v>
      </c>
      <c r="E55" s="7" t="s">
        <v>342</v>
      </c>
      <c r="F55" s="12">
        <f>HLOOKUP($E$5,'Bourgeoisie bilan'!$F$4:$S$229,49,0)</f>
        <v>0</v>
      </c>
    </row>
    <row r="56" spans="3:6" x14ac:dyDescent="0.25">
      <c r="F56" s="12"/>
    </row>
    <row r="57" spans="3:6" x14ac:dyDescent="0.25">
      <c r="C57" s="76">
        <v>108</v>
      </c>
      <c r="D57" s="76"/>
      <c r="E57" s="76" t="s">
        <v>245</v>
      </c>
      <c r="F57" s="96">
        <f>HLOOKUP($E$5,'Bourgeoisie bilan'!$F$4:$S$229,51,0)</f>
        <v>553360</v>
      </c>
    </row>
    <row r="58" spans="3:6" x14ac:dyDescent="0.25">
      <c r="D58" s="7">
        <v>1080</v>
      </c>
      <c r="E58" s="7" t="s">
        <v>344</v>
      </c>
      <c r="F58" s="12">
        <f>HLOOKUP($E$5,'Bourgeoisie bilan'!$F$4:$S$229,52,0)</f>
        <v>44240</v>
      </c>
    </row>
    <row r="59" spans="3:6" x14ac:dyDescent="0.25">
      <c r="D59" s="7">
        <v>1084</v>
      </c>
      <c r="E59" s="7" t="s">
        <v>345</v>
      </c>
      <c r="F59" s="12">
        <f>HLOOKUP($E$5,'Bourgeoisie bilan'!$F$4:$S$229,53,0)</f>
        <v>509120</v>
      </c>
    </row>
    <row r="60" spans="3:6" x14ac:dyDescent="0.25">
      <c r="D60" s="7">
        <v>1086</v>
      </c>
      <c r="E60" s="7" t="s">
        <v>346</v>
      </c>
      <c r="F60" s="12">
        <f>HLOOKUP($E$5,'Bourgeoisie bilan'!$F$4:$S$229,54,0)</f>
        <v>0</v>
      </c>
    </row>
    <row r="61" spans="3:6" x14ac:dyDescent="0.25">
      <c r="D61" s="7">
        <v>1087</v>
      </c>
      <c r="E61" s="7" t="s">
        <v>347</v>
      </c>
      <c r="F61" s="12">
        <f>HLOOKUP($E$5,'Bourgeoisie bilan'!$F$4:$S$229,55,0)</f>
        <v>0</v>
      </c>
    </row>
    <row r="62" spans="3:6" x14ac:dyDescent="0.25">
      <c r="D62" s="7">
        <v>1088</v>
      </c>
      <c r="E62" s="7" t="s">
        <v>348</v>
      </c>
      <c r="F62" s="12">
        <f>HLOOKUP($E$5,'Bourgeoisie bilan'!$F$4:$S$229,56,0)</f>
        <v>0</v>
      </c>
    </row>
    <row r="63" spans="3:6" x14ac:dyDescent="0.25">
      <c r="D63" s="7">
        <v>1089</v>
      </c>
      <c r="E63" s="7" t="s">
        <v>349</v>
      </c>
      <c r="F63" s="12">
        <f>HLOOKUP($E$5,'Bourgeoisie bilan'!$F$4:$S$229,57,0)</f>
        <v>0</v>
      </c>
    </row>
    <row r="64" spans="3:6" x14ac:dyDescent="0.25">
      <c r="F64" s="12"/>
    </row>
    <row r="65" spans="2:6" x14ac:dyDescent="0.25">
      <c r="C65" s="76">
        <v>109</v>
      </c>
      <c r="D65" s="76"/>
      <c r="E65" s="76" t="s">
        <v>350</v>
      </c>
      <c r="F65" s="96">
        <f>HLOOKUP($E$5,'Bourgeoisie bilan'!$F$4:$S$229,59,0)</f>
        <v>0</v>
      </c>
    </row>
    <row r="66" spans="2:6" x14ac:dyDescent="0.25">
      <c r="D66" s="7">
        <v>1090</v>
      </c>
      <c r="E66" s="7" t="s">
        <v>350</v>
      </c>
      <c r="F66" s="12">
        <f>HLOOKUP($E$5,'Bourgeoisie bilan'!$F$4:$S$229,60,0)</f>
        <v>0</v>
      </c>
    </row>
    <row r="67" spans="2:6" x14ac:dyDescent="0.25">
      <c r="D67" s="7">
        <v>1091</v>
      </c>
      <c r="E67" s="7" t="s">
        <v>351</v>
      </c>
      <c r="F67" s="12">
        <f>HLOOKUP($E$5,'Bourgeoisie bilan'!$F$4:$S$229,61,0)</f>
        <v>0</v>
      </c>
    </row>
    <row r="68" spans="2:6" x14ac:dyDescent="0.25">
      <c r="D68" s="7">
        <v>1092</v>
      </c>
      <c r="E68" s="7" t="s">
        <v>352</v>
      </c>
      <c r="F68" s="12">
        <f>HLOOKUP($E$5,'Bourgeoisie bilan'!$F$4:$S$229,62,0)</f>
        <v>0</v>
      </c>
    </row>
    <row r="69" spans="2:6" x14ac:dyDescent="0.25">
      <c r="D69" s="7">
        <v>1093</v>
      </c>
      <c r="E69" s="7" t="s">
        <v>353</v>
      </c>
      <c r="F69" s="12">
        <f>HLOOKUP($E$5,'Bourgeoisie bilan'!$F$4:$S$229,63,0)</f>
        <v>0</v>
      </c>
    </row>
    <row r="70" spans="2:6" x14ac:dyDescent="0.25">
      <c r="F70" s="12"/>
    </row>
    <row r="71" spans="2:6" x14ac:dyDescent="0.25">
      <c r="B71" s="106">
        <v>14</v>
      </c>
      <c r="C71" s="106"/>
      <c r="D71" s="106"/>
      <c r="E71" s="106" t="s">
        <v>246</v>
      </c>
      <c r="F71" s="107">
        <f>HLOOKUP($E$5,'Bourgeoisie bilan'!$F$4:$S$229,65,0)</f>
        <v>1492699.8</v>
      </c>
    </row>
    <row r="72" spans="2:6" x14ac:dyDescent="0.25">
      <c r="C72" s="76">
        <v>140</v>
      </c>
      <c r="D72" s="76"/>
      <c r="E72" s="76" t="s">
        <v>248</v>
      </c>
      <c r="F72" s="96">
        <f>HLOOKUP($E$5,'Bourgeoisie bilan'!$F$4:$S$229,66,0)</f>
        <v>1492699.8</v>
      </c>
    </row>
    <row r="73" spans="2:6" x14ac:dyDescent="0.25">
      <c r="D73" s="7">
        <v>1400</v>
      </c>
      <c r="E73" s="7" t="s">
        <v>354</v>
      </c>
      <c r="F73" s="12">
        <f>HLOOKUP($E$5,'Bourgeoisie bilan'!$F$4:$S$229,67,0)</f>
        <v>349180</v>
      </c>
    </row>
    <row r="74" spans="2:6" x14ac:dyDescent="0.25">
      <c r="D74" s="7">
        <v>1401</v>
      </c>
      <c r="E74" s="7" t="s">
        <v>355</v>
      </c>
      <c r="F74" s="12">
        <f>HLOOKUP($E$5,'Bourgeoisie bilan'!$F$4:$S$229,68,0)</f>
        <v>77000</v>
      </c>
    </row>
    <row r="75" spans="2:6" x14ac:dyDescent="0.25">
      <c r="D75" s="7">
        <v>1402</v>
      </c>
      <c r="E75" s="7" t="s">
        <v>356</v>
      </c>
      <c r="F75" s="12">
        <f>HLOOKUP($E$5,'Bourgeoisie bilan'!$F$4:$S$229,69,0)</f>
        <v>0</v>
      </c>
    </row>
    <row r="76" spans="2:6" x14ac:dyDescent="0.25">
      <c r="D76" s="7">
        <v>1403</v>
      </c>
      <c r="E76" s="7" t="s">
        <v>357</v>
      </c>
      <c r="F76" s="12">
        <f>HLOOKUP($E$5,'Bourgeoisie bilan'!$F$4:$S$229,70,0)</f>
        <v>73749.8</v>
      </c>
    </row>
    <row r="77" spans="2:6" x14ac:dyDescent="0.25">
      <c r="D77" s="7">
        <v>1404</v>
      </c>
      <c r="E77" s="7" t="s">
        <v>358</v>
      </c>
      <c r="F77" s="12">
        <f>HLOOKUP($E$5,'Bourgeoisie bilan'!$F$4:$S$229,71,0)</f>
        <v>106100</v>
      </c>
    </row>
    <row r="78" spans="2:6" x14ac:dyDescent="0.25">
      <c r="D78" s="7">
        <v>1405</v>
      </c>
      <c r="E78" s="7" t="s">
        <v>359</v>
      </c>
      <c r="F78" s="12">
        <f>HLOOKUP($E$5,'Bourgeoisie bilan'!$F$4:$S$229,72,0)</f>
        <v>886670</v>
      </c>
    </row>
    <row r="79" spans="2:6" x14ac:dyDescent="0.25">
      <c r="D79" s="7">
        <v>1406</v>
      </c>
      <c r="E79" s="7" t="s">
        <v>360</v>
      </c>
      <c r="F79" s="12">
        <f>HLOOKUP($E$5,'Bourgeoisie bilan'!$F$4:$S$229,73,0)</f>
        <v>0</v>
      </c>
    </row>
    <row r="80" spans="2:6" x14ac:dyDescent="0.25">
      <c r="D80" s="7">
        <v>1407</v>
      </c>
      <c r="E80" s="7" t="s">
        <v>361</v>
      </c>
      <c r="F80" s="12">
        <f>HLOOKUP($E$5,'Bourgeoisie bilan'!$F$4:$S$229,74,0)</f>
        <v>0</v>
      </c>
    </row>
    <row r="81" spans="3:6" x14ac:dyDescent="0.25">
      <c r="D81" s="7">
        <v>1409</v>
      </c>
      <c r="E81" s="7" t="s">
        <v>362</v>
      </c>
      <c r="F81" s="12">
        <f>HLOOKUP($E$5,'Bourgeoisie bilan'!$F$4:$S$229,75,0)</f>
        <v>0</v>
      </c>
    </row>
    <row r="82" spans="3:6" x14ac:dyDescent="0.25">
      <c r="F82" s="12"/>
    </row>
    <row r="83" spans="3:6" x14ac:dyDescent="0.25">
      <c r="C83" s="76">
        <v>142</v>
      </c>
      <c r="D83" s="76"/>
      <c r="E83" s="76" t="s">
        <v>577</v>
      </c>
      <c r="F83" s="96">
        <f>HLOOKUP($E$5,'Bourgeoisie bilan'!$F$4:$S$229,77,0)</f>
        <v>0</v>
      </c>
    </row>
    <row r="84" spans="3:6" x14ac:dyDescent="0.25">
      <c r="D84" s="7">
        <v>1420</v>
      </c>
      <c r="E84" s="7" t="s">
        <v>363</v>
      </c>
      <c r="F84" s="12">
        <f>HLOOKUP($E$5,'Bourgeoisie bilan'!$F$4:$S$229,78,0)</f>
        <v>0</v>
      </c>
    </row>
    <row r="85" spans="3:6" x14ac:dyDescent="0.25">
      <c r="D85" s="7">
        <v>1421</v>
      </c>
      <c r="E85" s="7" t="s">
        <v>364</v>
      </c>
      <c r="F85" s="12">
        <f>HLOOKUP($E$5,'Bourgeoisie bilan'!$F$4:$S$229,79,0)</f>
        <v>0</v>
      </c>
    </row>
    <row r="86" spans="3:6" x14ac:dyDescent="0.25">
      <c r="D86" s="7">
        <v>1427</v>
      </c>
      <c r="E86" s="7" t="s">
        <v>576</v>
      </c>
      <c r="F86" s="12">
        <f>HLOOKUP($E$5,'Bourgeoisie bilan'!$F$4:$S$229,80,0)</f>
        <v>0</v>
      </c>
    </row>
    <row r="87" spans="3:6" x14ac:dyDescent="0.25">
      <c r="D87" s="7">
        <v>1429</v>
      </c>
      <c r="E87" s="7" t="s">
        <v>462</v>
      </c>
      <c r="F87" s="12">
        <f>HLOOKUP($E$5,'Bourgeoisie bilan'!$F$4:$S$229,81,0)</f>
        <v>0</v>
      </c>
    </row>
    <row r="88" spans="3:6" x14ac:dyDescent="0.25">
      <c r="F88" s="12"/>
    </row>
    <row r="89" spans="3:6" x14ac:dyDescent="0.25">
      <c r="C89" s="76">
        <v>144</v>
      </c>
      <c r="D89" s="76"/>
      <c r="E89" s="76" t="s">
        <v>249</v>
      </c>
      <c r="F89" s="96">
        <f>HLOOKUP($E$5,'Bourgeoisie bilan'!$F$4:$S$229,83,0)</f>
        <v>0</v>
      </c>
    </row>
    <row r="90" spans="3:6" x14ac:dyDescent="0.25">
      <c r="D90" s="7">
        <v>1440</v>
      </c>
      <c r="E90" s="7" t="s">
        <v>365</v>
      </c>
      <c r="F90" s="12">
        <f>HLOOKUP($E$5,'Bourgeoisie bilan'!$F$4:$S$229,83,0)</f>
        <v>0</v>
      </c>
    </row>
    <row r="91" spans="3:6" x14ac:dyDescent="0.25">
      <c r="D91" s="7">
        <v>1441</v>
      </c>
      <c r="E91" s="7" t="s">
        <v>367</v>
      </c>
      <c r="F91" s="12">
        <f>HLOOKUP($E$5,'Bourgeoisie bilan'!$F$4:$S$229,85,0)</f>
        <v>0</v>
      </c>
    </row>
    <row r="92" spans="3:6" x14ac:dyDescent="0.25">
      <c r="D92" s="7">
        <v>1442</v>
      </c>
      <c r="E92" s="7" t="s">
        <v>366</v>
      </c>
      <c r="F92" s="12">
        <f>HLOOKUP($E$5,'Bourgeoisie bilan'!$F$4:$S$229,86,0)</f>
        <v>0</v>
      </c>
    </row>
    <row r="93" spans="3:6" x14ac:dyDescent="0.25">
      <c r="D93" s="7">
        <v>1443</v>
      </c>
      <c r="E93" s="7" t="s">
        <v>368</v>
      </c>
      <c r="F93" s="12">
        <f>HLOOKUP($E$5,'Bourgeoisie bilan'!$F$4:$S$229,87,0)</f>
        <v>0</v>
      </c>
    </row>
    <row r="94" spans="3:6" x14ac:dyDescent="0.25">
      <c r="D94" s="7">
        <v>1444</v>
      </c>
      <c r="E94" s="7" t="s">
        <v>369</v>
      </c>
      <c r="F94" s="12">
        <f>HLOOKUP($E$5,'Bourgeoisie bilan'!$F$4:$S$229,88,0)</f>
        <v>0</v>
      </c>
    </row>
    <row r="95" spans="3:6" x14ac:dyDescent="0.25">
      <c r="D95" s="7">
        <v>1445</v>
      </c>
      <c r="E95" s="7" t="s">
        <v>370</v>
      </c>
      <c r="F95" s="12">
        <f>HLOOKUP($E$5,'Bourgeoisie bilan'!$F$4:$S$229,89,0)</f>
        <v>0</v>
      </c>
    </row>
    <row r="96" spans="3:6" x14ac:dyDescent="0.25">
      <c r="D96" s="7">
        <v>1446</v>
      </c>
      <c r="E96" s="7" t="s">
        <v>371</v>
      </c>
      <c r="F96" s="12">
        <f>HLOOKUP($E$5,'Bourgeoisie bilan'!$F$4:$S$229,90,0)</f>
        <v>0</v>
      </c>
    </row>
    <row r="97" spans="3:6" x14ac:dyDescent="0.25">
      <c r="D97" s="7">
        <v>1447</v>
      </c>
      <c r="E97" s="7" t="s">
        <v>372</v>
      </c>
      <c r="F97" s="12">
        <f>HLOOKUP($E$5,'Bourgeoisie bilan'!$F$4:$S$229,91,0)</f>
        <v>0</v>
      </c>
    </row>
    <row r="98" spans="3:6" x14ac:dyDescent="0.25">
      <c r="D98" s="7">
        <v>1448</v>
      </c>
      <c r="E98" s="7" t="s">
        <v>373</v>
      </c>
      <c r="F98" s="12">
        <f>HLOOKUP($E$5,'Bourgeoisie bilan'!$F$4:$S$229,92,0)</f>
        <v>0</v>
      </c>
    </row>
    <row r="99" spans="3:6" x14ac:dyDescent="0.25">
      <c r="F99" s="12"/>
    </row>
    <row r="100" spans="3:6" x14ac:dyDescent="0.25">
      <c r="C100" s="76">
        <v>145</v>
      </c>
      <c r="D100" s="76"/>
      <c r="E100" s="76" t="s">
        <v>376</v>
      </c>
      <c r="F100" s="96">
        <f>HLOOKUP($E$5,'Bourgeoisie bilan'!$F$4:$S$229,94,0)</f>
        <v>0</v>
      </c>
    </row>
    <row r="101" spans="3:6" x14ac:dyDescent="0.25">
      <c r="D101" s="7">
        <v>1450</v>
      </c>
      <c r="E101" s="7" t="s">
        <v>375</v>
      </c>
      <c r="F101" s="12">
        <f>HLOOKUP($E$5,'Bourgeoisie bilan'!$F$4:$S$229,95,0)</f>
        <v>0</v>
      </c>
    </row>
    <row r="102" spans="3:6" x14ac:dyDescent="0.25">
      <c r="D102" s="7">
        <v>1451</v>
      </c>
      <c r="E102" s="7" t="s">
        <v>374</v>
      </c>
      <c r="F102" s="12">
        <f>HLOOKUP($E$5,'Bourgeoisie bilan'!$F$4:$S$229,96,0)</f>
        <v>0</v>
      </c>
    </row>
    <row r="103" spans="3:6" x14ac:dyDescent="0.25">
      <c r="D103" s="7">
        <v>1452</v>
      </c>
      <c r="E103" s="7" t="s">
        <v>377</v>
      </c>
      <c r="F103" s="12">
        <f>HLOOKUP($E$5,'Bourgeoisie bilan'!$F$4:$S$229,97,0)</f>
        <v>0</v>
      </c>
    </row>
    <row r="104" spans="3:6" x14ac:dyDescent="0.25">
      <c r="D104" s="7">
        <v>1453</v>
      </c>
      <c r="E104" s="7" t="s">
        <v>378</v>
      </c>
      <c r="F104" s="12">
        <f>HLOOKUP($E$5,'Bourgeoisie bilan'!$F$4:$S$229,98,0)</f>
        <v>0</v>
      </c>
    </row>
    <row r="105" spans="3:6" x14ac:dyDescent="0.25">
      <c r="D105" s="7">
        <v>1454</v>
      </c>
      <c r="E105" s="7" t="s">
        <v>379</v>
      </c>
      <c r="F105" s="12">
        <f>HLOOKUP($E$5,'Bourgeoisie bilan'!$F$4:$S$229,99,0)</f>
        <v>0</v>
      </c>
    </row>
    <row r="106" spans="3:6" x14ac:dyDescent="0.25">
      <c r="D106" s="7">
        <v>1455</v>
      </c>
      <c r="E106" s="7" t="s">
        <v>380</v>
      </c>
      <c r="F106" s="12">
        <f>HLOOKUP($E$5,'Bourgeoisie bilan'!$F$4:$S$229,100,0)</f>
        <v>0</v>
      </c>
    </row>
    <row r="107" spans="3:6" x14ac:dyDescent="0.25">
      <c r="D107" s="7">
        <v>1456</v>
      </c>
      <c r="E107" s="7" t="s">
        <v>381</v>
      </c>
      <c r="F107" s="12">
        <f>HLOOKUP($E$5,'Bourgeoisie bilan'!$F$4:$S$229,101,0)</f>
        <v>0</v>
      </c>
    </row>
    <row r="108" spans="3:6" x14ac:dyDescent="0.25">
      <c r="D108" s="7">
        <v>1457</v>
      </c>
      <c r="E108" s="7" t="s">
        <v>382</v>
      </c>
      <c r="F108" s="12">
        <f>HLOOKUP($E$5,'Bourgeoisie bilan'!$F$4:$S$229,102,0)</f>
        <v>0</v>
      </c>
    </row>
    <row r="109" spans="3:6" x14ac:dyDescent="0.25">
      <c r="D109" s="7">
        <v>1458</v>
      </c>
      <c r="E109" s="7" t="s">
        <v>383</v>
      </c>
      <c r="F109" s="12">
        <f>HLOOKUP($E$5,'Bourgeoisie bilan'!$F$4:$S$229,103,0)</f>
        <v>0</v>
      </c>
    </row>
    <row r="110" spans="3:6" x14ac:dyDescent="0.25">
      <c r="F110" s="12"/>
    </row>
    <row r="111" spans="3:6" x14ac:dyDescent="0.25">
      <c r="C111" s="76">
        <v>146</v>
      </c>
      <c r="D111" s="76"/>
      <c r="E111" s="76" t="s">
        <v>394</v>
      </c>
      <c r="F111" s="96">
        <f>HLOOKUP($E$5,'Bourgeoisie bilan'!$F$4:$S$229,105,0)</f>
        <v>0</v>
      </c>
    </row>
    <row r="112" spans="3:6" x14ac:dyDescent="0.25">
      <c r="D112" s="7">
        <v>1460</v>
      </c>
      <c r="E112" s="7" t="s">
        <v>391</v>
      </c>
      <c r="F112" s="12">
        <f>HLOOKUP($E$5,'Bourgeoisie bilan'!$F$4:$S$229,106,0)</f>
        <v>0</v>
      </c>
    </row>
    <row r="113" spans="1:6" x14ac:dyDescent="0.25">
      <c r="D113" s="7">
        <v>1461</v>
      </c>
      <c r="E113" s="7" t="s">
        <v>392</v>
      </c>
      <c r="F113" s="12">
        <f>HLOOKUP($E$5,'Bourgeoisie bilan'!$F$4:$S$229,107,0)</f>
        <v>0</v>
      </c>
    </row>
    <row r="114" spans="1:6" x14ac:dyDescent="0.25">
      <c r="D114" s="7">
        <v>1462</v>
      </c>
      <c r="E114" s="7" t="s">
        <v>384</v>
      </c>
      <c r="F114" s="12">
        <f>HLOOKUP($E$5,'Bourgeoisie bilan'!$F$4:$S$229,108,0)</f>
        <v>0</v>
      </c>
    </row>
    <row r="115" spans="1:6" x14ac:dyDescent="0.25">
      <c r="D115" s="7">
        <v>1463</v>
      </c>
      <c r="E115" s="7" t="s">
        <v>385</v>
      </c>
      <c r="F115" s="12">
        <f>HLOOKUP($E$5,'Bourgeoisie bilan'!$F$4:$S$229,109,0)</f>
        <v>0</v>
      </c>
    </row>
    <row r="116" spans="1:6" x14ac:dyDescent="0.25">
      <c r="D116" s="7">
        <v>1464</v>
      </c>
      <c r="E116" s="7" t="s">
        <v>386</v>
      </c>
      <c r="F116" s="12">
        <f>HLOOKUP($E$5,'Bourgeoisie bilan'!$F$4:$S$229,110,0)</f>
        <v>0</v>
      </c>
    </row>
    <row r="117" spans="1:6" x14ac:dyDescent="0.25">
      <c r="D117" s="7">
        <v>1465</v>
      </c>
      <c r="E117" s="7" t="s">
        <v>387</v>
      </c>
      <c r="F117" s="12">
        <f>HLOOKUP($E$5,'Bourgeoisie bilan'!$F$4:$S$229,111,0)</f>
        <v>0</v>
      </c>
    </row>
    <row r="118" spans="1:6" x14ac:dyDescent="0.25">
      <c r="D118" s="7">
        <v>1466</v>
      </c>
      <c r="E118" s="7" t="s">
        <v>393</v>
      </c>
      <c r="F118" s="12">
        <f>HLOOKUP($E$5,'Bourgeoisie bilan'!$F$4:$S$229,112,0)</f>
        <v>0</v>
      </c>
    </row>
    <row r="119" spans="1:6" x14ac:dyDescent="0.25">
      <c r="D119" s="7">
        <v>1467</v>
      </c>
      <c r="E119" s="7" t="s">
        <v>388</v>
      </c>
      <c r="F119" s="12">
        <f>HLOOKUP($E$5,'Bourgeoisie bilan'!$F$4:$S$229,113,0)</f>
        <v>0</v>
      </c>
    </row>
    <row r="120" spans="1:6" x14ac:dyDescent="0.25">
      <c r="D120" s="7">
        <v>1468</v>
      </c>
      <c r="E120" s="7" t="s">
        <v>389</v>
      </c>
      <c r="F120" s="12">
        <f>HLOOKUP($E$5,'Bourgeoisie bilan'!$F$4:$S$229,114,0)</f>
        <v>0</v>
      </c>
    </row>
    <row r="121" spans="1:6" x14ac:dyDescent="0.25">
      <c r="D121" s="7">
        <v>1469</v>
      </c>
      <c r="E121" s="7" t="s">
        <v>390</v>
      </c>
      <c r="F121" s="12">
        <f>HLOOKUP($E$5,'Bourgeoisie bilan'!$F$4:$S$229,115,0)</f>
        <v>0</v>
      </c>
    </row>
    <row r="122" spans="1:6" x14ac:dyDescent="0.25">
      <c r="F122" s="12"/>
    </row>
    <row r="123" spans="1:6" x14ac:dyDescent="0.25">
      <c r="F123" s="12"/>
    </row>
    <row r="124" spans="1:6" ht="21" x14ac:dyDescent="0.4">
      <c r="A124" s="17">
        <v>2</v>
      </c>
      <c r="B124" s="17"/>
      <c r="C124" s="17"/>
      <c r="D124" s="17"/>
      <c r="E124" s="17" t="s">
        <v>250</v>
      </c>
      <c r="F124" s="117">
        <f>HLOOKUP($E$5,'Bourgeoisie bilan'!$F$4:$S$229,118,0)</f>
        <v>2806191.33</v>
      </c>
    </row>
    <row r="125" spans="1:6" x14ac:dyDescent="0.25">
      <c r="A125" s="6"/>
      <c r="B125" s="109">
        <v>20</v>
      </c>
      <c r="C125" s="109"/>
      <c r="D125" s="109"/>
      <c r="E125" s="109" t="s">
        <v>251</v>
      </c>
      <c r="F125" s="110">
        <f>HLOOKUP($E$5,'Bourgeoisie bilan'!$F$4:$S$229,119,0)</f>
        <v>608512.4</v>
      </c>
    </row>
    <row r="126" spans="1:6" x14ac:dyDescent="0.25">
      <c r="C126" s="111">
        <v>200</v>
      </c>
      <c r="D126" s="111"/>
      <c r="E126" s="111" t="s">
        <v>252</v>
      </c>
      <c r="F126" s="112">
        <f>HLOOKUP($E$5,'Bourgeoisie bilan'!$F$4:$S$229,120,0)</f>
        <v>50000</v>
      </c>
    </row>
    <row r="127" spans="1:6" x14ac:dyDescent="0.25">
      <c r="D127" s="7">
        <v>2000</v>
      </c>
      <c r="E127" s="7" t="s">
        <v>395</v>
      </c>
      <c r="F127" s="12">
        <f>HLOOKUP($E$5,'Bourgeoisie bilan'!$F$4:$S$229,121,0)</f>
        <v>50000</v>
      </c>
    </row>
    <row r="128" spans="1:6" x14ac:dyDescent="0.25">
      <c r="D128" s="7">
        <v>2001</v>
      </c>
      <c r="E128" s="7" t="s">
        <v>396</v>
      </c>
      <c r="F128" s="12">
        <f>HLOOKUP($E$5,'Bourgeoisie bilan'!$F$4:$S$229,122,0)</f>
        <v>0</v>
      </c>
    </row>
    <row r="129" spans="3:6" x14ac:dyDescent="0.25">
      <c r="D129" s="7">
        <v>2002</v>
      </c>
      <c r="E129" s="7" t="s">
        <v>397</v>
      </c>
      <c r="F129" s="12">
        <f>HLOOKUP($E$5,'Bourgeoisie bilan'!$F$4:$S$229,123,0)</f>
        <v>0</v>
      </c>
    </row>
    <row r="130" spans="3:6" x14ac:dyDescent="0.25">
      <c r="D130" s="7">
        <v>2003</v>
      </c>
      <c r="E130" s="7" t="s">
        <v>398</v>
      </c>
      <c r="F130" s="12">
        <f>HLOOKUP($E$5,'Bourgeoisie bilan'!$F$4:$S$229,124,0)</f>
        <v>0</v>
      </c>
    </row>
    <row r="131" spans="3:6" x14ac:dyDescent="0.25">
      <c r="D131" s="7">
        <v>2004</v>
      </c>
      <c r="E131" s="7" t="s">
        <v>399</v>
      </c>
      <c r="F131" s="12">
        <f>HLOOKUP($E$5,'Bourgeoisie bilan'!$F$4:$S$229,125,0)</f>
        <v>0</v>
      </c>
    </row>
    <row r="132" spans="3:6" x14ac:dyDescent="0.25">
      <c r="D132" s="7">
        <v>2005</v>
      </c>
      <c r="E132" s="7" t="s">
        <v>320</v>
      </c>
      <c r="F132" s="12">
        <f>HLOOKUP($E$5,'Bourgeoisie bilan'!$F$4:$S$229,126,0)</f>
        <v>0</v>
      </c>
    </row>
    <row r="133" spans="3:6" x14ac:dyDescent="0.25">
      <c r="D133" s="7">
        <v>2006</v>
      </c>
      <c r="E133" s="7" t="s">
        <v>444</v>
      </c>
      <c r="F133" s="12">
        <f>HLOOKUP($E$5,'Bourgeoisie bilan'!$F$4:$S$229,127,0)</f>
        <v>0</v>
      </c>
    </row>
    <row r="134" spans="3:6" x14ac:dyDescent="0.25">
      <c r="D134" s="7">
        <v>2009</v>
      </c>
      <c r="E134" s="7" t="s">
        <v>401</v>
      </c>
      <c r="F134" s="12">
        <f>HLOOKUP($E$5,'Bourgeoisie bilan'!$F$4:$S$229,128,0)</f>
        <v>0</v>
      </c>
    </row>
    <row r="135" spans="3:6" x14ac:dyDescent="0.25">
      <c r="F135" s="12"/>
    </row>
    <row r="136" spans="3:6" x14ac:dyDescent="0.25">
      <c r="C136" s="111">
        <v>201</v>
      </c>
      <c r="D136" s="111"/>
      <c r="E136" s="111" t="s">
        <v>253</v>
      </c>
      <c r="F136" s="112">
        <f>HLOOKUP($E$5,'Bourgeoisie bilan'!$F$4:$S$229,130,0)</f>
        <v>0</v>
      </c>
    </row>
    <row r="137" spans="3:6" x14ac:dyDescent="0.25">
      <c r="D137" s="7">
        <v>2010</v>
      </c>
      <c r="E137" s="7" t="s">
        <v>402</v>
      </c>
      <c r="F137" s="12">
        <f>HLOOKUP($E$5,'Bourgeoisie bilan'!$F$4:$S$229,131,0)</f>
        <v>0</v>
      </c>
    </row>
    <row r="138" spans="3:6" x14ac:dyDescent="0.25">
      <c r="D138" s="7">
        <v>2011</v>
      </c>
      <c r="E138" s="7" t="s">
        <v>403</v>
      </c>
      <c r="F138" s="12">
        <f>HLOOKUP($E$5,'Bourgeoisie bilan'!$F$4:$S$229,132,0)</f>
        <v>0</v>
      </c>
    </row>
    <row r="139" spans="3:6" x14ac:dyDescent="0.25">
      <c r="D139" s="7">
        <v>2012</v>
      </c>
      <c r="E139" s="7" t="s">
        <v>404</v>
      </c>
      <c r="F139" s="12">
        <f>HLOOKUP($E$5,'Bourgeoisie bilan'!$F$4:$S$229,133,0)</f>
        <v>0</v>
      </c>
    </row>
    <row r="140" spans="3:6" x14ac:dyDescent="0.25">
      <c r="D140" s="7">
        <v>2013</v>
      </c>
      <c r="E140" s="7" t="s">
        <v>405</v>
      </c>
      <c r="F140" s="12">
        <f>HLOOKUP($E$5,'Bourgeoisie bilan'!$F$4:$S$229,134,0)</f>
        <v>0</v>
      </c>
    </row>
    <row r="141" spans="3:6" x14ac:dyDescent="0.25">
      <c r="D141" s="7">
        <v>2014</v>
      </c>
      <c r="E141" s="7" t="s">
        <v>407</v>
      </c>
      <c r="F141" s="12">
        <f>HLOOKUP($E$5,'Bourgeoisie bilan'!$F$4:$S$229,135,0)</f>
        <v>0</v>
      </c>
    </row>
    <row r="142" spans="3:6" x14ac:dyDescent="0.25">
      <c r="D142" s="7">
        <v>2015</v>
      </c>
      <c r="E142" s="7" t="s">
        <v>406</v>
      </c>
      <c r="F142" s="12">
        <f>HLOOKUP($E$5,'Bourgeoisie bilan'!$F$4:$S$229,136,0)</f>
        <v>0</v>
      </c>
    </row>
    <row r="143" spans="3:6" x14ac:dyDescent="0.25">
      <c r="D143" s="7">
        <v>2016</v>
      </c>
      <c r="E143" s="7" t="s">
        <v>268</v>
      </c>
      <c r="F143" s="12">
        <f>HLOOKUP($E$5,'Bourgeoisie bilan'!$F$4:$S$229,137,0)</f>
        <v>0</v>
      </c>
    </row>
    <row r="144" spans="3:6" x14ac:dyDescent="0.25">
      <c r="D144" s="7">
        <v>2019</v>
      </c>
      <c r="E144" s="7" t="s">
        <v>408</v>
      </c>
      <c r="F144" s="12">
        <f>HLOOKUP($E$5,'Bourgeoisie bilan'!$F$4:$S$229,138,0)</f>
        <v>0</v>
      </c>
    </row>
    <row r="145" spans="3:6" x14ac:dyDescent="0.25">
      <c r="F145" s="12"/>
    </row>
    <row r="146" spans="3:6" x14ac:dyDescent="0.25">
      <c r="C146" s="111">
        <v>204</v>
      </c>
      <c r="D146" s="111"/>
      <c r="E146" s="111" t="s">
        <v>254</v>
      </c>
      <c r="F146" s="112">
        <f>HLOOKUP($E$5,'Bourgeoisie bilan'!$F$4:$S$229,140,0)</f>
        <v>65192.4</v>
      </c>
    </row>
    <row r="147" spans="3:6" x14ac:dyDescent="0.25">
      <c r="D147" s="7">
        <v>2040</v>
      </c>
      <c r="E147" s="7" t="s">
        <v>61</v>
      </c>
      <c r="F147" s="12">
        <f>HLOOKUP($E$5,'Bourgeoisie bilan'!$F$4:$S$229,141,0)</f>
        <v>502.4</v>
      </c>
    </row>
    <row r="148" spans="3:6" x14ac:dyDescent="0.25">
      <c r="D148" s="7">
        <v>2041</v>
      </c>
      <c r="E148" s="7" t="s">
        <v>276</v>
      </c>
      <c r="F148" s="12">
        <f>HLOOKUP($E$5,'Bourgeoisie bilan'!$F$4:$S$229,142,0)</f>
        <v>13554</v>
      </c>
    </row>
    <row r="149" spans="3:6" x14ac:dyDescent="0.25">
      <c r="D149" s="7">
        <v>2042</v>
      </c>
      <c r="E149" s="7" t="s">
        <v>328</v>
      </c>
      <c r="F149" s="12">
        <f>HLOOKUP($E$5,'Bourgeoisie bilan'!$F$4:$S$229,143,0)</f>
        <v>0</v>
      </c>
    </row>
    <row r="150" spans="3:6" x14ac:dyDescent="0.25">
      <c r="D150" s="7">
        <v>2043</v>
      </c>
      <c r="E150" s="7" t="s">
        <v>329</v>
      </c>
      <c r="F150" s="12">
        <f>HLOOKUP($E$5,'Bourgeoisie bilan'!$F$4:$S$229,144,0)</f>
        <v>0</v>
      </c>
    </row>
    <row r="151" spans="3:6" x14ac:dyDescent="0.25">
      <c r="D151" s="7">
        <v>2044</v>
      </c>
      <c r="E151" s="7" t="s">
        <v>409</v>
      </c>
      <c r="F151" s="12">
        <f>HLOOKUP($E$5,'Bourgeoisie bilan'!$F$4:$S$229,145,0)</f>
        <v>51136</v>
      </c>
    </row>
    <row r="152" spans="3:6" x14ac:dyDescent="0.25">
      <c r="D152" s="7">
        <v>2045</v>
      </c>
      <c r="E152" s="7" t="s">
        <v>331</v>
      </c>
      <c r="F152" s="12">
        <f>HLOOKUP($E$5,'Bourgeoisie bilan'!$F$4:$S$229,146,0)</f>
        <v>0</v>
      </c>
    </row>
    <row r="153" spans="3:6" x14ac:dyDescent="0.25">
      <c r="D153" s="7">
        <v>2046</v>
      </c>
      <c r="E153" s="7" t="s">
        <v>410</v>
      </c>
      <c r="F153" s="12">
        <f>HLOOKUP($E$5,'Bourgeoisie bilan'!$F$4:$S$229,147,0)</f>
        <v>0</v>
      </c>
    </row>
    <row r="154" spans="3:6" x14ac:dyDescent="0.25">
      <c r="D154" s="7">
        <v>2049</v>
      </c>
      <c r="E154" s="7" t="s">
        <v>411</v>
      </c>
      <c r="F154" s="12">
        <f>HLOOKUP($E$5,'Bourgeoisie bilan'!$F$4:$S$229,148,0)</f>
        <v>0</v>
      </c>
    </row>
    <row r="155" spans="3:6" x14ac:dyDescent="0.25">
      <c r="F155" s="12"/>
    </row>
    <row r="156" spans="3:6" x14ac:dyDescent="0.25">
      <c r="C156" s="111">
        <v>205</v>
      </c>
      <c r="D156" s="111"/>
      <c r="E156" s="111" t="s">
        <v>255</v>
      </c>
      <c r="F156" s="112">
        <f>HLOOKUP($E$5,'Bourgeoisie bilan'!$F$4:$S$229,150,0)</f>
        <v>0</v>
      </c>
    </row>
    <row r="157" spans="3:6" x14ac:dyDescent="0.25">
      <c r="D157" s="7">
        <v>2050</v>
      </c>
      <c r="E157" s="7" t="s">
        <v>412</v>
      </c>
      <c r="F157" s="12">
        <f>HLOOKUP($E$5,'Bourgeoisie bilan'!$F$4:$S$229,151,0)</f>
        <v>0</v>
      </c>
    </row>
    <row r="158" spans="3:6" x14ac:dyDescent="0.25">
      <c r="D158" s="7">
        <v>2051</v>
      </c>
      <c r="E158" s="7" t="s">
        <v>413</v>
      </c>
      <c r="F158" s="12">
        <f>HLOOKUP($E$5,'Bourgeoisie bilan'!$F$4:$S$229,152,0)</f>
        <v>0</v>
      </c>
    </row>
    <row r="159" spans="3:6" x14ac:dyDescent="0.25">
      <c r="D159" s="7">
        <v>2052</v>
      </c>
      <c r="E159" s="7" t="s">
        <v>414</v>
      </c>
      <c r="F159" s="12">
        <f>HLOOKUP($E$5,'Bourgeoisie bilan'!$F$4:$S$229,153,0)</f>
        <v>0</v>
      </c>
    </row>
    <row r="160" spans="3:6" x14ac:dyDescent="0.25">
      <c r="D160" s="7">
        <v>2053</v>
      </c>
      <c r="E160" s="7" t="s">
        <v>418</v>
      </c>
      <c r="F160" s="12">
        <f>HLOOKUP($E$5,'Bourgeoisie bilan'!$F$4:$S$229,154,0)</f>
        <v>0</v>
      </c>
    </row>
    <row r="161" spans="3:6" x14ac:dyDescent="0.25">
      <c r="D161" s="7">
        <v>2054</v>
      </c>
      <c r="E161" s="7" t="s">
        <v>416</v>
      </c>
      <c r="F161" s="12">
        <f>HLOOKUP($E$5,'Bourgeoisie bilan'!$F$4:$S$229,155,0)</f>
        <v>0</v>
      </c>
    </row>
    <row r="162" spans="3:6" x14ac:dyDescent="0.25">
      <c r="D162" s="7">
        <v>2055</v>
      </c>
      <c r="E162" s="7" t="s">
        <v>415</v>
      </c>
      <c r="F162" s="12">
        <f>HLOOKUP($E$5,'Bourgeoisie bilan'!$F$4:$S$229,156,0)</f>
        <v>0</v>
      </c>
    </row>
    <row r="163" spans="3:6" x14ac:dyDescent="0.25">
      <c r="D163" s="7">
        <v>2056</v>
      </c>
      <c r="E163" s="7" t="s">
        <v>417</v>
      </c>
      <c r="F163" s="12">
        <f>HLOOKUP($E$5,'Bourgeoisie bilan'!$F$4:$S$229,157,0)</f>
        <v>0</v>
      </c>
    </row>
    <row r="164" spans="3:6" x14ac:dyDescent="0.25">
      <c r="D164" s="7">
        <v>2057</v>
      </c>
      <c r="E164" s="7" t="s">
        <v>419</v>
      </c>
      <c r="F164" s="12">
        <f>HLOOKUP($E$5,'Bourgeoisie bilan'!$F$4:$S$229,158,0)</f>
        <v>0</v>
      </c>
    </row>
    <row r="165" spans="3:6" x14ac:dyDescent="0.25">
      <c r="D165" s="7">
        <v>2058</v>
      </c>
      <c r="E165" s="7" t="s">
        <v>420</v>
      </c>
      <c r="F165" s="12">
        <f>HLOOKUP($E$5,'Bourgeoisie bilan'!$F$4:$S$229,159,0)</f>
        <v>0</v>
      </c>
    </row>
    <row r="166" spans="3:6" x14ac:dyDescent="0.25">
      <c r="D166" s="7">
        <v>2059</v>
      </c>
      <c r="E166" s="7" t="s">
        <v>421</v>
      </c>
      <c r="F166" s="12">
        <f>HLOOKUP($E$5,'Bourgeoisie bilan'!$F$4:$S$229,160,0)</f>
        <v>0</v>
      </c>
    </row>
    <row r="167" spans="3:6" x14ac:dyDescent="0.25">
      <c r="F167" s="12"/>
    </row>
    <row r="168" spans="3:6" x14ac:dyDescent="0.25">
      <c r="C168" s="111">
        <v>206</v>
      </c>
      <c r="D168" s="111"/>
      <c r="E168" s="111" t="s">
        <v>256</v>
      </c>
      <c r="F168" s="112">
        <f>HLOOKUP($E$5,'Bourgeoisie bilan'!$F$4:$S$229,162,0)</f>
        <v>367400</v>
      </c>
    </row>
    <row r="169" spans="3:6" x14ac:dyDescent="0.25">
      <c r="D169" s="7">
        <v>2060</v>
      </c>
      <c r="E169" s="7" t="s">
        <v>422</v>
      </c>
      <c r="F169" s="12">
        <f>HLOOKUP($E$5,'Bourgeoisie bilan'!$F$4:$S$229,163,0)</f>
        <v>0</v>
      </c>
    </row>
    <row r="170" spans="3:6" x14ac:dyDescent="0.25">
      <c r="D170" s="7">
        <v>2062</v>
      </c>
      <c r="E170" s="7" t="s">
        <v>423</v>
      </c>
      <c r="F170" s="12">
        <f>HLOOKUP($E$5,'Bourgeoisie bilan'!$F$4:$S$229,164,0)</f>
        <v>0</v>
      </c>
    </row>
    <row r="171" spans="3:6" x14ac:dyDescent="0.25">
      <c r="D171" s="7">
        <v>2063</v>
      </c>
      <c r="E171" s="7" t="s">
        <v>424</v>
      </c>
      <c r="F171" s="12">
        <f>HLOOKUP($E$5,'Bourgeoisie bilan'!$F$4:$S$229,165,0)</f>
        <v>367400</v>
      </c>
    </row>
    <row r="172" spans="3:6" x14ac:dyDescent="0.25">
      <c r="D172" s="7">
        <v>2064</v>
      </c>
      <c r="E172" s="7" t="s">
        <v>445</v>
      </c>
      <c r="F172" s="12">
        <f>HLOOKUP($E$5,'Bourgeoisie bilan'!$F$4:$S$229,166,0)</f>
        <v>0</v>
      </c>
    </row>
    <row r="173" spans="3:6" x14ac:dyDescent="0.25">
      <c r="D173" s="7">
        <v>2067</v>
      </c>
      <c r="E173" s="7" t="s">
        <v>426</v>
      </c>
      <c r="F173" s="12">
        <f>HLOOKUP($E$5,'Bourgeoisie bilan'!$F$4:$S$229,167,0)</f>
        <v>0</v>
      </c>
    </row>
    <row r="174" spans="3:6" x14ac:dyDescent="0.25">
      <c r="D174" s="7">
        <v>2069</v>
      </c>
      <c r="E174" s="7" t="s">
        <v>427</v>
      </c>
      <c r="F174" s="12">
        <f>HLOOKUP($E$5,'Bourgeoisie bilan'!$F$4:$S$229,168,0)</f>
        <v>0</v>
      </c>
    </row>
    <row r="175" spans="3:6" x14ac:dyDescent="0.25">
      <c r="F175" s="12"/>
    </row>
    <row r="176" spans="3:6" x14ac:dyDescent="0.25">
      <c r="C176" s="111">
        <v>208</v>
      </c>
      <c r="D176" s="111"/>
      <c r="E176" s="111" t="s">
        <v>257</v>
      </c>
      <c r="F176" s="112">
        <f>HLOOKUP($E$5,'Bourgeoisie bilan'!$F$4:$S$229,170,0)</f>
        <v>21800</v>
      </c>
    </row>
    <row r="177" spans="3:6" x14ac:dyDescent="0.25">
      <c r="D177" s="7">
        <v>2081</v>
      </c>
      <c r="E177" s="7" t="s">
        <v>428</v>
      </c>
      <c r="F177" s="12">
        <f>HLOOKUP($E$5,'Bourgeoisie bilan'!$F$4:$S$229,171,0)</f>
        <v>0</v>
      </c>
    </row>
    <row r="178" spans="3:6" x14ac:dyDescent="0.25">
      <c r="D178" s="7">
        <v>2082</v>
      </c>
      <c r="E178" s="7" t="s">
        <v>429</v>
      </c>
      <c r="F178" s="12">
        <f>HLOOKUP($E$5,'Bourgeoisie bilan'!$F$4:$S$229,172,0)</f>
        <v>0</v>
      </c>
    </row>
    <row r="179" spans="3:6" x14ac:dyDescent="0.25">
      <c r="D179" s="7">
        <v>2083</v>
      </c>
      <c r="E179" s="7" t="s">
        <v>430</v>
      </c>
      <c r="F179" s="12">
        <f>HLOOKUP($E$5,'Bourgeoisie bilan'!$F$4:$S$229,173,0)</f>
        <v>0</v>
      </c>
    </row>
    <row r="180" spans="3:6" x14ac:dyDescent="0.25">
      <c r="D180" s="7">
        <v>2084</v>
      </c>
      <c r="E180" s="7" t="s">
        <v>431</v>
      </c>
      <c r="F180" s="12">
        <f>HLOOKUP($E$5,'Bourgeoisie bilan'!$F$4:$S$229,174,0)</f>
        <v>0</v>
      </c>
    </row>
    <row r="181" spans="3:6" x14ac:dyDescent="0.25">
      <c r="D181" s="7">
        <v>2085</v>
      </c>
      <c r="E181" s="7" t="s">
        <v>433</v>
      </c>
      <c r="F181" s="12">
        <f>HLOOKUP($E$5,'Bourgeoisie bilan'!$F$4:$S$229,175,0)</f>
        <v>21800</v>
      </c>
    </row>
    <row r="182" spans="3:6" x14ac:dyDescent="0.25">
      <c r="D182" s="7">
        <v>2086</v>
      </c>
      <c r="E182" s="7" t="s">
        <v>432</v>
      </c>
      <c r="F182" s="12">
        <f>HLOOKUP($E$5,'Bourgeoisie bilan'!$F$4:$S$229,176,0)</f>
        <v>0</v>
      </c>
    </row>
    <row r="183" spans="3:6" x14ac:dyDescent="0.25">
      <c r="D183" s="7">
        <v>2087</v>
      </c>
      <c r="E183" s="7" t="s">
        <v>434</v>
      </c>
      <c r="F183" s="12">
        <f>HLOOKUP($E$5,'Bourgeoisie bilan'!$F$4:$S$229,177,0)</f>
        <v>0</v>
      </c>
    </row>
    <row r="184" spans="3:6" x14ac:dyDescent="0.25">
      <c r="D184" s="7">
        <v>2088</v>
      </c>
      <c r="E184" s="7" t="s">
        <v>435</v>
      </c>
      <c r="F184" s="12">
        <f>HLOOKUP($E$5,'Bourgeoisie bilan'!$F$4:$S$229,178,0)</f>
        <v>0</v>
      </c>
    </row>
    <row r="185" spans="3:6" x14ac:dyDescent="0.25">
      <c r="D185" s="7">
        <v>2089</v>
      </c>
      <c r="E185" s="7" t="s">
        <v>436</v>
      </c>
      <c r="F185" s="12">
        <f>HLOOKUP($E$5,'Bourgeoisie bilan'!$F$4:$S$229,179,0)</f>
        <v>0</v>
      </c>
    </row>
    <row r="186" spans="3:6" x14ac:dyDescent="0.25">
      <c r="F186" s="12"/>
    </row>
    <row r="187" spans="3:6" x14ac:dyDescent="0.25">
      <c r="C187" s="111">
        <v>209</v>
      </c>
      <c r="D187" s="111"/>
      <c r="E187" s="111" t="s">
        <v>258</v>
      </c>
      <c r="F187" s="112">
        <f>HLOOKUP($E$5,'Bourgeoisie bilan'!$F$4:$S$229,181,0)</f>
        <v>104120</v>
      </c>
    </row>
    <row r="188" spans="3:6" x14ac:dyDescent="0.25">
      <c r="D188" s="7">
        <v>2090</v>
      </c>
      <c r="E188" s="7" t="s">
        <v>258</v>
      </c>
      <c r="F188" s="12">
        <f>HLOOKUP($E$5,'Bourgeoisie bilan'!$F$4:$S$229,182,0)</f>
        <v>104120</v>
      </c>
    </row>
    <row r="189" spans="3:6" x14ac:dyDescent="0.25">
      <c r="D189" s="7">
        <v>2091</v>
      </c>
      <c r="E189" s="7" t="s">
        <v>437</v>
      </c>
      <c r="F189" s="12">
        <f>HLOOKUP($E$5,'Bourgeoisie bilan'!$F$4:$S$229,183,0)</f>
        <v>0</v>
      </c>
    </row>
    <row r="190" spans="3:6" x14ac:dyDescent="0.25">
      <c r="D190" s="7">
        <v>2092</v>
      </c>
      <c r="E190" s="7" t="s">
        <v>438</v>
      </c>
      <c r="F190" s="12">
        <f>HLOOKUP($E$5,'Bourgeoisie bilan'!$F$4:$S$229,184,0)</f>
        <v>0</v>
      </c>
    </row>
    <row r="191" spans="3:6" x14ac:dyDescent="0.25">
      <c r="D191" s="7">
        <v>2093</v>
      </c>
      <c r="E191" s="7" t="s">
        <v>439</v>
      </c>
      <c r="F191" s="12">
        <f>HLOOKUP($E$5,'Bourgeoisie bilan'!$F$4:$S$229,185,0)</f>
        <v>0</v>
      </c>
    </row>
    <row r="192" spans="3:6" x14ac:dyDescent="0.25">
      <c r="F192" s="12"/>
    </row>
    <row r="193" spans="2:6" x14ac:dyDescent="0.25">
      <c r="B193" s="109">
        <v>29</v>
      </c>
      <c r="C193" s="109"/>
      <c r="D193" s="109"/>
      <c r="E193" s="109" t="s">
        <v>259</v>
      </c>
      <c r="F193" s="12">
        <f>HLOOKUP($E$5,'Bourgeoisie bilan'!$F$4:$S$229,187,0)</f>
        <v>2197678.9300000002</v>
      </c>
    </row>
    <row r="194" spans="2:6" x14ac:dyDescent="0.25">
      <c r="C194" s="111">
        <v>290</v>
      </c>
      <c r="D194" s="111"/>
      <c r="E194" s="111" t="s">
        <v>260</v>
      </c>
      <c r="F194" s="112">
        <f>HLOOKUP($E$5,'Bourgeoisie bilan'!$F$4:$S$229,188,0)</f>
        <v>395505.93</v>
      </c>
    </row>
    <row r="195" spans="2:6" x14ac:dyDescent="0.25">
      <c r="D195" s="7">
        <v>2900</v>
      </c>
      <c r="E195" s="7" t="s">
        <v>260</v>
      </c>
      <c r="F195" s="12">
        <f>HLOOKUP($E$5,'Bourgeoisie bilan'!$F$4:$S$229,189,0)</f>
        <v>395505.93</v>
      </c>
    </row>
    <row r="196" spans="2:6" x14ac:dyDescent="0.25">
      <c r="F196" s="12"/>
    </row>
    <row r="197" spans="2:6" x14ac:dyDescent="0.25">
      <c r="C197" s="111">
        <v>291</v>
      </c>
      <c r="D197" s="111"/>
      <c r="E197" s="111" t="s">
        <v>261</v>
      </c>
      <c r="F197" s="112">
        <f>HLOOKUP($E$5,'Bourgeoisie bilan'!$F$4:$S$229,191,0)</f>
        <v>0</v>
      </c>
    </row>
    <row r="198" spans="2:6" x14ac:dyDescent="0.25">
      <c r="D198" s="7">
        <v>2910</v>
      </c>
      <c r="E198" s="7" t="s">
        <v>261</v>
      </c>
      <c r="F198" s="12">
        <f>HLOOKUP($E$5,'Bourgeoisie bilan'!$F$4:$S$229,192,0)</f>
        <v>0</v>
      </c>
    </row>
    <row r="199" spans="2:6" x14ac:dyDescent="0.25">
      <c r="D199" s="7">
        <v>2911</v>
      </c>
      <c r="E199" s="7" t="s">
        <v>440</v>
      </c>
      <c r="F199" s="12">
        <f>HLOOKUP($E$5,'Bourgeoisie bilan'!$F$4:$S$229,193,0)</f>
        <v>0</v>
      </c>
    </row>
    <row r="200" spans="2:6" x14ac:dyDescent="0.25">
      <c r="F200" s="12"/>
    </row>
    <row r="201" spans="2:6" x14ac:dyDescent="0.25">
      <c r="C201" s="111">
        <v>292</v>
      </c>
      <c r="D201" s="111"/>
      <c r="E201" s="111" t="s">
        <v>262</v>
      </c>
      <c r="F201" s="112">
        <f>HLOOKUP($E$5,'Bourgeoisie bilan'!$F$4:$S$229,195,0)</f>
        <v>0</v>
      </c>
    </row>
    <row r="202" spans="2:6" x14ac:dyDescent="0.25">
      <c r="D202" s="7">
        <v>2920</v>
      </c>
      <c r="E202" s="7" t="s">
        <v>262</v>
      </c>
      <c r="F202" s="12">
        <f>HLOOKUP($E$5,'Bourgeoisie bilan'!$F$4:$S$229,196,0)</f>
        <v>0</v>
      </c>
    </row>
    <row r="203" spans="2:6" x14ac:dyDescent="0.25">
      <c r="F203" s="12"/>
    </row>
    <row r="204" spans="2:6" x14ac:dyDescent="0.25">
      <c r="C204" s="111">
        <v>293</v>
      </c>
      <c r="D204" s="111"/>
      <c r="E204" s="111" t="s">
        <v>263</v>
      </c>
      <c r="F204" s="112">
        <f>HLOOKUP($E$5,'Bourgeoisie bilan'!$F$4:$S$229,198,0)</f>
        <v>0</v>
      </c>
    </row>
    <row r="205" spans="2:6" x14ac:dyDescent="0.25">
      <c r="D205" s="7">
        <v>2930</v>
      </c>
      <c r="E205" s="7" t="s">
        <v>263</v>
      </c>
      <c r="F205" s="12">
        <f>HLOOKUP($E$5,'Bourgeoisie bilan'!$F$4:$S$229,199,0)</f>
        <v>0</v>
      </c>
    </row>
    <row r="206" spans="2:6" x14ac:dyDescent="0.25">
      <c r="F206" s="12"/>
    </row>
    <row r="207" spans="2:6" x14ac:dyDescent="0.25">
      <c r="C207" s="111">
        <v>294</v>
      </c>
      <c r="D207" s="111"/>
      <c r="E207" s="111" t="s">
        <v>264</v>
      </c>
      <c r="F207" s="112">
        <f>HLOOKUP($E$5,'Bourgeoisie bilan'!$F$4:$S$229,201,0)</f>
        <v>0</v>
      </c>
    </row>
    <row r="208" spans="2:6" x14ac:dyDescent="0.25">
      <c r="D208" s="7">
        <v>2940</v>
      </c>
      <c r="E208" s="7" t="s">
        <v>264</v>
      </c>
      <c r="F208" s="12">
        <f>HLOOKUP($E$5,'Bourgeoisie bilan'!$F$4:$S$229,202,0)</f>
        <v>0</v>
      </c>
    </row>
    <row r="209" spans="3:6" x14ac:dyDescent="0.25">
      <c r="F209" s="12"/>
    </row>
    <row r="210" spans="3:6" x14ac:dyDescent="0.25">
      <c r="C210" s="111">
        <v>295</v>
      </c>
      <c r="D210" s="111"/>
      <c r="E210" s="111" t="s">
        <v>265</v>
      </c>
      <c r="F210" s="112">
        <f>HLOOKUP($E$5,'Bourgeoisie bilan'!$F$4:$S$229,204,0)</f>
        <v>0</v>
      </c>
    </row>
    <row r="211" spans="3:6" x14ac:dyDescent="0.25">
      <c r="D211" s="7">
        <v>2950</v>
      </c>
      <c r="E211" s="7" t="s">
        <v>265</v>
      </c>
      <c r="F211" s="12">
        <f>HLOOKUP($E$5,'Bourgeoisie bilan'!$F$4:$S$229,205,0)</f>
        <v>0</v>
      </c>
    </row>
    <row r="212" spans="3:6" x14ac:dyDescent="0.25">
      <c r="F212" s="12"/>
    </row>
    <row r="213" spans="3:6" x14ac:dyDescent="0.25">
      <c r="C213" s="111">
        <v>296</v>
      </c>
      <c r="D213" s="111"/>
      <c r="E213" s="111" t="s">
        <v>266</v>
      </c>
      <c r="F213" s="112">
        <f>HLOOKUP($E$5,'Bourgeoisie bilan'!$F$4:$S$229,207,0)</f>
        <v>0</v>
      </c>
    </row>
    <row r="214" spans="3:6" x14ac:dyDescent="0.25">
      <c r="D214" s="7">
        <v>2960</v>
      </c>
      <c r="E214" s="7" t="s">
        <v>266</v>
      </c>
      <c r="F214" s="12">
        <f>HLOOKUP($E$5,'Bourgeoisie bilan'!$F$4:$S$229,208,0)</f>
        <v>0</v>
      </c>
    </row>
    <row r="215" spans="3:6" x14ac:dyDescent="0.25">
      <c r="F215" s="12"/>
    </row>
    <row r="216" spans="3:6" x14ac:dyDescent="0.25">
      <c r="C216" s="111">
        <v>298</v>
      </c>
      <c r="D216" s="111"/>
      <c r="E216" s="111" t="s">
        <v>267</v>
      </c>
      <c r="F216" s="112">
        <f>HLOOKUP($E$5,'Bourgeoisie bilan'!$F$4:$S$229,210,0)</f>
        <v>0</v>
      </c>
    </row>
    <row r="217" spans="3:6" x14ac:dyDescent="0.25">
      <c r="D217" s="7">
        <v>2980</v>
      </c>
      <c r="E217" s="7" t="s">
        <v>267</v>
      </c>
      <c r="F217" s="12">
        <f>HLOOKUP($E$5,'Bourgeoisie bilan'!$F$4:$S$229,211,0)</f>
        <v>0</v>
      </c>
    </row>
    <row r="218" spans="3:6" x14ac:dyDescent="0.25">
      <c r="F218" s="12"/>
    </row>
    <row r="219" spans="3:6" x14ac:dyDescent="0.25">
      <c r="C219" s="111">
        <v>299</v>
      </c>
      <c r="D219" s="111"/>
      <c r="E219" s="111" t="s">
        <v>441</v>
      </c>
      <c r="F219" s="112">
        <f>HLOOKUP($E$5,'Bourgeoisie bilan'!$F$4:$S$229,213,0)</f>
        <v>1802173</v>
      </c>
    </row>
    <row r="220" spans="3:6" x14ac:dyDescent="0.25">
      <c r="D220" s="7">
        <v>2990</v>
      </c>
      <c r="E220" s="7" t="s">
        <v>441</v>
      </c>
      <c r="F220" s="12">
        <f>HLOOKUP($E$5,'Bourgeoisie bilan'!$F$4:$S$229,214,0)</f>
        <v>13585.31</v>
      </c>
    </row>
    <row r="221" spans="3:6" x14ac:dyDescent="0.25">
      <c r="D221" s="7">
        <v>2999</v>
      </c>
      <c r="E221" s="7" t="s">
        <v>842</v>
      </c>
      <c r="F221" s="12">
        <f>HLOOKUP($E$5,'Bourgeoisie bilan'!$F$4:$S$229,215,0)</f>
        <v>1788587.69</v>
      </c>
    </row>
    <row r="222" spans="3:6" x14ac:dyDescent="0.25">
      <c r="F222" s="12"/>
    </row>
    <row r="223" spans="3:6" x14ac:dyDescent="0.25">
      <c r="C223" s="114"/>
      <c r="D223" s="114"/>
      <c r="E223" s="114" t="s">
        <v>580</v>
      </c>
      <c r="F223" s="12">
        <f>HLOOKUP($E$5,'Bourgeoisie bilan'!$F$4:$S$229,217,0)</f>
        <v>0</v>
      </c>
    </row>
    <row r="224" spans="3:6" x14ac:dyDescent="0.25">
      <c r="D224" s="7">
        <v>290</v>
      </c>
      <c r="E224" s="7" t="s">
        <v>579</v>
      </c>
      <c r="F224" s="12">
        <f>HLOOKUP($E$5,'Bourgeoisie bilan'!$F$4:$S$229,218,0)</f>
        <v>0</v>
      </c>
    </row>
    <row r="225" spans="4:6" x14ac:dyDescent="0.25">
      <c r="D225" s="7">
        <v>2990</v>
      </c>
      <c r="E225" s="7" t="s">
        <v>583</v>
      </c>
      <c r="F225" s="12">
        <f>HLOOKUP($E$5,'Bourgeoisie bilan'!$F$4:$S$229,219,0)</f>
        <v>13585.31</v>
      </c>
    </row>
    <row r="226" spans="4:6" x14ac:dyDescent="0.25">
      <c r="F226" s="12"/>
    </row>
    <row r="227" spans="4:6" x14ac:dyDescent="0.25">
      <c r="E227" s="6" t="s">
        <v>582</v>
      </c>
      <c r="F227" s="12">
        <f>HLOOKUP($E$5,'Bourgeoisie bilan'!$F$4:$S$229,221,0)</f>
        <v>13585.31</v>
      </c>
    </row>
    <row r="228" spans="4:6" x14ac:dyDescent="0.25">
      <c r="F228" s="12">
        <f>HLOOKUP($E$5,'Bourgeoisie bilan'!$F$4:$S$229,222,0)</f>
        <v>0</v>
      </c>
    </row>
    <row r="229" spans="4:6" x14ac:dyDescent="0.25">
      <c r="E229" s="77" t="s">
        <v>581</v>
      </c>
      <c r="F229" s="12">
        <f>HLOOKUP($E$5,'Bourgeoisie bilan'!$F$4:$S$229,223,0)</f>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E00-000000000000}">
          <x14:formula1>
            <xm:f>'Bourgeoisie bilan'!$F$4:$S$4</xm:f>
          </x14:formula1>
          <xm:sqref>E5</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00B0F0"/>
  </sheetPr>
  <dimension ref="A2:P39"/>
  <sheetViews>
    <sheetView workbookViewId="0">
      <selection activeCell="B6" sqref="B6"/>
    </sheetView>
  </sheetViews>
  <sheetFormatPr baseColWidth="10" defaultColWidth="11.44140625" defaultRowHeight="13.8" x14ac:dyDescent="0.25"/>
  <cols>
    <col min="1" max="1" width="5.6640625" style="7" customWidth="1"/>
    <col min="2" max="2" width="50.33203125" style="7" customWidth="1"/>
    <col min="3" max="16" width="19.88671875" style="7" customWidth="1"/>
    <col min="17" max="16384" width="11.44140625" style="7"/>
  </cols>
  <sheetData>
    <row r="2" spans="1:16" ht="21" x14ac:dyDescent="0.4">
      <c r="A2" s="79" t="s">
        <v>822</v>
      </c>
      <c r="B2" s="6"/>
    </row>
    <row r="3" spans="1:16" ht="15" customHeight="1" x14ac:dyDescent="0.25">
      <c r="A3" s="119" t="s">
        <v>741</v>
      </c>
      <c r="B3" s="6"/>
    </row>
    <row r="4" spans="1:16" ht="15" customHeight="1" x14ac:dyDescent="0.25">
      <c r="A4" s="6"/>
      <c r="B4" s="6"/>
    </row>
    <row r="5" spans="1:16" ht="15" customHeight="1" x14ac:dyDescent="0.4">
      <c r="A5" s="5"/>
      <c r="B5" s="6"/>
    </row>
    <row r="6" spans="1:16" x14ac:dyDescent="0.25">
      <c r="A6" s="120"/>
      <c r="C6" s="8"/>
      <c r="D6" s="8"/>
      <c r="E6" s="8"/>
      <c r="F6" s="8"/>
      <c r="G6" s="8"/>
      <c r="H6" s="8"/>
      <c r="I6" s="8"/>
      <c r="J6" s="8"/>
      <c r="K6" s="8"/>
      <c r="L6" s="8"/>
      <c r="M6" s="8"/>
      <c r="N6" s="8"/>
      <c r="O6" s="8"/>
      <c r="P6" s="8"/>
    </row>
    <row r="7" spans="1:16" x14ac:dyDescent="0.25">
      <c r="C7" s="81" t="s">
        <v>56</v>
      </c>
      <c r="D7" s="81" t="s">
        <v>18</v>
      </c>
      <c r="E7" s="81" t="s">
        <v>57</v>
      </c>
      <c r="F7" s="81" t="s">
        <v>735</v>
      </c>
      <c r="G7" s="81" t="s">
        <v>33</v>
      </c>
      <c r="H7" s="81" t="s">
        <v>28</v>
      </c>
      <c r="I7" s="81" t="s">
        <v>736</v>
      </c>
      <c r="J7" s="81" t="s">
        <v>16</v>
      </c>
      <c r="K7" s="81" t="s">
        <v>737</v>
      </c>
      <c r="L7" s="81" t="s">
        <v>738</v>
      </c>
      <c r="M7" s="81" t="s">
        <v>59</v>
      </c>
      <c r="N7" s="81" t="s">
        <v>739</v>
      </c>
      <c r="O7" s="81" t="s">
        <v>740</v>
      </c>
      <c r="P7" s="81" t="s">
        <v>65</v>
      </c>
    </row>
    <row r="8" spans="1:16" x14ac:dyDescent="0.25">
      <c r="A8" s="7">
        <v>10</v>
      </c>
      <c r="B8" s="7" t="s">
        <v>239</v>
      </c>
      <c r="C8" s="15">
        <f>'Bourgeoisie bilan'!F6</f>
        <v>8418060.4499999993</v>
      </c>
      <c r="D8" s="15">
        <f>'Bourgeoisie bilan'!G6</f>
        <v>96768.22</v>
      </c>
      <c r="E8" s="15">
        <f>'Bourgeoisie bilan'!H6</f>
        <v>437745.91999999998</v>
      </c>
      <c r="F8" s="15">
        <f>'Bourgeoisie bilan'!I6</f>
        <v>302938.13999999996</v>
      </c>
      <c r="G8" s="15">
        <f>'Bourgeoisie bilan'!J6</f>
        <v>1313491.53</v>
      </c>
      <c r="H8" s="15">
        <f>'Bourgeoisie bilan'!K6</f>
        <v>0</v>
      </c>
      <c r="I8" s="15">
        <f>'Bourgeoisie bilan'!L6</f>
        <v>481303.72000000003</v>
      </c>
      <c r="J8" s="15">
        <f>'Bourgeoisie bilan'!M6</f>
        <v>1788939.24</v>
      </c>
      <c r="K8" s="15">
        <f>'Bourgeoisie bilan'!N6</f>
        <v>0</v>
      </c>
      <c r="L8" s="15">
        <f>'Bourgeoisie bilan'!O6</f>
        <v>306734.63</v>
      </c>
      <c r="M8" s="15">
        <f>'Bourgeoisie bilan'!P6</f>
        <v>1400029.81</v>
      </c>
      <c r="N8" s="15">
        <f>'Bourgeoisie bilan'!Q6</f>
        <v>899639.31</v>
      </c>
      <c r="O8" s="15">
        <f>'Bourgeoisie bilan'!R6</f>
        <v>1013324.9199999999</v>
      </c>
      <c r="P8" s="15">
        <f>SUM(C8:O8)</f>
        <v>16458975.890000002</v>
      </c>
    </row>
    <row r="9" spans="1:16" x14ac:dyDescent="0.25">
      <c r="C9" s="15"/>
      <c r="D9" s="15"/>
      <c r="E9" s="15"/>
      <c r="F9" s="15"/>
      <c r="G9" s="15"/>
      <c r="H9" s="15"/>
      <c r="I9" s="15"/>
      <c r="J9" s="15"/>
      <c r="K9" s="15"/>
      <c r="L9" s="15"/>
      <c r="M9" s="15"/>
      <c r="N9" s="15"/>
      <c r="O9" s="15"/>
      <c r="P9" s="15"/>
    </row>
    <row r="10" spans="1:16" x14ac:dyDescent="0.25">
      <c r="A10" s="7">
        <v>20</v>
      </c>
      <c r="B10" s="7" t="s">
        <v>251</v>
      </c>
      <c r="C10" s="15">
        <f>'Bourgeoisie bilan'!F122</f>
        <v>3065539.2</v>
      </c>
      <c r="D10" s="15">
        <f>'Bourgeoisie bilan'!G122</f>
        <v>173532</v>
      </c>
      <c r="E10" s="15">
        <f>'Bourgeoisie bilan'!H122</f>
        <v>289435.40000000002</v>
      </c>
      <c r="F10" s="15">
        <f>'Bourgeoisie bilan'!I122</f>
        <v>14.1</v>
      </c>
      <c r="G10" s="15">
        <f>'Bourgeoisie bilan'!J122</f>
        <v>608512.4</v>
      </c>
      <c r="H10" s="15">
        <f>'Bourgeoisie bilan'!K122</f>
        <v>0</v>
      </c>
      <c r="I10" s="15">
        <f>'Bourgeoisie bilan'!L122</f>
        <v>152101.5</v>
      </c>
      <c r="J10" s="15">
        <f>'Bourgeoisie bilan'!M122</f>
        <v>49156.74</v>
      </c>
      <c r="K10" s="15">
        <f>'Bourgeoisie bilan'!N122</f>
        <v>0</v>
      </c>
      <c r="L10" s="15">
        <f>'Bourgeoisie bilan'!O122</f>
        <v>0</v>
      </c>
      <c r="M10" s="15">
        <f>'Bourgeoisie bilan'!P122</f>
        <v>33530.800000000003</v>
      </c>
      <c r="N10" s="15">
        <f>'Bourgeoisie bilan'!Q122</f>
        <v>462811.83</v>
      </c>
      <c r="O10" s="15">
        <f>'Bourgeoisie bilan'!R122</f>
        <v>42233.35</v>
      </c>
      <c r="P10" s="15">
        <f>SUM(C10:O10)</f>
        <v>4876867.3199999994</v>
      </c>
    </row>
    <row r="11" spans="1:16" x14ac:dyDescent="0.25">
      <c r="C11" s="15"/>
      <c r="D11" s="15"/>
      <c r="E11" s="15"/>
      <c r="F11" s="15"/>
      <c r="G11" s="15"/>
      <c r="H11" s="15"/>
      <c r="I11" s="15"/>
      <c r="J11" s="15"/>
      <c r="K11" s="15"/>
      <c r="L11" s="15"/>
      <c r="M11" s="15"/>
      <c r="N11" s="15"/>
      <c r="O11" s="15"/>
      <c r="P11" s="15"/>
    </row>
    <row r="12" spans="1:16" x14ac:dyDescent="0.25">
      <c r="A12" s="7">
        <v>200</v>
      </c>
      <c r="B12" s="7" t="s">
        <v>448</v>
      </c>
      <c r="C12" s="15">
        <f>'Bourgeoisie bilan'!F123</f>
        <v>64844.45</v>
      </c>
      <c r="D12" s="15">
        <f>'Bourgeoisie bilan'!G123</f>
        <v>1800</v>
      </c>
      <c r="E12" s="15">
        <f>'Bourgeoisie bilan'!H123</f>
        <v>0</v>
      </c>
      <c r="F12" s="15">
        <f>'Bourgeoisie bilan'!I123</f>
        <v>0</v>
      </c>
      <c r="G12" s="15">
        <f>'Bourgeoisie bilan'!J123</f>
        <v>50000</v>
      </c>
      <c r="H12" s="15">
        <f>'Bourgeoisie bilan'!K123</f>
        <v>0</v>
      </c>
      <c r="I12" s="15">
        <f>'Bourgeoisie bilan'!L123</f>
        <v>0</v>
      </c>
      <c r="J12" s="15">
        <f>'Bourgeoisie bilan'!M123</f>
        <v>0</v>
      </c>
      <c r="K12" s="15">
        <f>'Bourgeoisie bilan'!N123</f>
        <v>0</v>
      </c>
      <c r="L12" s="15">
        <f>'Bourgeoisie bilan'!O123</f>
        <v>0</v>
      </c>
      <c r="M12" s="15">
        <f>'Bourgeoisie bilan'!P123</f>
        <v>0</v>
      </c>
      <c r="N12" s="15">
        <f>'Bourgeoisie bilan'!Q123</f>
        <v>-22.67</v>
      </c>
      <c r="O12" s="15">
        <f>'Bourgeoisie bilan'!R123</f>
        <v>33000</v>
      </c>
      <c r="P12" s="15">
        <f>SUM(C12:O12)</f>
        <v>149621.78</v>
      </c>
    </row>
    <row r="13" spans="1:16" x14ac:dyDescent="0.25">
      <c r="C13" s="15"/>
      <c r="D13" s="15"/>
      <c r="E13" s="15"/>
      <c r="F13" s="15"/>
      <c r="G13" s="15"/>
      <c r="H13" s="15"/>
      <c r="I13" s="15"/>
      <c r="J13" s="15"/>
      <c r="K13" s="15"/>
      <c r="L13" s="15"/>
      <c r="M13" s="15"/>
      <c r="N13" s="15"/>
      <c r="O13" s="15"/>
      <c r="P13" s="15"/>
    </row>
    <row r="14" spans="1:16" x14ac:dyDescent="0.25">
      <c r="A14" s="7">
        <v>201</v>
      </c>
      <c r="B14" s="7" t="s">
        <v>253</v>
      </c>
      <c r="C14" s="15">
        <f>'Bourgeoisie bilan'!F133</f>
        <v>22000</v>
      </c>
      <c r="D14" s="15">
        <f>'Bourgeoisie bilan'!G133</f>
        <v>0</v>
      </c>
      <c r="E14" s="15">
        <f>'Bourgeoisie bilan'!H133</f>
        <v>11000</v>
      </c>
      <c r="F14" s="15">
        <f>'Bourgeoisie bilan'!I133</f>
        <v>0</v>
      </c>
      <c r="G14" s="15">
        <f>'Bourgeoisie bilan'!J133</f>
        <v>0</v>
      </c>
      <c r="H14" s="15">
        <f>'Bourgeoisie bilan'!K133</f>
        <v>0</v>
      </c>
      <c r="I14" s="15">
        <f>'Bourgeoisie bilan'!L133</f>
        <v>0</v>
      </c>
      <c r="J14" s="15">
        <f>'Bourgeoisie bilan'!M133</f>
        <v>0</v>
      </c>
      <c r="K14" s="15">
        <f>'Bourgeoisie bilan'!N133</f>
        <v>0</v>
      </c>
      <c r="L14" s="15">
        <f>'Bourgeoisie bilan'!O133</f>
        <v>0</v>
      </c>
      <c r="M14" s="15">
        <f>'Bourgeoisie bilan'!P133</f>
        <v>0</v>
      </c>
      <c r="N14" s="15">
        <f>'Bourgeoisie bilan'!Q133</f>
        <v>0</v>
      </c>
      <c r="O14" s="15">
        <f>'Bourgeoisie bilan'!R133</f>
        <v>0</v>
      </c>
      <c r="P14" s="15">
        <f>SUM(C14:O14)</f>
        <v>33000</v>
      </c>
    </row>
    <row r="15" spans="1:16" x14ac:dyDescent="0.25">
      <c r="C15" s="15"/>
      <c r="D15" s="15"/>
      <c r="E15" s="15"/>
      <c r="F15" s="15"/>
      <c r="G15" s="15"/>
      <c r="H15" s="15"/>
      <c r="I15" s="15"/>
      <c r="J15" s="15"/>
      <c r="K15" s="15"/>
      <c r="L15" s="15"/>
      <c r="M15" s="15"/>
      <c r="N15" s="15"/>
      <c r="O15" s="15"/>
      <c r="P15" s="15"/>
    </row>
    <row r="16" spans="1:16" x14ac:dyDescent="0.25">
      <c r="A16" s="7">
        <v>206</v>
      </c>
      <c r="B16" s="7" t="s">
        <v>256</v>
      </c>
      <c r="C16" s="15">
        <f>'Bourgeoisie bilan'!F165</f>
        <v>2892000</v>
      </c>
      <c r="D16" s="15">
        <f>'Bourgeoisie bilan'!G165</f>
        <v>171732</v>
      </c>
      <c r="E16" s="15">
        <f>'Bourgeoisie bilan'!H165</f>
        <v>258425.60000000001</v>
      </c>
      <c r="F16" s="15">
        <f>'Bourgeoisie bilan'!I165</f>
        <v>0</v>
      </c>
      <c r="G16" s="15">
        <f>'Bourgeoisie bilan'!J165</f>
        <v>367400</v>
      </c>
      <c r="H16" s="15">
        <f>'Bourgeoisie bilan'!K165</f>
        <v>0</v>
      </c>
      <c r="I16" s="15">
        <f>'Bourgeoisie bilan'!L165</f>
        <v>130500</v>
      </c>
      <c r="J16" s="15">
        <f>'Bourgeoisie bilan'!M165</f>
        <v>0</v>
      </c>
      <c r="K16" s="15">
        <f>'Bourgeoisie bilan'!N165</f>
        <v>0</v>
      </c>
      <c r="L16" s="15">
        <f>'Bourgeoisie bilan'!O165</f>
        <v>0</v>
      </c>
      <c r="M16" s="15">
        <f>'Bourgeoisie bilan'!P165</f>
        <v>0</v>
      </c>
      <c r="N16" s="15">
        <f>'Bourgeoisie bilan'!Q165</f>
        <v>425740</v>
      </c>
      <c r="O16" s="15">
        <f>'Bourgeoisie bilan'!R165</f>
        <v>0</v>
      </c>
      <c r="P16" s="15">
        <f>SUM(C16:O16)</f>
        <v>4245797.5999999996</v>
      </c>
    </row>
    <row r="17" spans="1:16" x14ac:dyDescent="0.25">
      <c r="C17" s="15"/>
      <c r="D17" s="15"/>
      <c r="E17" s="15"/>
      <c r="F17" s="15"/>
      <c r="G17" s="15"/>
      <c r="H17" s="15"/>
      <c r="I17" s="15"/>
      <c r="J17" s="15"/>
      <c r="K17" s="15"/>
      <c r="L17" s="15"/>
      <c r="M17" s="15"/>
      <c r="N17" s="15"/>
      <c r="O17" s="15"/>
      <c r="P17" s="15"/>
    </row>
    <row r="18" spans="1:16" x14ac:dyDescent="0.25">
      <c r="A18" s="7">
        <v>2016</v>
      </c>
      <c r="B18" s="7" t="s">
        <v>268</v>
      </c>
      <c r="C18" s="15">
        <f>'Bourgeoisie bilan'!F140</f>
        <v>0</v>
      </c>
      <c r="D18" s="15">
        <f>'Bourgeoisie bilan'!G140</f>
        <v>0</v>
      </c>
      <c r="E18" s="15">
        <f>'Bourgeoisie bilan'!H140</f>
        <v>0</v>
      </c>
      <c r="F18" s="15">
        <f>'Bourgeoisie bilan'!I140</f>
        <v>0</v>
      </c>
      <c r="G18" s="15">
        <f>'Bourgeoisie bilan'!J140</f>
        <v>0</v>
      </c>
      <c r="H18" s="15">
        <f>'Bourgeoisie bilan'!K140</f>
        <v>0</v>
      </c>
      <c r="I18" s="15">
        <f>'Bourgeoisie bilan'!L140</f>
        <v>0</v>
      </c>
      <c r="J18" s="15">
        <f>'Bourgeoisie bilan'!M140</f>
        <v>0</v>
      </c>
      <c r="K18" s="15">
        <f>'Bourgeoisie bilan'!N140</f>
        <v>0</v>
      </c>
      <c r="L18" s="15">
        <f>'Bourgeoisie bilan'!O140</f>
        <v>0</v>
      </c>
      <c r="M18" s="15">
        <f>'Bourgeoisie bilan'!P140</f>
        <v>0</v>
      </c>
      <c r="N18" s="15">
        <f>'Bourgeoisie bilan'!Q140</f>
        <v>0</v>
      </c>
      <c r="O18" s="15">
        <f>'Bourgeoisie bilan'!R140</f>
        <v>0</v>
      </c>
      <c r="P18" s="15">
        <f>SUM(C18:O18)</f>
        <v>0</v>
      </c>
    </row>
    <row r="19" spans="1:16" x14ac:dyDescent="0.25">
      <c r="C19" s="15"/>
      <c r="D19" s="15"/>
      <c r="E19" s="15"/>
      <c r="F19" s="15"/>
      <c r="G19" s="15"/>
      <c r="H19" s="15"/>
      <c r="I19" s="15"/>
      <c r="J19" s="15"/>
      <c r="K19" s="15"/>
      <c r="L19" s="15"/>
      <c r="M19" s="15"/>
      <c r="N19" s="15"/>
      <c r="O19" s="15"/>
      <c r="P19" s="15"/>
    </row>
    <row r="20" spans="1:16" x14ac:dyDescent="0.25">
      <c r="C20" s="15"/>
      <c r="D20" s="15"/>
      <c r="E20" s="15"/>
      <c r="F20" s="15"/>
      <c r="G20" s="15"/>
      <c r="H20" s="15"/>
      <c r="I20" s="15"/>
      <c r="J20" s="15"/>
      <c r="K20" s="15"/>
      <c r="L20" s="15"/>
      <c r="M20" s="15"/>
      <c r="N20" s="15"/>
      <c r="O20" s="15"/>
      <c r="P20" s="15"/>
    </row>
    <row r="21" spans="1:16" x14ac:dyDescent="0.25">
      <c r="B21" s="121" t="s">
        <v>563</v>
      </c>
      <c r="C21" s="122">
        <f>C12+C14+C16-C18</f>
        <v>2978844.45</v>
      </c>
      <c r="D21" s="122">
        <f t="shared" ref="D21:O21" si="0">D12+D14+D16-D18</f>
        <v>173532</v>
      </c>
      <c r="E21" s="122">
        <f t="shared" si="0"/>
        <v>269425.59999999998</v>
      </c>
      <c r="F21" s="122">
        <f t="shared" si="0"/>
        <v>0</v>
      </c>
      <c r="G21" s="122">
        <f t="shared" si="0"/>
        <v>417400</v>
      </c>
      <c r="H21" s="122">
        <f t="shared" si="0"/>
        <v>0</v>
      </c>
      <c r="I21" s="122">
        <f t="shared" si="0"/>
        <v>130500</v>
      </c>
      <c r="J21" s="122">
        <f t="shared" si="0"/>
        <v>0</v>
      </c>
      <c r="K21" s="122">
        <f t="shared" si="0"/>
        <v>0</v>
      </c>
      <c r="L21" s="122">
        <f t="shared" si="0"/>
        <v>0</v>
      </c>
      <c r="M21" s="122">
        <f t="shared" si="0"/>
        <v>0</v>
      </c>
      <c r="N21" s="122">
        <f t="shared" si="0"/>
        <v>425717.33</v>
      </c>
      <c r="O21" s="122">
        <f t="shared" si="0"/>
        <v>33000</v>
      </c>
      <c r="P21" s="122">
        <f>SUM(C21:O21)</f>
        <v>4428419.38</v>
      </c>
    </row>
    <row r="22" spans="1:16" x14ac:dyDescent="0.25">
      <c r="B22" s="6"/>
      <c r="C22" s="73"/>
      <c r="D22" s="73"/>
      <c r="E22" s="73"/>
      <c r="F22" s="73"/>
      <c r="G22" s="73"/>
      <c r="H22" s="73"/>
      <c r="I22" s="73"/>
      <c r="J22" s="73"/>
      <c r="K22" s="73"/>
      <c r="L22" s="73"/>
      <c r="M22" s="73"/>
      <c r="N22" s="73"/>
      <c r="O22" s="73"/>
      <c r="P22" s="73"/>
    </row>
    <row r="23" spans="1:16" x14ac:dyDescent="0.25">
      <c r="B23" s="121" t="s">
        <v>495</v>
      </c>
      <c r="C23" s="122">
        <f t="shared" ref="C23:O23" si="1">C10-C8</f>
        <v>-5352521.2499999991</v>
      </c>
      <c r="D23" s="122">
        <f t="shared" si="1"/>
        <v>76763.78</v>
      </c>
      <c r="E23" s="122">
        <f t="shared" si="1"/>
        <v>-148310.51999999996</v>
      </c>
      <c r="F23" s="122">
        <f t="shared" si="1"/>
        <v>-302924.03999999998</v>
      </c>
      <c r="G23" s="122">
        <f t="shared" si="1"/>
        <v>-704979.13</v>
      </c>
      <c r="H23" s="122">
        <f t="shared" si="1"/>
        <v>0</v>
      </c>
      <c r="I23" s="122">
        <f t="shared" si="1"/>
        <v>-329202.22000000003</v>
      </c>
      <c r="J23" s="122">
        <f t="shared" si="1"/>
        <v>-1739782.5</v>
      </c>
      <c r="K23" s="122">
        <f t="shared" si="1"/>
        <v>0</v>
      </c>
      <c r="L23" s="122">
        <f t="shared" si="1"/>
        <v>-306734.63</v>
      </c>
      <c r="M23" s="122">
        <f t="shared" si="1"/>
        <v>-1366499.01</v>
      </c>
      <c r="N23" s="122">
        <f t="shared" si="1"/>
        <v>-436827.48000000004</v>
      </c>
      <c r="O23" s="122">
        <f t="shared" si="1"/>
        <v>-971091.57</v>
      </c>
      <c r="P23" s="122">
        <f>SUM(C23:O23)</f>
        <v>-11582108.57</v>
      </c>
    </row>
    <row r="24" spans="1:16" x14ac:dyDescent="0.25">
      <c r="C24" s="15"/>
      <c r="D24" s="15"/>
      <c r="E24" s="15"/>
      <c r="F24" s="15"/>
      <c r="G24" s="15"/>
      <c r="H24" s="15"/>
      <c r="I24" s="15"/>
      <c r="J24" s="15"/>
      <c r="K24" s="15"/>
      <c r="L24" s="15"/>
      <c r="M24" s="15"/>
      <c r="N24" s="15"/>
      <c r="O24" s="15"/>
      <c r="P24" s="15"/>
    </row>
    <row r="25" spans="1:16" x14ac:dyDescent="0.25">
      <c r="C25" s="15"/>
      <c r="D25" s="15"/>
      <c r="E25" s="15"/>
      <c r="F25" s="15"/>
      <c r="G25" s="15"/>
      <c r="H25" s="15"/>
      <c r="I25" s="15"/>
      <c r="J25" s="15"/>
      <c r="K25" s="15"/>
      <c r="L25" s="15"/>
      <c r="M25" s="15"/>
      <c r="N25" s="15"/>
      <c r="O25" s="15"/>
      <c r="P25" s="15"/>
    </row>
    <row r="26" spans="1:16" x14ac:dyDescent="0.25">
      <c r="C26" s="15"/>
      <c r="D26" s="15"/>
      <c r="E26" s="15"/>
      <c r="F26" s="15"/>
      <c r="G26" s="15"/>
      <c r="H26" s="15"/>
      <c r="I26" s="15"/>
      <c r="J26" s="15"/>
      <c r="K26" s="15"/>
      <c r="L26" s="15"/>
      <c r="M26" s="15"/>
      <c r="N26" s="15"/>
      <c r="O26" s="15"/>
      <c r="P26" s="15"/>
    </row>
    <row r="27" spans="1:16" x14ac:dyDescent="0.25">
      <c r="C27" s="15"/>
      <c r="D27" s="15"/>
      <c r="E27" s="15"/>
      <c r="F27" s="15"/>
      <c r="G27" s="15"/>
      <c r="H27" s="15"/>
      <c r="I27" s="15"/>
      <c r="J27" s="15"/>
      <c r="K27" s="15"/>
      <c r="L27" s="15"/>
      <c r="M27" s="15"/>
      <c r="N27" s="15"/>
      <c r="O27" s="15"/>
      <c r="P27" s="15"/>
    </row>
    <row r="28" spans="1:16" x14ac:dyDescent="0.25">
      <c r="C28" s="15"/>
      <c r="D28" s="15"/>
      <c r="E28" s="15"/>
      <c r="F28" s="15"/>
      <c r="G28" s="15"/>
      <c r="H28" s="15"/>
      <c r="I28" s="15"/>
      <c r="J28" s="15"/>
      <c r="K28" s="15"/>
      <c r="L28" s="15"/>
      <c r="M28" s="15"/>
      <c r="N28" s="15"/>
      <c r="O28" s="15"/>
      <c r="P28" s="15"/>
    </row>
    <row r="29" spans="1:16" x14ac:dyDescent="0.25">
      <c r="C29" s="15"/>
      <c r="D29" s="15"/>
      <c r="E29" s="15"/>
      <c r="F29" s="15"/>
      <c r="G29" s="15"/>
      <c r="H29" s="15"/>
      <c r="I29" s="15"/>
      <c r="J29" s="15"/>
      <c r="K29" s="15"/>
      <c r="L29" s="15"/>
      <c r="M29" s="15"/>
      <c r="N29" s="15"/>
      <c r="O29" s="15"/>
      <c r="P29" s="15"/>
    </row>
    <row r="30" spans="1:16" x14ac:dyDescent="0.25">
      <c r="C30" s="15"/>
      <c r="D30" s="15"/>
      <c r="E30" s="15"/>
      <c r="F30" s="15"/>
      <c r="G30" s="15"/>
      <c r="H30" s="15"/>
      <c r="I30" s="15"/>
      <c r="J30" s="15"/>
      <c r="K30" s="15"/>
      <c r="L30" s="15"/>
      <c r="M30" s="15"/>
      <c r="N30" s="15"/>
      <c r="O30" s="15"/>
      <c r="P30" s="15"/>
    </row>
    <row r="31" spans="1:16" x14ac:dyDescent="0.25">
      <c r="C31" s="15"/>
      <c r="D31" s="15"/>
      <c r="E31" s="15"/>
      <c r="F31" s="15"/>
      <c r="G31" s="15"/>
      <c r="H31" s="15"/>
      <c r="I31" s="15"/>
      <c r="J31" s="15"/>
      <c r="K31" s="15"/>
      <c r="L31" s="15"/>
      <c r="M31" s="15"/>
      <c r="N31" s="15"/>
      <c r="O31" s="15"/>
      <c r="P31" s="15"/>
    </row>
    <row r="32" spans="1:16" x14ac:dyDescent="0.25">
      <c r="C32" s="15"/>
      <c r="D32" s="15"/>
      <c r="E32" s="15"/>
      <c r="F32" s="15"/>
      <c r="G32" s="15"/>
      <c r="H32" s="15"/>
      <c r="I32" s="15"/>
      <c r="J32" s="15"/>
      <c r="K32" s="15"/>
      <c r="L32" s="15"/>
      <c r="M32" s="15"/>
      <c r="N32" s="15"/>
      <c r="O32" s="15"/>
      <c r="P32" s="15"/>
    </row>
    <row r="33" spans="3:16" x14ac:dyDescent="0.25">
      <c r="C33" s="15"/>
      <c r="D33" s="15"/>
      <c r="E33" s="15"/>
      <c r="F33" s="15"/>
      <c r="G33" s="15"/>
      <c r="H33" s="15"/>
      <c r="I33" s="15"/>
      <c r="J33" s="15"/>
      <c r="K33" s="15"/>
      <c r="L33" s="15"/>
      <c r="M33" s="15"/>
      <c r="N33" s="15"/>
      <c r="O33" s="15"/>
      <c r="P33" s="15"/>
    </row>
    <row r="34" spans="3:16" x14ac:dyDescent="0.25">
      <c r="C34" s="15"/>
      <c r="D34" s="15"/>
      <c r="E34" s="15"/>
      <c r="F34" s="15"/>
      <c r="G34" s="15"/>
      <c r="H34" s="15"/>
      <c r="I34" s="15"/>
      <c r="J34" s="15"/>
      <c r="K34" s="15"/>
      <c r="L34" s="15"/>
      <c r="M34" s="15"/>
      <c r="N34" s="15"/>
      <c r="O34" s="15"/>
      <c r="P34" s="15"/>
    </row>
    <row r="35" spans="3:16" x14ac:dyDescent="0.25">
      <c r="C35" s="15"/>
      <c r="D35" s="15"/>
      <c r="E35" s="15"/>
      <c r="F35" s="15"/>
      <c r="G35" s="15"/>
      <c r="H35" s="15"/>
      <c r="I35" s="15"/>
      <c r="J35" s="15"/>
      <c r="K35" s="15"/>
      <c r="L35" s="15"/>
      <c r="M35" s="15"/>
      <c r="N35" s="15"/>
      <c r="O35" s="15"/>
      <c r="P35" s="15"/>
    </row>
    <row r="36" spans="3:16" x14ac:dyDescent="0.25">
      <c r="C36" s="15"/>
      <c r="D36" s="15"/>
      <c r="E36" s="15"/>
      <c r="F36" s="15"/>
      <c r="G36" s="15"/>
      <c r="H36" s="15"/>
      <c r="I36" s="15"/>
      <c r="J36" s="15"/>
      <c r="K36" s="15"/>
      <c r="L36" s="15"/>
      <c r="M36" s="15"/>
      <c r="N36" s="15"/>
      <c r="O36" s="15"/>
      <c r="P36" s="15"/>
    </row>
    <row r="37" spans="3:16" x14ac:dyDescent="0.25">
      <c r="C37" s="15"/>
      <c r="D37" s="15"/>
      <c r="E37" s="15"/>
      <c r="F37" s="15"/>
      <c r="G37" s="15"/>
      <c r="H37" s="15"/>
      <c r="I37" s="15"/>
      <c r="J37" s="15"/>
      <c r="K37" s="15"/>
      <c r="L37" s="15"/>
      <c r="M37" s="15"/>
      <c r="N37" s="15"/>
      <c r="O37" s="15"/>
      <c r="P37" s="15"/>
    </row>
    <row r="38" spans="3:16" x14ac:dyDescent="0.25">
      <c r="C38" s="15"/>
      <c r="D38" s="15"/>
      <c r="E38" s="15"/>
      <c r="F38" s="15"/>
      <c r="G38" s="15"/>
      <c r="H38" s="15"/>
      <c r="I38" s="15"/>
      <c r="J38" s="15"/>
      <c r="K38" s="15"/>
      <c r="L38" s="15"/>
      <c r="M38" s="15"/>
      <c r="N38" s="15"/>
      <c r="O38" s="15"/>
      <c r="P38" s="15"/>
    </row>
    <row r="39" spans="3:16" x14ac:dyDescent="0.25">
      <c r="C39" s="15"/>
      <c r="D39" s="15"/>
      <c r="E39" s="15"/>
      <c r="F39" s="15"/>
      <c r="G39" s="15"/>
      <c r="H39" s="15"/>
      <c r="I39" s="15"/>
      <c r="J39" s="15"/>
      <c r="K39" s="15"/>
      <c r="L39" s="15"/>
      <c r="M39" s="15"/>
      <c r="N39" s="15"/>
      <c r="O39" s="15"/>
      <c r="P39" s="15"/>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00B0F0"/>
  </sheetPr>
  <dimension ref="A2:C23"/>
  <sheetViews>
    <sheetView workbookViewId="0">
      <selection activeCell="B33" sqref="B33"/>
    </sheetView>
  </sheetViews>
  <sheetFormatPr baseColWidth="10" defaultColWidth="11.44140625" defaultRowHeight="13.8" x14ac:dyDescent="0.25"/>
  <cols>
    <col min="1" max="1" width="5.6640625" style="7" customWidth="1"/>
    <col min="2" max="2" width="50.33203125" style="7" customWidth="1"/>
    <col min="3" max="3" width="22.88671875" style="7" customWidth="1"/>
    <col min="4" max="16384" width="11.44140625" style="7"/>
  </cols>
  <sheetData>
    <row r="2" spans="1:3" ht="21" x14ac:dyDescent="0.4">
      <c r="A2" s="79" t="s">
        <v>830</v>
      </c>
      <c r="B2" s="6"/>
    </row>
    <row r="3" spans="1:3" ht="15" customHeight="1" x14ac:dyDescent="0.4">
      <c r="A3" s="5"/>
      <c r="B3" s="6"/>
    </row>
    <row r="4" spans="1:3" ht="15" customHeight="1" thickBot="1" x14ac:dyDescent="0.3">
      <c r="A4" s="6"/>
      <c r="B4" s="28" t="s">
        <v>743</v>
      </c>
    </row>
    <row r="5" spans="1:3" ht="15" customHeight="1" thickBot="1" x14ac:dyDescent="0.45">
      <c r="A5" s="5"/>
      <c r="B5" s="124" t="s">
        <v>740</v>
      </c>
    </row>
    <row r="6" spans="1:3" ht="15" customHeight="1" x14ac:dyDescent="0.25">
      <c r="C6" s="29"/>
    </row>
    <row r="7" spans="1:3" ht="15" customHeight="1" x14ac:dyDescent="0.25">
      <c r="C7" s="125" t="s">
        <v>201</v>
      </c>
    </row>
    <row r="8" spans="1:3" x14ac:dyDescent="0.25">
      <c r="A8" s="7">
        <v>10</v>
      </c>
      <c r="B8" s="7" t="s">
        <v>239</v>
      </c>
      <c r="C8" s="12">
        <f>HLOOKUP($B$5,'Bourgeoisie endettement'!$C$7:$P$23,2,0)</f>
        <v>1013324.9199999999</v>
      </c>
    </row>
    <row r="9" spans="1:3" x14ac:dyDescent="0.25">
      <c r="C9" s="12"/>
    </row>
    <row r="10" spans="1:3" x14ac:dyDescent="0.25">
      <c r="A10" s="7">
        <v>20</v>
      </c>
      <c r="B10" s="7" t="s">
        <v>251</v>
      </c>
      <c r="C10" s="12">
        <f>HLOOKUP($B$5,'Bourgeoisie endettement'!$C$7:$P$23,4,0)</f>
        <v>42233.35</v>
      </c>
    </row>
    <row r="11" spans="1:3" x14ac:dyDescent="0.25">
      <c r="C11" s="12"/>
    </row>
    <row r="12" spans="1:3" x14ac:dyDescent="0.25">
      <c r="A12" s="7">
        <v>200</v>
      </c>
      <c r="B12" s="7" t="s">
        <v>448</v>
      </c>
      <c r="C12" s="12">
        <f>HLOOKUP($B$5,'Bourgeoisie endettement'!$C$7:$P$23,6,0)</f>
        <v>33000</v>
      </c>
    </row>
    <row r="13" spans="1:3" x14ac:dyDescent="0.25">
      <c r="C13" s="12"/>
    </row>
    <row r="14" spans="1:3" x14ac:dyDescent="0.25">
      <c r="A14" s="7">
        <v>201</v>
      </c>
      <c r="B14" s="7" t="s">
        <v>253</v>
      </c>
      <c r="C14" s="12">
        <f>HLOOKUP($B$5,'Bourgeoisie endettement'!$C$7:$P$23,8,0)</f>
        <v>0</v>
      </c>
    </row>
    <row r="15" spans="1:3" x14ac:dyDescent="0.25">
      <c r="C15" s="12"/>
    </row>
    <row r="16" spans="1:3" x14ac:dyDescent="0.25">
      <c r="A16" s="7">
        <v>206</v>
      </c>
      <c r="B16" s="7" t="s">
        <v>256</v>
      </c>
      <c r="C16" s="12">
        <f>HLOOKUP($B$5,'Bourgeoisie endettement'!$C$7:$P$23,10,0)</f>
        <v>0</v>
      </c>
    </row>
    <row r="17" spans="1:3" x14ac:dyDescent="0.25">
      <c r="C17" s="12"/>
    </row>
    <row r="18" spans="1:3" x14ac:dyDescent="0.25">
      <c r="A18" s="7">
        <v>2016</v>
      </c>
      <c r="B18" s="7" t="s">
        <v>268</v>
      </c>
      <c r="C18" s="12">
        <f>HLOOKUP($B$5,'Bourgeoisie endettement'!$C$7:$P$23,12,0)</f>
        <v>0</v>
      </c>
    </row>
    <row r="19" spans="1:3" x14ac:dyDescent="0.25">
      <c r="C19" s="12"/>
    </row>
    <row r="20" spans="1:3" x14ac:dyDescent="0.25">
      <c r="C20" s="12"/>
    </row>
    <row r="21" spans="1:3" x14ac:dyDescent="0.25">
      <c r="B21" s="121" t="s">
        <v>563</v>
      </c>
      <c r="C21" s="123">
        <f>HLOOKUP($B$5,'Bourgeoisie endettement'!$C$7:$P$23,15,0)</f>
        <v>33000</v>
      </c>
    </row>
    <row r="22" spans="1:3" x14ac:dyDescent="0.25">
      <c r="B22" s="6"/>
      <c r="C22" s="75"/>
    </row>
    <row r="23" spans="1:3" x14ac:dyDescent="0.25">
      <c r="B23" s="121" t="s">
        <v>495</v>
      </c>
      <c r="C23" s="123">
        <f>HLOOKUP($B$5,'Bourgeoisie endettement'!$C$7:$P$23,17,0)</f>
        <v>-971091.57</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000-000000000000}">
          <x14:formula1>
            <xm:f>'Bourgeoisie endettement'!$C$7:$P$7</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pageSetUpPr fitToPage="1"/>
  </sheetPr>
  <dimension ref="A3:U36"/>
  <sheetViews>
    <sheetView workbookViewId="0"/>
  </sheetViews>
  <sheetFormatPr baseColWidth="10" defaultColWidth="11.44140625" defaultRowHeight="13.8" x14ac:dyDescent="0.25"/>
  <cols>
    <col min="1" max="1" width="4.88671875" style="7" customWidth="1"/>
    <col min="2" max="2" width="20.109375" style="7" customWidth="1"/>
    <col min="3" max="3" width="12.88671875" style="7" customWidth="1"/>
    <col min="4" max="4" width="4.44140625" style="7" customWidth="1"/>
    <col min="5" max="5" width="20.109375" style="7" customWidth="1"/>
    <col min="6" max="6" width="11.44140625" style="7"/>
    <col min="7" max="7" width="4.6640625" style="7" customWidth="1"/>
    <col min="8" max="8" width="20.109375" style="7" customWidth="1"/>
    <col min="9" max="9" width="11.44140625" style="7"/>
    <col min="10" max="10" width="4.88671875" style="7" customWidth="1"/>
    <col min="11" max="11" width="20.109375" style="7" customWidth="1"/>
    <col min="12" max="12" width="11.44140625" style="7"/>
    <col min="13" max="13" width="6" style="7" customWidth="1"/>
    <col min="14" max="14" width="20.109375" style="7" customWidth="1"/>
    <col min="15" max="15" width="11.44140625" style="7"/>
    <col min="16" max="16" width="4.109375" style="7" customWidth="1"/>
    <col min="17" max="17" width="20.109375" style="7" customWidth="1"/>
    <col min="18" max="16384" width="11.44140625" style="7"/>
  </cols>
  <sheetData>
    <row r="3" spans="1:21" x14ac:dyDescent="0.25">
      <c r="B3" s="7" t="s">
        <v>0</v>
      </c>
      <c r="E3" s="7" t="s">
        <v>1</v>
      </c>
      <c r="G3" s="7" t="s">
        <v>2</v>
      </c>
      <c r="J3" s="7" t="s">
        <v>3</v>
      </c>
      <c r="M3" s="7" t="s">
        <v>4</v>
      </c>
      <c r="P3" s="7" t="s">
        <v>5</v>
      </c>
    </row>
    <row r="5" spans="1:21" x14ac:dyDescent="0.25">
      <c r="A5" s="7">
        <v>1</v>
      </c>
      <c r="B5" s="7" t="s">
        <v>11</v>
      </c>
      <c r="C5" s="58">
        <f>'Base de données pop.'!C24</f>
        <v>87</v>
      </c>
      <c r="D5" s="7">
        <v>9</v>
      </c>
      <c r="E5" s="7" t="s">
        <v>6</v>
      </c>
      <c r="F5" s="58">
        <f>'Base de données pop.'!C32</f>
        <v>228</v>
      </c>
      <c r="G5" s="7">
        <v>21</v>
      </c>
      <c r="H5" s="7" t="s">
        <v>19</v>
      </c>
      <c r="I5" s="58">
        <f>'Base de données pop.'!C26</f>
        <v>510</v>
      </c>
      <c r="J5" s="7">
        <v>33</v>
      </c>
      <c r="K5" s="7" t="s">
        <v>8</v>
      </c>
      <c r="L5" s="58">
        <f>'Base de données pop.'!C43</f>
        <v>1018</v>
      </c>
      <c r="M5" s="7">
        <v>45</v>
      </c>
      <c r="N5" s="7" t="s">
        <v>9</v>
      </c>
      <c r="O5" s="58">
        <f>'Base de données pop.'!C45</f>
        <v>2435</v>
      </c>
      <c r="P5" s="7">
        <v>48</v>
      </c>
      <c r="Q5" s="7" t="s">
        <v>27</v>
      </c>
      <c r="R5" s="58">
        <f>'Base de données pop.'!C20</f>
        <v>3285</v>
      </c>
    </row>
    <row r="6" spans="1:21" x14ac:dyDescent="0.25">
      <c r="A6" s="7">
        <v>2</v>
      </c>
      <c r="B6" s="7" t="s">
        <v>17</v>
      </c>
      <c r="C6" s="58">
        <f>'Base de données pop.'!C14</f>
        <v>106</v>
      </c>
      <c r="D6" s="7">
        <v>10</v>
      </c>
      <c r="E6" s="7" t="s">
        <v>18</v>
      </c>
      <c r="F6" s="58">
        <f>'Base de données pop.'!C3</f>
        <v>258</v>
      </c>
      <c r="G6" s="7">
        <v>22</v>
      </c>
      <c r="H6" s="7" t="s">
        <v>7</v>
      </c>
      <c r="I6" s="58">
        <f>'Base de données pop.'!C29</f>
        <v>511</v>
      </c>
      <c r="J6" s="7">
        <v>34</v>
      </c>
      <c r="K6" s="7" t="s">
        <v>58</v>
      </c>
      <c r="L6" s="58">
        <f>'Base de données pop.'!C51</f>
        <v>1052</v>
      </c>
      <c r="M6" s="7">
        <v>46</v>
      </c>
      <c r="N6" s="7" t="s">
        <v>21</v>
      </c>
      <c r="O6" s="58">
        <f>'Base de données pop.'!C31</f>
        <v>2575</v>
      </c>
      <c r="P6" s="7">
        <v>49</v>
      </c>
      <c r="Q6" s="7" t="s">
        <v>10</v>
      </c>
      <c r="R6" s="58">
        <f>'Base de données pop.'!C7</f>
        <v>3313</v>
      </c>
    </row>
    <row r="7" spans="1:21" x14ac:dyDescent="0.25">
      <c r="A7" s="7">
        <v>3</v>
      </c>
      <c r="B7" s="7" t="s">
        <v>23</v>
      </c>
      <c r="C7" s="58">
        <f>'Base de données pop.'!C11</f>
        <v>112</v>
      </c>
      <c r="D7" s="7">
        <v>11</v>
      </c>
      <c r="E7" s="7" t="s">
        <v>12</v>
      </c>
      <c r="F7" s="58">
        <f>'Base de données pop.'!C18</f>
        <v>270</v>
      </c>
      <c r="G7" s="7">
        <v>23</v>
      </c>
      <c r="H7" s="7" t="s">
        <v>13</v>
      </c>
      <c r="I7" s="58">
        <f>'Base de données pop.'!C13</f>
        <v>522</v>
      </c>
      <c r="J7" s="7">
        <v>35</v>
      </c>
      <c r="K7" s="7" t="s">
        <v>14</v>
      </c>
      <c r="L7" s="58">
        <f>'Base de données pop.'!C35</f>
        <v>1114</v>
      </c>
      <c r="M7" s="7">
        <v>47</v>
      </c>
      <c r="N7" s="7" t="s">
        <v>15</v>
      </c>
      <c r="O7" s="58">
        <f>'Base de données pop.'!C8</f>
        <v>2654</v>
      </c>
      <c r="P7" s="7">
        <v>50</v>
      </c>
      <c r="Q7" s="7" t="s">
        <v>33</v>
      </c>
      <c r="R7" s="58">
        <f>'Base de données pop.'!C6</f>
        <v>3686</v>
      </c>
    </row>
    <row r="8" spans="1:21" x14ac:dyDescent="0.25">
      <c r="A8" s="7">
        <v>4</v>
      </c>
      <c r="B8" s="7" t="s">
        <v>29</v>
      </c>
      <c r="C8" s="58">
        <f>'Base de données pop.'!C37</f>
        <v>117</v>
      </c>
      <c r="D8" s="7">
        <v>12</v>
      </c>
      <c r="E8" s="7" t="s">
        <v>24</v>
      </c>
      <c r="F8" s="58">
        <f>'Base de données pop.'!C44</f>
        <v>293</v>
      </c>
      <c r="G8" s="7">
        <v>24</v>
      </c>
      <c r="H8" s="7" t="s">
        <v>25</v>
      </c>
      <c r="I8" s="58">
        <f>'Base de données pop.'!C54</f>
        <v>546</v>
      </c>
      <c r="J8" s="7">
        <v>36</v>
      </c>
      <c r="K8" s="7" t="s">
        <v>26</v>
      </c>
      <c r="L8" s="58">
        <f>'Base de données pop.'!C38</f>
        <v>1205</v>
      </c>
      <c r="O8" s="1">
        <f>SUM(O5:O7)</f>
        <v>7664</v>
      </c>
      <c r="P8" s="7">
        <v>51</v>
      </c>
      <c r="Q8" s="7" t="s">
        <v>16</v>
      </c>
      <c r="R8" s="58">
        <f>'Base de données pop.'!C53</f>
        <v>6441</v>
      </c>
    </row>
    <row r="9" spans="1:21" x14ac:dyDescent="0.25">
      <c r="A9" s="7">
        <v>5</v>
      </c>
      <c r="B9" s="7" t="s">
        <v>34</v>
      </c>
      <c r="C9" s="58">
        <f>'Base de données pop.'!C33</f>
        <v>118</v>
      </c>
      <c r="D9" s="7">
        <v>13</v>
      </c>
      <c r="E9" s="7" t="s">
        <v>30</v>
      </c>
      <c r="F9" s="58">
        <f>'Base de données pop.'!C21</f>
        <v>308</v>
      </c>
      <c r="G9" s="7">
        <v>25</v>
      </c>
      <c r="H9" s="7" t="s">
        <v>36</v>
      </c>
      <c r="I9" s="58">
        <f>'Base de données pop.'!C28</f>
        <v>551</v>
      </c>
      <c r="J9" s="7">
        <v>37</v>
      </c>
      <c r="K9" s="7" t="s">
        <v>32</v>
      </c>
      <c r="L9" s="58">
        <f>'Base de données pop.'!C36</f>
        <v>1217</v>
      </c>
      <c r="N9" s="59" t="s">
        <v>38</v>
      </c>
      <c r="O9" s="12">
        <f>O8/5</f>
        <v>1532.8</v>
      </c>
      <c r="P9" s="7">
        <v>52</v>
      </c>
      <c r="Q9" s="7" t="s">
        <v>22</v>
      </c>
      <c r="R9" s="58">
        <f>'Base de données pop.'!C12</f>
        <v>7319</v>
      </c>
    </row>
    <row r="10" spans="1:21" x14ac:dyDescent="0.25">
      <c r="A10" s="7">
        <v>6</v>
      </c>
      <c r="B10" s="7" t="s">
        <v>39</v>
      </c>
      <c r="C10" s="58">
        <f>'Base de données pop.'!C25</f>
        <v>156</v>
      </c>
      <c r="D10" s="7">
        <v>14</v>
      </c>
      <c r="E10" s="7" t="s">
        <v>35</v>
      </c>
      <c r="F10" s="58">
        <f>'Base de données pop.'!C48</f>
        <v>333</v>
      </c>
      <c r="G10" s="7">
        <v>26</v>
      </c>
      <c r="H10" s="7" t="s">
        <v>48</v>
      </c>
      <c r="I10" s="58">
        <f>'Base de données pop.'!C39</f>
        <v>625</v>
      </c>
      <c r="J10" s="7">
        <v>38</v>
      </c>
      <c r="K10" s="7" t="s">
        <v>20</v>
      </c>
      <c r="L10" s="58">
        <f>'Base de données pop.'!C22</f>
        <v>1258</v>
      </c>
      <c r="P10" s="7">
        <v>53</v>
      </c>
      <c r="Q10" s="7" t="s">
        <v>28</v>
      </c>
      <c r="R10" s="58">
        <f>'Base de données pop.'!C9</f>
        <v>12636</v>
      </c>
    </row>
    <row r="11" spans="1:21" x14ac:dyDescent="0.25">
      <c r="A11" s="7">
        <v>7</v>
      </c>
      <c r="B11" s="7" t="s">
        <v>50</v>
      </c>
      <c r="C11" s="58">
        <f>'Base de données pop.'!C52</f>
        <v>186</v>
      </c>
      <c r="D11" s="7">
        <v>15</v>
      </c>
      <c r="E11" s="7" t="s">
        <v>40</v>
      </c>
      <c r="F11" s="58">
        <f>'Base de données pop.'!C16</f>
        <v>350</v>
      </c>
      <c r="G11" s="7">
        <v>27</v>
      </c>
      <c r="H11" s="7" t="s">
        <v>44</v>
      </c>
      <c r="I11" s="58">
        <f>'Base de données pop.'!C40</f>
        <v>631</v>
      </c>
      <c r="J11" s="7">
        <v>39</v>
      </c>
      <c r="K11" s="7" t="s">
        <v>37</v>
      </c>
      <c r="L11" s="58">
        <f>'Base de données pop.'!C41</f>
        <v>1275</v>
      </c>
      <c r="R11" s="1">
        <f>SUM(R5:R10)</f>
        <v>36680</v>
      </c>
    </row>
    <row r="12" spans="1:21" x14ac:dyDescent="0.25">
      <c r="A12" s="7">
        <v>8</v>
      </c>
      <c r="B12" s="7" t="s">
        <v>46</v>
      </c>
      <c r="C12" s="58">
        <f>'Base de données pop.'!C47</f>
        <v>184</v>
      </c>
      <c r="D12" s="7">
        <v>16</v>
      </c>
      <c r="E12" s="7" t="s">
        <v>47</v>
      </c>
      <c r="F12" s="58">
        <f>'Base de données pop.'!C50</f>
        <v>391</v>
      </c>
      <c r="G12" s="7">
        <v>28</v>
      </c>
      <c r="H12" s="7" t="s">
        <v>41</v>
      </c>
      <c r="I12" s="58">
        <f>'Base de données pop.'!C27</f>
        <v>705</v>
      </c>
      <c r="J12" s="7">
        <v>40</v>
      </c>
      <c r="K12" s="7" t="s">
        <v>42</v>
      </c>
      <c r="L12" s="58">
        <f>'Base de données pop.'!C10</f>
        <v>1360</v>
      </c>
      <c r="Q12" s="59" t="s">
        <v>38</v>
      </c>
      <c r="R12" s="12">
        <f>R11/4</f>
        <v>9170</v>
      </c>
      <c r="T12" s="58"/>
    </row>
    <row r="13" spans="1:21" x14ac:dyDescent="0.25">
      <c r="C13" s="1">
        <f>SUM(C5:C12)</f>
        <v>1066</v>
      </c>
      <c r="D13" s="7">
        <v>17</v>
      </c>
      <c r="E13" s="7" t="s">
        <v>59</v>
      </c>
      <c r="F13" s="58">
        <f>'Base de données pop.'!C19</f>
        <v>417</v>
      </c>
      <c r="G13" s="7">
        <v>29</v>
      </c>
      <c r="H13" s="7" t="s">
        <v>51</v>
      </c>
      <c r="I13" s="58">
        <f>'Base de données pop.'!C42</f>
        <v>718</v>
      </c>
      <c r="J13" s="7">
        <v>41</v>
      </c>
      <c r="K13" s="7" t="s">
        <v>45</v>
      </c>
      <c r="L13" s="58">
        <f>'Base de données pop.'!C23</f>
        <v>1524</v>
      </c>
      <c r="T13" s="58"/>
    </row>
    <row r="14" spans="1:21" x14ac:dyDescent="0.25">
      <c r="B14" s="59" t="s">
        <v>38</v>
      </c>
      <c r="C14" s="12">
        <f>C13/8</f>
        <v>133.25</v>
      </c>
      <c r="D14" s="7">
        <v>18</v>
      </c>
      <c r="E14" s="7" t="s">
        <v>43</v>
      </c>
      <c r="F14" s="58">
        <f>'Base de données pop.'!C15</f>
        <v>425</v>
      </c>
      <c r="G14" s="7">
        <v>30</v>
      </c>
      <c r="H14" s="7" t="s">
        <v>31</v>
      </c>
      <c r="I14" s="58">
        <f>'Base de données pop.'!C17</f>
        <v>733</v>
      </c>
      <c r="J14" s="7">
        <v>42</v>
      </c>
      <c r="K14" s="7" t="s">
        <v>49</v>
      </c>
      <c r="L14" s="58">
        <f>'Base de données pop.'!C49</f>
        <v>1674</v>
      </c>
      <c r="S14" s="3">
        <f>C13+F17+I17+L17+O8+R11</f>
        <v>73865</v>
      </c>
      <c r="U14" s="58"/>
    </row>
    <row r="15" spans="1:21" x14ac:dyDescent="0.25">
      <c r="D15" s="7">
        <v>19</v>
      </c>
      <c r="E15" s="7" t="s">
        <v>53</v>
      </c>
      <c r="F15" s="58">
        <f>'Base de données pop.'!C5</f>
        <v>441</v>
      </c>
      <c r="G15" s="7">
        <v>31</v>
      </c>
      <c r="H15" s="7" t="s">
        <v>54</v>
      </c>
      <c r="I15" s="58">
        <f>'Base de données pop.'!C46</f>
        <v>786</v>
      </c>
      <c r="J15" s="7">
        <v>43</v>
      </c>
      <c r="K15" s="7" t="s">
        <v>52</v>
      </c>
      <c r="L15" s="58">
        <f>'Base de données pop.'!C34</f>
        <v>1882</v>
      </c>
      <c r="S15" s="58">
        <f>S14/53</f>
        <v>1393.6792452830189</v>
      </c>
    </row>
    <row r="16" spans="1:21" x14ac:dyDescent="0.25">
      <c r="D16" s="7">
        <v>20</v>
      </c>
      <c r="E16" s="7" t="s">
        <v>57</v>
      </c>
      <c r="F16" s="58">
        <f>'Base de données pop.'!C4</f>
        <v>471</v>
      </c>
      <c r="G16" s="7">
        <v>32</v>
      </c>
      <c r="H16" s="7" t="s">
        <v>56</v>
      </c>
      <c r="I16" s="58">
        <f>'Base de données pop.'!C2</f>
        <v>951</v>
      </c>
      <c r="J16" s="7">
        <v>44</v>
      </c>
      <c r="K16" s="7" t="s">
        <v>55</v>
      </c>
      <c r="L16" s="58">
        <f>'Base de données pop.'!C30</f>
        <v>1902</v>
      </c>
      <c r="Q16" s="58"/>
      <c r="U16" s="7" t="s">
        <v>66</v>
      </c>
    </row>
    <row r="17" spans="2:21" x14ac:dyDescent="0.25">
      <c r="C17" s="58"/>
      <c r="F17" s="1">
        <f>SUM(F5:F16)</f>
        <v>4185</v>
      </c>
      <c r="I17" s="60">
        <f>SUM(I5:I16)</f>
        <v>7789</v>
      </c>
      <c r="L17" s="1">
        <f>SUM(L5:L16)</f>
        <v>16481</v>
      </c>
      <c r="U17" s="58">
        <f>C13+F17+I17</f>
        <v>13040</v>
      </c>
    </row>
    <row r="18" spans="2:21" x14ac:dyDescent="0.25">
      <c r="E18" s="59" t="s">
        <v>38</v>
      </c>
      <c r="F18" s="12">
        <f>F17/13</f>
        <v>321.92307692307691</v>
      </c>
      <c r="H18" s="59" t="s">
        <v>38</v>
      </c>
      <c r="I18" s="12">
        <f>I17/11</f>
        <v>708.09090909090912</v>
      </c>
      <c r="K18" s="59" t="s">
        <v>38</v>
      </c>
      <c r="L18" s="12">
        <f>L17/12</f>
        <v>1373.4166666666667</v>
      </c>
      <c r="Q18" s="58"/>
    </row>
    <row r="20" spans="2:21" x14ac:dyDescent="0.25">
      <c r="F20" s="58"/>
      <c r="O20" s="58"/>
    </row>
    <row r="21" spans="2:21" x14ac:dyDescent="0.25">
      <c r="B21" s="58">
        <f>C13+F17+I17+L17+O8+R11</f>
        <v>73865</v>
      </c>
      <c r="O21" s="58"/>
    </row>
    <row r="22" spans="2:21" x14ac:dyDescent="0.25">
      <c r="O22" s="61"/>
    </row>
    <row r="23" spans="2:21" x14ac:dyDescent="0.25">
      <c r="K23" s="7" t="s">
        <v>63</v>
      </c>
      <c r="L23" s="7" t="s">
        <v>28</v>
      </c>
      <c r="M23" s="6"/>
      <c r="N23" s="6"/>
      <c r="O23" s="58">
        <v>39303</v>
      </c>
    </row>
    <row r="24" spans="2:21" x14ac:dyDescent="0.25">
      <c r="B24" s="7" t="s">
        <v>77</v>
      </c>
      <c r="C24" s="1">
        <f>C13</f>
        <v>1066</v>
      </c>
      <c r="D24" s="12"/>
      <c r="E24" s="62">
        <f>C24*100/B21</f>
        <v>1.4431733567995668</v>
      </c>
      <c r="L24" s="7" t="s">
        <v>64</v>
      </c>
      <c r="O24" s="58">
        <v>10432</v>
      </c>
      <c r="R24" s="58"/>
    </row>
    <row r="25" spans="2:21" x14ac:dyDescent="0.25">
      <c r="B25" s="7" t="s">
        <v>73</v>
      </c>
      <c r="C25" s="1">
        <f>F17</f>
        <v>4185</v>
      </c>
      <c r="D25" s="12"/>
      <c r="E25" s="62">
        <f>C25*100/B21</f>
        <v>5.6657415555405128</v>
      </c>
      <c r="F25" s="62">
        <f>E24+E25</f>
        <v>7.1089149123400794</v>
      </c>
      <c r="L25" s="7" t="s">
        <v>16</v>
      </c>
      <c r="O25" s="58">
        <v>24116</v>
      </c>
      <c r="R25" s="58"/>
    </row>
    <row r="26" spans="2:21" x14ac:dyDescent="0.25">
      <c r="B26" s="7" t="s">
        <v>78</v>
      </c>
      <c r="C26" s="1">
        <f>I17</f>
        <v>7789</v>
      </c>
      <c r="D26" s="12"/>
      <c r="E26" s="62">
        <f>C26*100/B21</f>
        <v>10.544913016990456</v>
      </c>
      <c r="L26" s="6" t="s">
        <v>65</v>
      </c>
      <c r="O26" s="63">
        <f>SUM(O23:O25)</f>
        <v>73851</v>
      </c>
      <c r="R26" s="58"/>
    </row>
    <row r="27" spans="2:21" x14ac:dyDescent="0.25">
      <c r="B27" s="7" t="s">
        <v>74</v>
      </c>
      <c r="C27" s="1">
        <f>L17</f>
        <v>16481</v>
      </c>
      <c r="D27" s="12"/>
      <c r="E27" s="62">
        <f>C27*100/B21</f>
        <v>22.312326541663847</v>
      </c>
    </row>
    <row r="28" spans="2:21" x14ac:dyDescent="0.25">
      <c r="B28" s="7" t="s">
        <v>75</v>
      </c>
      <c r="C28" s="1">
        <f>O8</f>
        <v>7664</v>
      </c>
      <c r="D28" s="12"/>
      <c r="E28" s="62">
        <f>C28*100/B21</f>
        <v>10.375685371962364</v>
      </c>
    </row>
    <row r="29" spans="2:21" x14ac:dyDescent="0.25">
      <c r="B29" s="7" t="s">
        <v>76</v>
      </c>
      <c r="C29" s="1">
        <f>R11</f>
        <v>36680</v>
      </c>
      <c r="D29" s="12"/>
      <c r="E29" s="62">
        <f>C29*100/B21</f>
        <v>49.658160157043255</v>
      </c>
    </row>
    <row r="30" spans="2:21" x14ac:dyDescent="0.25">
      <c r="C30" s="63">
        <f>SUM(C24:C29)</f>
        <v>73865</v>
      </c>
      <c r="D30" s="21"/>
      <c r="E30" s="62">
        <f>C30*100/B21</f>
        <v>100</v>
      </c>
    </row>
    <row r="31" spans="2:21" x14ac:dyDescent="0.25">
      <c r="D31" s="64"/>
      <c r="E31" s="64"/>
    </row>
    <row r="32" spans="2:21" x14ac:dyDescent="0.25">
      <c r="C32" s="65"/>
      <c r="D32" s="64"/>
      <c r="E32" s="64"/>
    </row>
    <row r="36" spans="3:3" x14ac:dyDescent="0.25">
      <c r="C36" s="65"/>
    </row>
  </sheetData>
  <sortState xmlns:xlrd2="http://schemas.microsoft.com/office/spreadsheetml/2017/richdata2" ref="G5:I16">
    <sortCondition ref="I5:I16"/>
  </sortState>
  <pageMargins left="0.7" right="0.7" top="0.75" bottom="0.75" header="0.3" footer="0.3"/>
  <pageSetup paperSize="9" scale="59"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00B0F0"/>
  </sheetPr>
  <dimension ref="A2:S185"/>
  <sheetViews>
    <sheetView zoomScaleNormal="100" workbookViewId="0">
      <pane xSplit="4" ySplit="4" topLeftCell="Q163" activePane="bottomRight" state="frozen"/>
      <selection pane="topRight" activeCell="E1" sqref="E1"/>
      <selection pane="bottomLeft" activeCell="A4" sqref="A4"/>
      <selection pane="bottomRight" activeCell="Q180" sqref="Q180"/>
    </sheetView>
  </sheetViews>
  <sheetFormatPr baseColWidth="10" defaultColWidth="11.44140625" defaultRowHeight="13.8" x14ac:dyDescent="0.25"/>
  <cols>
    <col min="1" max="2" width="5.6640625" style="7" customWidth="1"/>
    <col min="3" max="3" width="9" style="7" customWidth="1"/>
    <col min="4" max="4" width="63.5546875" style="7" customWidth="1"/>
    <col min="5" max="16" width="16.33203125" style="7" customWidth="1"/>
    <col min="17" max="17" width="18.109375" style="7" customWidth="1"/>
    <col min="18" max="18" width="16.33203125" style="7" customWidth="1"/>
    <col min="19" max="16384" width="11.44140625" style="7"/>
  </cols>
  <sheetData>
    <row r="2" spans="1:19" ht="24.6" x14ac:dyDescent="0.4">
      <c r="A2" s="5" t="s">
        <v>829</v>
      </c>
      <c r="B2" s="6"/>
      <c r="C2" s="6"/>
      <c r="D2" s="6"/>
    </row>
    <row r="3" spans="1:19" ht="17.399999999999999" x14ac:dyDescent="0.3">
      <c r="A3" s="136" t="s">
        <v>731</v>
      </c>
      <c r="E3" s="154"/>
      <c r="F3" s="154"/>
      <c r="G3" s="154"/>
      <c r="H3" s="154"/>
      <c r="I3" s="154"/>
      <c r="J3" s="154"/>
      <c r="K3" s="154"/>
      <c r="L3" s="154"/>
      <c r="M3" s="154"/>
      <c r="N3" s="154"/>
      <c r="O3" s="154"/>
      <c r="P3" s="154"/>
      <c r="Q3" s="154"/>
      <c r="R3" s="154"/>
    </row>
    <row r="4" spans="1:19" x14ac:dyDescent="0.25">
      <c r="E4" s="81" t="s">
        <v>56</v>
      </c>
      <c r="F4" s="81" t="s">
        <v>18</v>
      </c>
      <c r="G4" s="81" t="s">
        <v>57</v>
      </c>
      <c r="H4" s="81" t="s">
        <v>735</v>
      </c>
      <c r="I4" s="81" t="s">
        <v>33</v>
      </c>
      <c r="J4" s="81" t="s">
        <v>28</v>
      </c>
      <c r="K4" s="81" t="s">
        <v>736</v>
      </c>
      <c r="L4" s="81" t="s">
        <v>16</v>
      </c>
      <c r="M4" s="81" t="s">
        <v>737</v>
      </c>
      <c r="N4" s="81" t="s">
        <v>738</v>
      </c>
      <c r="O4" s="81" t="s">
        <v>59</v>
      </c>
      <c r="P4" s="81" t="s">
        <v>739</v>
      </c>
      <c r="Q4" s="81" t="s">
        <v>740</v>
      </c>
      <c r="R4" s="81" t="s">
        <v>65</v>
      </c>
    </row>
    <row r="5" spans="1:19" ht="21" x14ac:dyDescent="0.4">
      <c r="A5" s="126">
        <v>5</v>
      </c>
      <c r="B5" s="126"/>
      <c r="C5" s="126"/>
      <c r="D5" s="126" t="s">
        <v>192</v>
      </c>
      <c r="E5" s="123">
        <f>E6+E16+E26+E31+E42+E53+E64+E75</f>
        <v>61049.100000000006</v>
      </c>
      <c r="F5" s="123">
        <f t="shared" ref="F5:R5" si="0">F6+F16+F26+F31+F42+F53+F64+F75</f>
        <v>0</v>
      </c>
      <c r="G5" s="123">
        <f t="shared" si="0"/>
        <v>0</v>
      </c>
      <c r="H5" s="123">
        <f t="shared" si="0"/>
        <v>0</v>
      </c>
      <c r="I5" s="123">
        <f t="shared" si="0"/>
        <v>141259.65</v>
      </c>
      <c r="J5" s="123">
        <f t="shared" si="0"/>
        <v>0</v>
      </c>
      <c r="K5" s="123">
        <f t="shared" si="0"/>
        <v>0</v>
      </c>
      <c r="L5" s="123">
        <f t="shared" si="0"/>
        <v>0</v>
      </c>
      <c r="M5" s="123">
        <f t="shared" si="0"/>
        <v>0</v>
      </c>
      <c r="N5" s="123">
        <f t="shared" si="0"/>
        <v>0</v>
      </c>
      <c r="O5" s="123">
        <f t="shared" si="0"/>
        <v>0</v>
      </c>
      <c r="P5" s="123">
        <f t="shared" si="0"/>
        <v>0</v>
      </c>
      <c r="Q5" s="123">
        <f t="shared" si="0"/>
        <v>0</v>
      </c>
      <c r="R5" s="123">
        <f t="shared" si="0"/>
        <v>202308.75</v>
      </c>
    </row>
    <row r="6" spans="1:19" x14ac:dyDescent="0.25">
      <c r="A6" s="6"/>
      <c r="B6" s="76">
        <v>50</v>
      </c>
      <c r="C6" s="76"/>
      <c r="D6" s="76" t="s">
        <v>451</v>
      </c>
      <c r="E6" s="96">
        <f>E7+E8+E9+E10+E11+E12+E13+E14</f>
        <v>61049.100000000006</v>
      </c>
      <c r="F6" s="96">
        <f t="shared" ref="F6:R6" si="1">F7+F8+F9+F10+F11+F12+F13+F14</f>
        <v>0</v>
      </c>
      <c r="G6" s="96">
        <f t="shared" si="1"/>
        <v>0</v>
      </c>
      <c r="H6" s="96">
        <f t="shared" si="1"/>
        <v>0</v>
      </c>
      <c r="I6" s="96">
        <f t="shared" si="1"/>
        <v>141259.65</v>
      </c>
      <c r="J6" s="96">
        <f t="shared" si="1"/>
        <v>0</v>
      </c>
      <c r="K6" s="96">
        <f t="shared" si="1"/>
        <v>0</v>
      </c>
      <c r="L6" s="96">
        <f t="shared" si="1"/>
        <v>0</v>
      </c>
      <c r="M6" s="96">
        <f t="shared" si="1"/>
        <v>0</v>
      </c>
      <c r="N6" s="96">
        <f t="shared" si="1"/>
        <v>0</v>
      </c>
      <c r="O6" s="96">
        <f t="shared" si="1"/>
        <v>0</v>
      </c>
      <c r="P6" s="96">
        <f t="shared" si="1"/>
        <v>0</v>
      </c>
      <c r="Q6" s="96">
        <f t="shared" si="1"/>
        <v>0</v>
      </c>
      <c r="R6" s="96">
        <f t="shared" si="1"/>
        <v>202308.75</v>
      </c>
    </row>
    <row r="7" spans="1:19" x14ac:dyDescent="0.25">
      <c r="C7" s="7">
        <v>500</v>
      </c>
      <c r="D7" s="7" t="s">
        <v>453</v>
      </c>
      <c r="E7" s="12">
        <v>0</v>
      </c>
      <c r="F7" s="12">
        <v>0</v>
      </c>
      <c r="G7" s="12">
        <v>0</v>
      </c>
      <c r="H7" s="12">
        <v>0</v>
      </c>
      <c r="I7" s="12">
        <v>0</v>
      </c>
      <c r="J7" s="12"/>
      <c r="K7" s="12">
        <v>0</v>
      </c>
      <c r="L7" s="12">
        <v>0</v>
      </c>
      <c r="M7" s="12"/>
      <c r="N7" s="12">
        <v>0</v>
      </c>
      <c r="O7" s="12">
        <v>0</v>
      </c>
      <c r="P7" s="12">
        <v>0</v>
      </c>
      <c r="Q7" s="12">
        <v>0</v>
      </c>
      <c r="R7" s="12">
        <f t="shared" ref="R7:R14" si="2">SUM(E7:Q7)</f>
        <v>0</v>
      </c>
      <c r="S7" s="58">
        <v>4</v>
      </c>
    </row>
    <row r="8" spans="1:19" x14ac:dyDescent="0.25">
      <c r="C8" s="7">
        <v>501</v>
      </c>
      <c r="D8" s="7" t="s">
        <v>454</v>
      </c>
      <c r="E8" s="12">
        <v>0</v>
      </c>
      <c r="F8" s="12">
        <v>0</v>
      </c>
      <c r="G8" s="12">
        <v>0</v>
      </c>
      <c r="H8" s="12">
        <v>0</v>
      </c>
      <c r="I8" s="12">
        <v>0</v>
      </c>
      <c r="J8" s="12"/>
      <c r="K8" s="12">
        <v>0</v>
      </c>
      <c r="L8" s="12">
        <v>0</v>
      </c>
      <c r="M8" s="12"/>
      <c r="N8" s="12">
        <v>0</v>
      </c>
      <c r="O8" s="12">
        <v>0</v>
      </c>
      <c r="P8" s="12">
        <v>0</v>
      </c>
      <c r="Q8" s="12">
        <v>0</v>
      </c>
      <c r="R8" s="12">
        <f t="shared" si="2"/>
        <v>0</v>
      </c>
      <c r="S8" s="7">
        <v>5</v>
      </c>
    </row>
    <row r="9" spans="1:19" x14ac:dyDescent="0.25">
      <c r="C9" s="7">
        <v>502</v>
      </c>
      <c r="D9" s="7" t="s">
        <v>455</v>
      </c>
      <c r="E9" s="12">
        <v>0</v>
      </c>
      <c r="F9" s="12">
        <v>0</v>
      </c>
      <c r="G9" s="12">
        <v>0</v>
      </c>
      <c r="H9" s="12">
        <v>0</v>
      </c>
      <c r="I9" s="12">
        <v>0</v>
      </c>
      <c r="J9" s="12"/>
      <c r="K9" s="12">
        <v>0</v>
      </c>
      <c r="L9" s="12">
        <v>0</v>
      </c>
      <c r="M9" s="12"/>
      <c r="N9" s="12">
        <v>0</v>
      </c>
      <c r="O9" s="12">
        <v>0</v>
      </c>
      <c r="P9" s="12">
        <v>0</v>
      </c>
      <c r="Q9" s="12">
        <v>0</v>
      </c>
      <c r="R9" s="12">
        <f t="shared" si="2"/>
        <v>0</v>
      </c>
      <c r="S9" s="7">
        <v>6</v>
      </c>
    </row>
    <row r="10" spans="1:19" x14ac:dyDescent="0.25">
      <c r="C10" s="7">
        <v>503</v>
      </c>
      <c r="D10" s="7" t="s">
        <v>456</v>
      </c>
      <c r="E10" s="12">
        <v>34514.300000000003</v>
      </c>
      <c r="F10" s="12">
        <v>0</v>
      </c>
      <c r="G10" s="12">
        <v>0</v>
      </c>
      <c r="H10" s="12">
        <v>0</v>
      </c>
      <c r="I10" s="12">
        <v>141259.65</v>
      </c>
      <c r="J10" s="12"/>
      <c r="K10" s="12">
        <v>0</v>
      </c>
      <c r="L10" s="12">
        <v>0</v>
      </c>
      <c r="M10" s="12"/>
      <c r="N10" s="12">
        <v>0</v>
      </c>
      <c r="O10" s="12">
        <v>0</v>
      </c>
      <c r="P10" s="12">
        <v>0</v>
      </c>
      <c r="Q10" s="12">
        <v>0</v>
      </c>
      <c r="R10" s="12">
        <f t="shared" si="2"/>
        <v>175773.95</v>
      </c>
      <c r="S10" s="58">
        <v>7</v>
      </c>
    </row>
    <row r="11" spans="1:19" x14ac:dyDescent="0.25">
      <c r="C11" s="7">
        <v>504</v>
      </c>
      <c r="D11" s="7" t="s">
        <v>457</v>
      </c>
      <c r="E11" s="12">
        <v>0</v>
      </c>
      <c r="F11" s="12">
        <v>0</v>
      </c>
      <c r="G11" s="12">
        <v>0</v>
      </c>
      <c r="H11" s="12">
        <v>0</v>
      </c>
      <c r="I11" s="12">
        <v>0</v>
      </c>
      <c r="J11" s="12"/>
      <c r="K11" s="12">
        <v>0</v>
      </c>
      <c r="L11" s="12">
        <v>0</v>
      </c>
      <c r="M11" s="12"/>
      <c r="N11" s="12">
        <v>0</v>
      </c>
      <c r="O11" s="12">
        <v>0</v>
      </c>
      <c r="P11" s="12">
        <v>0</v>
      </c>
      <c r="Q11" s="12">
        <v>0</v>
      </c>
      <c r="R11" s="12">
        <f t="shared" si="2"/>
        <v>0</v>
      </c>
      <c r="S11" s="7">
        <v>8</v>
      </c>
    </row>
    <row r="12" spans="1:19" x14ac:dyDescent="0.25">
      <c r="C12" s="7">
        <v>505</v>
      </c>
      <c r="D12" s="7" t="s">
        <v>458</v>
      </c>
      <c r="E12" s="12">
        <v>26534.799999999999</v>
      </c>
      <c r="F12" s="12">
        <v>0</v>
      </c>
      <c r="G12" s="12">
        <v>0</v>
      </c>
      <c r="H12" s="12">
        <v>0</v>
      </c>
      <c r="I12" s="12">
        <v>0</v>
      </c>
      <c r="J12" s="12"/>
      <c r="K12" s="12">
        <v>0</v>
      </c>
      <c r="L12" s="12">
        <v>0</v>
      </c>
      <c r="M12" s="12"/>
      <c r="N12" s="12">
        <v>0</v>
      </c>
      <c r="O12" s="12">
        <v>0</v>
      </c>
      <c r="P12" s="12">
        <v>0</v>
      </c>
      <c r="Q12" s="12">
        <v>0</v>
      </c>
      <c r="R12" s="12">
        <f t="shared" si="2"/>
        <v>26534.799999999999</v>
      </c>
      <c r="S12" s="7">
        <v>9</v>
      </c>
    </row>
    <row r="13" spans="1:19" x14ac:dyDescent="0.25">
      <c r="C13" s="7">
        <v>506</v>
      </c>
      <c r="D13" s="7" t="s">
        <v>459</v>
      </c>
      <c r="E13" s="12">
        <v>0</v>
      </c>
      <c r="F13" s="12">
        <v>0</v>
      </c>
      <c r="G13" s="12">
        <v>0</v>
      </c>
      <c r="H13" s="12">
        <v>0</v>
      </c>
      <c r="I13" s="12">
        <v>0</v>
      </c>
      <c r="J13" s="12"/>
      <c r="K13" s="12">
        <v>0</v>
      </c>
      <c r="L13" s="12">
        <v>0</v>
      </c>
      <c r="M13" s="12"/>
      <c r="N13" s="12">
        <v>0</v>
      </c>
      <c r="O13" s="12">
        <v>0</v>
      </c>
      <c r="P13" s="12">
        <v>0</v>
      </c>
      <c r="Q13" s="12">
        <v>0</v>
      </c>
      <c r="R13" s="12">
        <f t="shared" si="2"/>
        <v>0</v>
      </c>
      <c r="S13" s="58">
        <v>10</v>
      </c>
    </row>
    <row r="14" spans="1:19" x14ac:dyDescent="0.25">
      <c r="C14" s="7">
        <v>509</v>
      </c>
      <c r="D14" s="7" t="s">
        <v>460</v>
      </c>
      <c r="E14" s="12">
        <v>0</v>
      </c>
      <c r="F14" s="12">
        <v>0</v>
      </c>
      <c r="G14" s="12">
        <v>0</v>
      </c>
      <c r="H14" s="12">
        <v>0</v>
      </c>
      <c r="I14" s="12">
        <v>0</v>
      </c>
      <c r="J14" s="12"/>
      <c r="K14" s="12">
        <v>0</v>
      </c>
      <c r="L14" s="12">
        <v>0</v>
      </c>
      <c r="M14" s="12"/>
      <c r="N14" s="12">
        <v>0</v>
      </c>
      <c r="O14" s="12">
        <v>0</v>
      </c>
      <c r="P14" s="12">
        <v>0</v>
      </c>
      <c r="Q14" s="12">
        <v>0</v>
      </c>
      <c r="R14" s="12">
        <f t="shared" si="2"/>
        <v>0</v>
      </c>
      <c r="S14" s="7">
        <v>11</v>
      </c>
    </row>
    <row r="15" spans="1:19" x14ac:dyDescent="0.25">
      <c r="E15" s="12"/>
      <c r="F15" s="12"/>
      <c r="G15" s="12"/>
      <c r="H15" s="12"/>
      <c r="I15" s="12"/>
      <c r="J15" s="12"/>
      <c r="K15" s="12"/>
      <c r="L15" s="12"/>
      <c r="M15" s="12"/>
      <c r="N15" s="12"/>
      <c r="O15" s="12"/>
      <c r="P15" s="12"/>
      <c r="Q15" s="12"/>
      <c r="R15" s="12"/>
      <c r="S15" s="7">
        <v>12</v>
      </c>
    </row>
    <row r="16" spans="1:19" x14ac:dyDescent="0.25">
      <c r="B16" s="76">
        <v>51</v>
      </c>
      <c r="C16" s="76"/>
      <c r="D16" s="76" t="s">
        <v>452</v>
      </c>
      <c r="E16" s="96">
        <f>E17+E18+E19+E20+E21+E22+E23+E24</f>
        <v>0</v>
      </c>
      <c r="F16" s="96">
        <f t="shared" ref="F16:R16" si="3">F17+F18+F19+F20+F21+F22+F23+F24</f>
        <v>0</v>
      </c>
      <c r="G16" s="96">
        <f t="shared" si="3"/>
        <v>0</v>
      </c>
      <c r="H16" s="96">
        <f t="shared" si="3"/>
        <v>0</v>
      </c>
      <c r="I16" s="96">
        <f t="shared" si="3"/>
        <v>0</v>
      </c>
      <c r="J16" s="96">
        <f t="shared" si="3"/>
        <v>0</v>
      </c>
      <c r="K16" s="96">
        <f t="shared" si="3"/>
        <v>0</v>
      </c>
      <c r="L16" s="96">
        <f t="shared" si="3"/>
        <v>0</v>
      </c>
      <c r="M16" s="96">
        <f t="shared" si="3"/>
        <v>0</v>
      </c>
      <c r="N16" s="96">
        <f t="shared" si="3"/>
        <v>0</v>
      </c>
      <c r="O16" s="96">
        <f t="shared" si="3"/>
        <v>0</v>
      </c>
      <c r="P16" s="96">
        <f t="shared" si="3"/>
        <v>0</v>
      </c>
      <c r="Q16" s="96">
        <f t="shared" si="3"/>
        <v>0</v>
      </c>
      <c r="R16" s="96">
        <f t="shared" si="3"/>
        <v>0</v>
      </c>
      <c r="S16" s="58">
        <v>13</v>
      </c>
    </row>
    <row r="17" spans="2:19" x14ac:dyDescent="0.25">
      <c r="C17" s="7">
        <v>510</v>
      </c>
      <c r="D17" s="7" t="s">
        <v>453</v>
      </c>
      <c r="E17" s="12">
        <v>0</v>
      </c>
      <c r="F17" s="12">
        <v>0</v>
      </c>
      <c r="G17" s="12">
        <v>0</v>
      </c>
      <c r="H17" s="12">
        <v>0</v>
      </c>
      <c r="I17" s="12">
        <v>0</v>
      </c>
      <c r="J17" s="12"/>
      <c r="K17" s="12">
        <v>0</v>
      </c>
      <c r="L17" s="12">
        <v>0</v>
      </c>
      <c r="M17" s="12"/>
      <c r="N17" s="12">
        <v>0</v>
      </c>
      <c r="O17" s="12">
        <v>0</v>
      </c>
      <c r="P17" s="12">
        <v>0</v>
      </c>
      <c r="Q17" s="12">
        <v>0</v>
      </c>
      <c r="R17" s="12">
        <f t="shared" ref="R17:R25" si="4">SUM(E17:Q17)</f>
        <v>0</v>
      </c>
      <c r="S17" s="7">
        <v>14</v>
      </c>
    </row>
    <row r="18" spans="2:19" x14ac:dyDescent="0.25">
      <c r="C18" s="7">
        <v>511</v>
      </c>
      <c r="D18" s="7" t="s">
        <v>454</v>
      </c>
      <c r="E18" s="12">
        <v>0</v>
      </c>
      <c r="F18" s="12">
        <v>0</v>
      </c>
      <c r="G18" s="12">
        <v>0</v>
      </c>
      <c r="H18" s="12">
        <v>0</v>
      </c>
      <c r="I18" s="12">
        <v>0</v>
      </c>
      <c r="J18" s="12"/>
      <c r="K18" s="12">
        <v>0</v>
      </c>
      <c r="L18" s="12">
        <v>0</v>
      </c>
      <c r="M18" s="12"/>
      <c r="N18" s="12">
        <v>0</v>
      </c>
      <c r="O18" s="12">
        <v>0</v>
      </c>
      <c r="P18" s="12">
        <v>0</v>
      </c>
      <c r="Q18" s="12">
        <v>0</v>
      </c>
      <c r="R18" s="12">
        <f t="shared" si="4"/>
        <v>0</v>
      </c>
      <c r="S18" s="7">
        <v>15</v>
      </c>
    </row>
    <row r="19" spans="2:19" x14ac:dyDescent="0.25">
      <c r="C19" s="7">
        <v>512</v>
      </c>
      <c r="D19" s="7" t="s">
        <v>455</v>
      </c>
      <c r="E19" s="12">
        <v>0</v>
      </c>
      <c r="F19" s="12">
        <v>0</v>
      </c>
      <c r="G19" s="12">
        <v>0</v>
      </c>
      <c r="H19" s="12">
        <v>0</v>
      </c>
      <c r="I19" s="12">
        <v>0</v>
      </c>
      <c r="J19" s="12"/>
      <c r="K19" s="12">
        <v>0</v>
      </c>
      <c r="L19" s="12">
        <v>0</v>
      </c>
      <c r="M19" s="12"/>
      <c r="N19" s="12">
        <v>0</v>
      </c>
      <c r="O19" s="12">
        <v>0</v>
      </c>
      <c r="P19" s="12">
        <v>0</v>
      </c>
      <c r="Q19" s="12">
        <v>0</v>
      </c>
      <c r="R19" s="12">
        <f t="shared" si="4"/>
        <v>0</v>
      </c>
      <c r="S19" s="58">
        <v>16</v>
      </c>
    </row>
    <row r="20" spans="2:19" x14ac:dyDescent="0.25">
      <c r="C20" s="7">
        <v>513</v>
      </c>
      <c r="D20" s="7" t="s">
        <v>456</v>
      </c>
      <c r="E20" s="12">
        <v>0</v>
      </c>
      <c r="F20" s="12">
        <v>0</v>
      </c>
      <c r="G20" s="12">
        <v>0</v>
      </c>
      <c r="H20" s="12">
        <v>0</v>
      </c>
      <c r="I20" s="12">
        <v>0</v>
      </c>
      <c r="J20" s="12"/>
      <c r="K20" s="12">
        <v>0</v>
      </c>
      <c r="L20" s="12">
        <v>0</v>
      </c>
      <c r="M20" s="12"/>
      <c r="N20" s="12">
        <v>0</v>
      </c>
      <c r="O20" s="12">
        <v>0</v>
      </c>
      <c r="P20" s="12">
        <v>0</v>
      </c>
      <c r="Q20" s="12">
        <v>0</v>
      </c>
      <c r="R20" s="12">
        <f t="shared" si="4"/>
        <v>0</v>
      </c>
      <c r="S20" s="7">
        <v>17</v>
      </c>
    </row>
    <row r="21" spans="2:19" x14ac:dyDescent="0.25">
      <c r="C21" s="7">
        <v>514</v>
      </c>
      <c r="D21" s="7" t="s">
        <v>457</v>
      </c>
      <c r="E21" s="12">
        <v>0</v>
      </c>
      <c r="F21" s="12">
        <v>0</v>
      </c>
      <c r="G21" s="12">
        <v>0</v>
      </c>
      <c r="H21" s="12">
        <v>0</v>
      </c>
      <c r="I21" s="12">
        <v>0</v>
      </c>
      <c r="J21" s="12"/>
      <c r="K21" s="12">
        <v>0</v>
      </c>
      <c r="L21" s="12">
        <v>0</v>
      </c>
      <c r="M21" s="12"/>
      <c r="N21" s="12">
        <v>0</v>
      </c>
      <c r="O21" s="12">
        <v>0</v>
      </c>
      <c r="P21" s="12">
        <v>0</v>
      </c>
      <c r="Q21" s="12">
        <v>0</v>
      </c>
      <c r="R21" s="12">
        <f t="shared" si="4"/>
        <v>0</v>
      </c>
      <c r="S21" s="7">
        <v>18</v>
      </c>
    </row>
    <row r="22" spans="2:19" x14ac:dyDescent="0.25">
      <c r="C22" s="7">
        <v>515</v>
      </c>
      <c r="D22" s="7" t="s">
        <v>458</v>
      </c>
      <c r="E22" s="12">
        <v>0</v>
      </c>
      <c r="F22" s="12">
        <v>0</v>
      </c>
      <c r="G22" s="12">
        <v>0</v>
      </c>
      <c r="H22" s="12">
        <v>0</v>
      </c>
      <c r="I22" s="12">
        <v>0</v>
      </c>
      <c r="J22" s="12"/>
      <c r="K22" s="12">
        <v>0</v>
      </c>
      <c r="L22" s="12">
        <v>0</v>
      </c>
      <c r="M22" s="12"/>
      <c r="N22" s="12">
        <v>0</v>
      </c>
      <c r="O22" s="12">
        <v>0</v>
      </c>
      <c r="P22" s="12">
        <v>0</v>
      </c>
      <c r="Q22" s="12">
        <v>0</v>
      </c>
      <c r="R22" s="12">
        <f t="shared" si="4"/>
        <v>0</v>
      </c>
      <c r="S22" s="58">
        <v>19</v>
      </c>
    </row>
    <row r="23" spans="2:19" x14ac:dyDescent="0.25">
      <c r="C23" s="7">
        <v>516</v>
      </c>
      <c r="D23" s="7" t="s">
        <v>459</v>
      </c>
      <c r="E23" s="12">
        <v>0</v>
      </c>
      <c r="F23" s="12">
        <v>0</v>
      </c>
      <c r="G23" s="12">
        <v>0</v>
      </c>
      <c r="H23" s="12">
        <v>0</v>
      </c>
      <c r="I23" s="12">
        <v>0</v>
      </c>
      <c r="J23" s="12"/>
      <c r="K23" s="12">
        <v>0</v>
      </c>
      <c r="L23" s="12">
        <v>0</v>
      </c>
      <c r="M23" s="12"/>
      <c r="N23" s="12">
        <v>0</v>
      </c>
      <c r="O23" s="12">
        <v>0</v>
      </c>
      <c r="P23" s="12">
        <v>0</v>
      </c>
      <c r="Q23" s="12">
        <v>0</v>
      </c>
      <c r="R23" s="12">
        <f t="shared" si="4"/>
        <v>0</v>
      </c>
      <c r="S23" s="7">
        <v>20</v>
      </c>
    </row>
    <row r="24" spans="2:19" x14ac:dyDescent="0.25">
      <c r="C24" s="7">
        <v>519</v>
      </c>
      <c r="D24" s="7" t="s">
        <v>460</v>
      </c>
      <c r="E24" s="12">
        <v>0</v>
      </c>
      <c r="F24" s="12">
        <v>0</v>
      </c>
      <c r="G24" s="12">
        <v>0</v>
      </c>
      <c r="H24" s="12">
        <v>0</v>
      </c>
      <c r="I24" s="12">
        <v>0</v>
      </c>
      <c r="J24" s="12"/>
      <c r="K24" s="12">
        <v>0</v>
      </c>
      <c r="L24" s="12">
        <v>0</v>
      </c>
      <c r="M24" s="12"/>
      <c r="N24" s="12">
        <v>0</v>
      </c>
      <c r="O24" s="12">
        <v>0</v>
      </c>
      <c r="P24" s="12">
        <v>0</v>
      </c>
      <c r="Q24" s="12">
        <v>0</v>
      </c>
      <c r="R24" s="12">
        <f t="shared" si="4"/>
        <v>0</v>
      </c>
      <c r="S24" s="7">
        <v>21</v>
      </c>
    </row>
    <row r="25" spans="2:19" x14ac:dyDescent="0.25">
      <c r="E25" s="12"/>
      <c r="F25" s="12"/>
      <c r="G25" s="12"/>
      <c r="H25" s="12"/>
      <c r="I25" s="12"/>
      <c r="J25" s="12"/>
      <c r="K25" s="12"/>
      <c r="L25" s="12"/>
      <c r="M25" s="12"/>
      <c r="N25" s="12"/>
      <c r="O25" s="12"/>
      <c r="P25" s="12"/>
      <c r="Q25" s="12"/>
      <c r="R25" s="12">
        <f t="shared" si="4"/>
        <v>0</v>
      </c>
      <c r="S25" s="58">
        <v>22</v>
      </c>
    </row>
    <row r="26" spans="2:19" x14ac:dyDescent="0.25">
      <c r="B26" s="76">
        <v>52</v>
      </c>
      <c r="C26" s="76"/>
      <c r="D26" s="76" t="s">
        <v>461</v>
      </c>
      <c r="E26" s="96">
        <f>E27+E28+E29</f>
        <v>0</v>
      </c>
      <c r="F26" s="96">
        <f t="shared" ref="F26:R26" si="5">F27+F28+F29</f>
        <v>0</v>
      </c>
      <c r="G26" s="96">
        <f t="shared" si="5"/>
        <v>0</v>
      </c>
      <c r="H26" s="96">
        <f t="shared" si="5"/>
        <v>0</v>
      </c>
      <c r="I26" s="96">
        <f t="shared" si="5"/>
        <v>0</v>
      </c>
      <c r="J26" s="96">
        <f t="shared" si="5"/>
        <v>0</v>
      </c>
      <c r="K26" s="96">
        <f t="shared" si="5"/>
        <v>0</v>
      </c>
      <c r="L26" s="96">
        <f t="shared" si="5"/>
        <v>0</v>
      </c>
      <c r="M26" s="96">
        <f t="shared" si="5"/>
        <v>0</v>
      </c>
      <c r="N26" s="96">
        <f t="shared" si="5"/>
        <v>0</v>
      </c>
      <c r="O26" s="96">
        <f t="shared" si="5"/>
        <v>0</v>
      </c>
      <c r="P26" s="96">
        <f t="shared" si="5"/>
        <v>0</v>
      </c>
      <c r="Q26" s="96">
        <f t="shared" si="5"/>
        <v>0</v>
      </c>
      <c r="R26" s="96">
        <f t="shared" si="5"/>
        <v>0</v>
      </c>
      <c r="S26" s="7">
        <v>23</v>
      </c>
    </row>
    <row r="27" spans="2:19" x14ac:dyDescent="0.25">
      <c r="C27" s="7">
        <v>520</v>
      </c>
      <c r="D27" s="7" t="s">
        <v>363</v>
      </c>
      <c r="E27" s="12">
        <v>0</v>
      </c>
      <c r="F27" s="12">
        <v>0</v>
      </c>
      <c r="G27" s="12">
        <v>0</v>
      </c>
      <c r="H27" s="12">
        <v>0</v>
      </c>
      <c r="I27" s="12">
        <v>0</v>
      </c>
      <c r="J27" s="12"/>
      <c r="K27" s="12">
        <v>0</v>
      </c>
      <c r="L27" s="12">
        <v>0</v>
      </c>
      <c r="M27" s="12"/>
      <c r="N27" s="12">
        <v>0</v>
      </c>
      <c r="O27" s="12">
        <v>0</v>
      </c>
      <c r="P27" s="12">
        <v>0</v>
      </c>
      <c r="Q27" s="12">
        <v>0</v>
      </c>
      <c r="R27" s="12">
        <f>SUM(E27:Q27)</f>
        <v>0</v>
      </c>
      <c r="S27" s="7">
        <v>24</v>
      </c>
    </row>
    <row r="28" spans="2:19" x14ac:dyDescent="0.25">
      <c r="C28" s="7">
        <v>521</v>
      </c>
      <c r="D28" s="7" t="s">
        <v>364</v>
      </c>
      <c r="E28" s="12">
        <v>0</v>
      </c>
      <c r="F28" s="12">
        <v>0</v>
      </c>
      <c r="G28" s="12">
        <v>0</v>
      </c>
      <c r="H28" s="12">
        <v>0</v>
      </c>
      <c r="I28" s="12">
        <v>0</v>
      </c>
      <c r="J28" s="12"/>
      <c r="K28" s="12">
        <v>0</v>
      </c>
      <c r="L28" s="12">
        <v>0</v>
      </c>
      <c r="M28" s="12"/>
      <c r="N28" s="12">
        <v>0</v>
      </c>
      <c r="O28" s="12">
        <v>0</v>
      </c>
      <c r="P28" s="12">
        <v>0</v>
      </c>
      <c r="Q28" s="12">
        <v>0</v>
      </c>
      <c r="R28" s="12">
        <f>SUM(E28:Q28)</f>
        <v>0</v>
      </c>
      <c r="S28" s="58">
        <v>25</v>
      </c>
    </row>
    <row r="29" spans="2:19" x14ac:dyDescent="0.25">
      <c r="C29" s="7">
        <v>529</v>
      </c>
      <c r="D29" s="7" t="s">
        <v>462</v>
      </c>
      <c r="E29" s="12">
        <v>0</v>
      </c>
      <c r="F29" s="12">
        <v>0</v>
      </c>
      <c r="G29" s="12">
        <v>0</v>
      </c>
      <c r="H29" s="12">
        <v>0</v>
      </c>
      <c r="I29" s="12">
        <v>0</v>
      </c>
      <c r="J29" s="12"/>
      <c r="K29" s="12">
        <v>0</v>
      </c>
      <c r="L29" s="12">
        <v>0</v>
      </c>
      <c r="M29" s="12"/>
      <c r="N29" s="12">
        <v>0</v>
      </c>
      <c r="O29" s="12">
        <v>0</v>
      </c>
      <c r="P29" s="12">
        <v>0</v>
      </c>
      <c r="Q29" s="12">
        <v>0</v>
      </c>
      <c r="R29" s="12">
        <f>SUM(E29:Q29)</f>
        <v>0</v>
      </c>
      <c r="S29" s="7">
        <v>26</v>
      </c>
    </row>
    <row r="30" spans="2:19" x14ac:dyDescent="0.25">
      <c r="E30" s="12"/>
      <c r="F30" s="12"/>
      <c r="G30" s="12"/>
      <c r="H30" s="12"/>
      <c r="I30" s="12"/>
      <c r="J30" s="12"/>
      <c r="K30" s="12"/>
      <c r="L30" s="12"/>
      <c r="M30" s="12"/>
      <c r="N30" s="12"/>
      <c r="O30" s="12"/>
      <c r="P30" s="12"/>
      <c r="Q30" s="12"/>
      <c r="R30" s="12"/>
      <c r="S30" s="7">
        <v>27</v>
      </c>
    </row>
    <row r="31" spans="2:19" x14ac:dyDescent="0.25">
      <c r="B31" s="76">
        <v>54</v>
      </c>
      <c r="C31" s="76"/>
      <c r="D31" s="76" t="s">
        <v>249</v>
      </c>
      <c r="E31" s="96">
        <f>E32+E33+E34+E35+E36+E37+E38+E39+E40</f>
        <v>0</v>
      </c>
      <c r="F31" s="96">
        <f t="shared" ref="F31:R31" si="6">F32+F33+F34+F35+F36+F37+F38+F39+F40</f>
        <v>0</v>
      </c>
      <c r="G31" s="96">
        <f t="shared" si="6"/>
        <v>0</v>
      </c>
      <c r="H31" s="96">
        <f t="shared" si="6"/>
        <v>0</v>
      </c>
      <c r="I31" s="96">
        <f t="shared" si="6"/>
        <v>0</v>
      </c>
      <c r="J31" s="96">
        <f t="shared" si="6"/>
        <v>0</v>
      </c>
      <c r="K31" s="96">
        <f t="shared" si="6"/>
        <v>0</v>
      </c>
      <c r="L31" s="96">
        <f t="shared" si="6"/>
        <v>0</v>
      </c>
      <c r="M31" s="96">
        <f t="shared" si="6"/>
        <v>0</v>
      </c>
      <c r="N31" s="96">
        <f t="shared" si="6"/>
        <v>0</v>
      </c>
      <c r="O31" s="96">
        <f t="shared" si="6"/>
        <v>0</v>
      </c>
      <c r="P31" s="96">
        <f t="shared" si="6"/>
        <v>0</v>
      </c>
      <c r="Q31" s="96">
        <f t="shared" si="6"/>
        <v>0</v>
      </c>
      <c r="R31" s="96">
        <f t="shared" si="6"/>
        <v>0</v>
      </c>
      <c r="S31" s="58">
        <v>28</v>
      </c>
    </row>
    <row r="32" spans="2:19" x14ac:dyDescent="0.25">
      <c r="C32" s="7">
        <v>540</v>
      </c>
      <c r="D32" s="7" t="s">
        <v>463</v>
      </c>
      <c r="E32" s="12">
        <v>0</v>
      </c>
      <c r="F32" s="12">
        <v>0</v>
      </c>
      <c r="G32" s="12">
        <v>0</v>
      </c>
      <c r="H32" s="12">
        <v>0</v>
      </c>
      <c r="I32" s="12">
        <v>0</v>
      </c>
      <c r="J32" s="12"/>
      <c r="K32" s="12">
        <v>0</v>
      </c>
      <c r="L32" s="12">
        <v>0</v>
      </c>
      <c r="M32" s="12"/>
      <c r="N32" s="12">
        <v>0</v>
      </c>
      <c r="O32" s="12">
        <v>0</v>
      </c>
      <c r="P32" s="12">
        <v>0</v>
      </c>
      <c r="Q32" s="12">
        <v>0</v>
      </c>
      <c r="R32" s="12">
        <f t="shared" ref="R32:R40" si="7">SUM(E32:Q32)</f>
        <v>0</v>
      </c>
      <c r="S32" s="7">
        <v>29</v>
      </c>
    </row>
    <row r="33" spans="2:19" x14ac:dyDescent="0.25">
      <c r="C33" s="7">
        <v>541</v>
      </c>
      <c r="D33" s="7" t="s">
        <v>464</v>
      </c>
      <c r="E33" s="12">
        <v>0</v>
      </c>
      <c r="F33" s="12">
        <v>0</v>
      </c>
      <c r="G33" s="12">
        <v>0</v>
      </c>
      <c r="H33" s="12">
        <v>0</v>
      </c>
      <c r="I33" s="12">
        <v>0</v>
      </c>
      <c r="J33" s="12"/>
      <c r="K33" s="12">
        <v>0</v>
      </c>
      <c r="L33" s="12">
        <v>0</v>
      </c>
      <c r="M33" s="12"/>
      <c r="N33" s="12">
        <v>0</v>
      </c>
      <c r="O33" s="12">
        <v>0</v>
      </c>
      <c r="P33" s="12">
        <v>0</v>
      </c>
      <c r="Q33" s="12">
        <v>0</v>
      </c>
      <c r="R33" s="12">
        <f t="shared" si="7"/>
        <v>0</v>
      </c>
      <c r="S33" s="7">
        <v>30</v>
      </c>
    </row>
    <row r="34" spans="2:19" x14ac:dyDescent="0.25">
      <c r="C34" s="7">
        <v>542</v>
      </c>
      <c r="D34" s="7" t="s">
        <v>465</v>
      </c>
      <c r="E34" s="12">
        <v>0</v>
      </c>
      <c r="F34" s="12">
        <v>0</v>
      </c>
      <c r="G34" s="12">
        <v>0</v>
      </c>
      <c r="H34" s="12">
        <v>0</v>
      </c>
      <c r="I34" s="12">
        <v>0</v>
      </c>
      <c r="J34" s="12"/>
      <c r="K34" s="12">
        <v>0</v>
      </c>
      <c r="L34" s="12">
        <v>0</v>
      </c>
      <c r="M34" s="12"/>
      <c r="N34" s="12">
        <v>0</v>
      </c>
      <c r="O34" s="12">
        <v>0</v>
      </c>
      <c r="P34" s="12">
        <v>0</v>
      </c>
      <c r="Q34" s="12">
        <v>0</v>
      </c>
      <c r="R34" s="12">
        <f t="shared" si="7"/>
        <v>0</v>
      </c>
      <c r="S34" s="58">
        <v>31</v>
      </c>
    </row>
    <row r="35" spans="2:19" x14ac:dyDescent="0.25">
      <c r="C35" s="7">
        <v>543</v>
      </c>
      <c r="D35" s="7" t="s">
        <v>466</v>
      </c>
      <c r="E35" s="12">
        <v>0</v>
      </c>
      <c r="F35" s="12">
        <v>0</v>
      </c>
      <c r="G35" s="12">
        <v>0</v>
      </c>
      <c r="H35" s="12">
        <v>0</v>
      </c>
      <c r="I35" s="12">
        <v>0</v>
      </c>
      <c r="J35" s="12"/>
      <c r="K35" s="12">
        <v>0</v>
      </c>
      <c r="L35" s="12">
        <v>0</v>
      </c>
      <c r="M35" s="12"/>
      <c r="N35" s="12">
        <v>0</v>
      </c>
      <c r="O35" s="12">
        <v>0</v>
      </c>
      <c r="P35" s="12">
        <v>0</v>
      </c>
      <c r="Q35" s="12">
        <v>0</v>
      </c>
      <c r="R35" s="12">
        <f t="shared" si="7"/>
        <v>0</v>
      </c>
      <c r="S35" s="7">
        <v>32</v>
      </c>
    </row>
    <row r="36" spans="2:19" x14ac:dyDescent="0.25">
      <c r="C36" s="7">
        <v>544</v>
      </c>
      <c r="D36" s="7" t="s">
        <v>467</v>
      </c>
      <c r="E36" s="12">
        <v>0</v>
      </c>
      <c r="F36" s="12">
        <v>0</v>
      </c>
      <c r="G36" s="12">
        <v>0</v>
      </c>
      <c r="H36" s="12">
        <v>0</v>
      </c>
      <c r="I36" s="12">
        <v>0</v>
      </c>
      <c r="J36" s="12"/>
      <c r="K36" s="12">
        <v>0</v>
      </c>
      <c r="L36" s="12">
        <v>0</v>
      </c>
      <c r="M36" s="12"/>
      <c r="N36" s="12">
        <v>0</v>
      </c>
      <c r="O36" s="12">
        <v>0</v>
      </c>
      <c r="P36" s="12">
        <v>0</v>
      </c>
      <c r="Q36" s="12">
        <v>0</v>
      </c>
      <c r="R36" s="12">
        <f t="shared" si="7"/>
        <v>0</v>
      </c>
      <c r="S36" s="7">
        <v>33</v>
      </c>
    </row>
    <row r="37" spans="2:19" x14ac:dyDescent="0.25">
      <c r="C37" s="7">
        <v>545</v>
      </c>
      <c r="D37" s="7" t="s">
        <v>468</v>
      </c>
      <c r="E37" s="12">
        <v>0</v>
      </c>
      <c r="F37" s="12">
        <v>0</v>
      </c>
      <c r="G37" s="12">
        <v>0</v>
      </c>
      <c r="H37" s="12">
        <v>0</v>
      </c>
      <c r="I37" s="12">
        <v>0</v>
      </c>
      <c r="J37" s="12"/>
      <c r="K37" s="12">
        <v>0</v>
      </c>
      <c r="L37" s="12">
        <v>0</v>
      </c>
      <c r="M37" s="12"/>
      <c r="N37" s="12">
        <v>0</v>
      </c>
      <c r="O37" s="12">
        <v>0</v>
      </c>
      <c r="P37" s="12">
        <v>0</v>
      </c>
      <c r="Q37" s="12">
        <v>0</v>
      </c>
      <c r="R37" s="12">
        <f t="shared" si="7"/>
        <v>0</v>
      </c>
      <c r="S37" s="58">
        <v>34</v>
      </c>
    </row>
    <row r="38" spans="2:19" x14ac:dyDescent="0.25">
      <c r="C38" s="7">
        <v>546</v>
      </c>
      <c r="D38" s="7" t="s">
        <v>469</v>
      </c>
      <c r="E38" s="12">
        <v>0</v>
      </c>
      <c r="F38" s="12">
        <v>0</v>
      </c>
      <c r="G38" s="12">
        <v>0</v>
      </c>
      <c r="H38" s="12">
        <v>0</v>
      </c>
      <c r="I38" s="12">
        <v>0</v>
      </c>
      <c r="J38" s="12"/>
      <c r="K38" s="12">
        <v>0</v>
      </c>
      <c r="L38" s="12">
        <v>0</v>
      </c>
      <c r="M38" s="12"/>
      <c r="N38" s="12">
        <v>0</v>
      </c>
      <c r="O38" s="12">
        <v>0</v>
      </c>
      <c r="P38" s="12">
        <v>0</v>
      </c>
      <c r="Q38" s="12">
        <v>0</v>
      </c>
      <c r="R38" s="12">
        <f t="shared" si="7"/>
        <v>0</v>
      </c>
      <c r="S38" s="7">
        <v>35</v>
      </c>
    </row>
    <row r="39" spans="2:19" x14ac:dyDescent="0.25">
      <c r="C39" s="7">
        <v>547</v>
      </c>
      <c r="D39" s="7" t="s">
        <v>470</v>
      </c>
      <c r="E39" s="12">
        <v>0</v>
      </c>
      <c r="F39" s="12">
        <v>0</v>
      </c>
      <c r="G39" s="12">
        <v>0</v>
      </c>
      <c r="H39" s="12">
        <v>0</v>
      </c>
      <c r="I39" s="12">
        <v>0</v>
      </c>
      <c r="J39" s="12"/>
      <c r="K39" s="12">
        <v>0</v>
      </c>
      <c r="L39" s="12">
        <v>0</v>
      </c>
      <c r="M39" s="12"/>
      <c r="N39" s="12">
        <v>0</v>
      </c>
      <c r="O39" s="12">
        <v>0</v>
      </c>
      <c r="P39" s="12">
        <v>0</v>
      </c>
      <c r="Q39" s="12">
        <v>0</v>
      </c>
      <c r="R39" s="12">
        <f t="shared" si="7"/>
        <v>0</v>
      </c>
      <c r="S39" s="7">
        <v>36</v>
      </c>
    </row>
    <row r="40" spans="2:19" x14ac:dyDescent="0.25">
      <c r="C40" s="7">
        <v>548</v>
      </c>
      <c r="D40" s="7" t="s">
        <v>471</v>
      </c>
      <c r="E40" s="12">
        <v>0</v>
      </c>
      <c r="F40" s="12">
        <v>0</v>
      </c>
      <c r="G40" s="12">
        <v>0</v>
      </c>
      <c r="H40" s="12">
        <v>0</v>
      </c>
      <c r="I40" s="12">
        <v>0</v>
      </c>
      <c r="J40" s="12"/>
      <c r="K40" s="12">
        <v>0</v>
      </c>
      <c r="L40" s="12">
        <v>0</v>
      </c>
      <c r="M40" s="12"/>
      <c r="N40" s="12">
        <v>0</v>
      </c>
      <c r="O40" s="12">
        <v>0</v>
      </c>
      <c r="P40" s="12">
        <v>0</v>
      </c>
      <c r="Q40" s="12">
        <v>0</v>
      </c>
      <c r="R40" s="12">
        <f t="shared" si="7"/>
        <v>0</v>
      </c>
      <c r="S40" s="58">
        <v>37</v>
      </c>
    </row>
    <row r="41" spans="2:19" x14ac:dyDescent="0.25">
      <c r="E41" s="12"/>
      <c r="F41" s="12"/>
      <c r="G41" s="12"/>
      <c r="H41" s="12"/>
      <c r="I41" s="12"/>
      <c r="J41" s="12"/>
      <c r="K41" s="12"/>
      <c r="L41" s="12"/>
      <c r="M41" s="12"/>
      <c r="N41" s="12"/>
      <c r="O41" s="12"/>
      <c r="P41" s="12"/>
      <c r="Q41" s="12"/>
      <c r="R41" s="12"/>
      <c r="S41" s="7">
        <v>38</v>
      </c>
    </row>
    <row r="42" spans="2:19" x14ac:dyDescent="0.25">
      <c r="B42" s="76">
        <v>55</v>
      </c>
      <c r="C42" s="76"/>
      <c r="D42" s="76" t="s">
        <v>376</v>
      </c>
      <c r="E42" s="96">
        <f>E43+E44+E45+E46+E47+E48+E49+E50+E51</f>
        <v>0</v>
      </c>
      <c r="F42" s="96">
        <f t="shared" ref="F42:R42" si="8">F43+F44+F45+F46+F47+F48+F49+F50+F51</f>
        <v>0</v>
      </c>
      <c r="G42" s="96">
        <f t="shared" si="8"/>
        <v>0</v>
      </c>
      <c r="H42" s="96">
        <f t="shared" si="8"/>
        <v>0</v>
      </c>
      <c r="I42" s="96">
        <f t="shared" si="8"/>
        <v>0</v>
      </c>
      <c r="J42" s="96">
        <f t="shared" si="8"/>
        <v>0</v>
      </c>
      <c r="K42" s="96">
        <f t="shared" si="8"/>
        <v>0</v>
      </c>
      <c r="L42" s="96">
        <f t="shared" si="8"/>
        <v>0</v>
      </c>
      <c r="M42" s="96">
        <f t="shared" si="8"/>
        <v>0</v>
      </c>
      <c r="N42" s="96">
        <f t="shared" si="8"/>
        <v>0</v>
      </c>
      <c r="O42" s="96">
        <f t="shared" si="8"/>
        <v>0</v>
      </c>
      <c r="P42" s="96">
        <f t="shared" si="8"/>
        <v>0</v>
      </c>
      <c r="Q42" s="96">
        <f t="shared" si="8"/>
        <v>0</v>
      </c>
      <c r="R42" s="96">
        <f t="shared" si="8"/>
        <v>0</v>
      </c>
      <c r="S42" s="7">
        <v>39</v>
      </c>
    </row>
    <row r="43" spans="2:19" x14ac:dyDescent="0.25">
      <c r="C43" s="7">
        <v>550</v>
      </c>
      <c r="D43" s="7" t="s">
        <v>463</v>
      </c>
      <c r="E43" s="12">
        <v>0</v>
      </c>
      <c r="F43" s="12">
        <v>0</v>
      </c>
      <c r="G43" s="12">
        <v>0</v>
      </c>
      <c r="H43" s="12">
        <v>0</v>
      </c>
      <c r="I43" s="12">
        <v>0</v>
      </c>
      <c r="J43" s="12"/>
      <c r="K43" s="12">
        <v>0</v>
      </c>
      <c r="L43" s="12">
        <v>0</v>
      </c>
      <c r="M43" s="12"/>
      <c r="N43" s="12">
        <v>0</v>
      </c>
      <c r="O43" s="12">
        <v>0</v>
      </c>
      <c r="P43" s="12">
        <v>0</v>
      </c>
      <c r="Q43" s="12">
        <v>0</v>
      </c>
      <c r="R43" s="12">
        <f t="shared" ref="R43:R51" si="9">SUM(E43:Q43)</f>
        <v>0</v>
      </c>
      <c r="S43" s="58">
        <v>40</v>
      </c>
    </row>
    <row r="44" spans="2:19" x14ac:dyDescent="0.25">
      <c r="C44" s="7">
        <v>551</v>
      </c>
      <c r="D44" s="7" t="s">
        <v>464</v>
      </c>
      <c r="E44" s="12">
        <v>0</v>
      </c>
      <c r="F44" s="12">
        <v>0</v>
      </c>
      <c r="G44" s="12">
        <v>0</v>
      </c>
      <c r="H44" s="12">
        <v>0</v>
      </c>
      <c r="I44" s="12">
        <v>0</v>
      </c>
      <c r="J44" s="12"/>
      <c r="K44" s="12">
        <v>0</v>
      </c>
      <c r="L44" s="12">
        <v>0</v>
      </c>
      <c r="M44" s="12"/>
      <c r="N44" s="12">
        <v>0</v>
      </c>
      <c r="O44" s="12">
        <v>0</v>
      </c>
      <c r="P44" s="12">
        <v>0</v>
      </c>
      <c r="Q44" s="12">
        <v>0</v>
      </c>
      <c r="R44" s="12">
        <f t="shared" si="9"/>
        <v>0</v>
      </c>
      <c r="S44" s="7">
        <v>41</v>
      </c>
    </row>
    <row r="45" spans="2:19" x14ac:dyDescent="0.25">
      <c r="C45" s="7">
        <v>552</v>
      </c>
      <c r="D45" s="7" t="s">
        <v>465</v>
      </c>
      <c r="E45" s="12">
        <v>0</v>
      </c>
      <c r="F45" s="12">
        <v>0</v>
      </c>
      <c r="G45" s="12">
        <v>0</v>
      </c>
      <c r="H45" s="12">
        <v>0</v>
      </c>
      <c r="I45" s="12">
        <v>0</v>
      </c>
      <c r="J45" s="12"/>
      <c r="K45" s="12">
        <v>0</v>
      </c>
      <c r="L45" s="12">
        <v>0</v>
      </c>
      <c r="M45" s="12"/>
      <c r="N45" s="12">
        <v>0</v>
      </c>
      <c r="O45" s="12">
        <v>0</v>
      </c>
      <c r="P45" s="12">
        <v>0</v>
      </c>
      <c r="Q45" s="12">
        <v>0</v>
      </c>
      <c r="R45" s="12">
        <f t="shared" si="9"/>
        <v>0</v>
      </c>
      <c r="S45" s="7">
        <v>42</v>
      </c>
    </row>
    <row r="46" spans="2:19" x14ac:dyDescent="0.25">
      <c r="C46" s="7">
        <v>553</v>
      </c>
      <c r="D46" s="7" t="s">
        <v>466</v>
      </c>
      <c r="E46" s="12">
        <v>0</v>
      </c>
      <c r="F46" s="12">
        <v>0</v>
      </c>
      <c r="G46" s="12">
        <v>0</v>
      </c>
      <c r="H46" s="12">
        <v>0</v>
      </c>
      <c r="I46" s="12">
        <v>0</v>
      </c>
      <c r="J46" s="12"/>
      <c r="K46" s="12">
        <v>0</v>
      </c>
      <c r="L46" s="12">
        <v>0</v>
      </c>
      <c r="M46" s="12"/>
      <c r="N46" s="12">
        <v>0</v>
      </c>
      <c r="O46" s="12">
        <v>0</v>
      </c>
      <c r="P46" s="12">
        <v>0</v>
      </c>
      <c r="Q46" s="12">
        <v>0</v>
      </c>
      <c r="R46" s="12">
        <f t="shared" si="9"/>
        <v>0</v>
      </c>
      <c r="S46" s="58">
        <v>43</v>
      </c>
    </row>
    <row r="47" spans="2:19" x14ac:dyDescent="0.25">
      <c r="C47" s="7">
        <v>554</v>
      </c>
      <c r="D47" s="7" t="s">
        <v>467</v>
      </c>
      <c r="E47" s="12">
        <v>0</v>
      </c>
      <c r="F47" s="12">
        <v>0</v>
      </c>
      <c r="G47" s="12">
        <v>0</v>
      </c>
      <c r="H47" s="12">
        <v>0</v>
      </c>
      <c r="I47" s="12">
        <v>0</v>
      </c>
      <c r="J47" s="12"/>
      <c r="K47" s="12">
        <v>0</v>
      </c>
      <c r="L47" s="12">
        <v>0</v>
      </c>
      <c r="M47" s="12"/>
      <c r="N47" s="12">
        <v>0</v>
      </c>
      <c r="O47" s="12">
        <v>0</v>
      </c>
      <c r="P47" s="12">
        <v>0</v>
      </c>
      <c r="Q47" s="12">
        <v>0</v>
      </c>
      <c r="R47" s="12">
        <f t="shared" si="9"/>
        <v>0</v>
      </c>
      <c r="S47" s="7">
        <v>44</v>
      </c>
    </row>
    <row r="48" spans="2:19" x14ac:dyDescent="0.25">
      <c r="C48" s="7">
        <v>555</v>
      </c>
      <c r="D48" s="7" t="s">
        <v>468</v>
      </c>
      <c r="E48" s="12">
        <v>0</v>
      </c>
      <c r="F48" s="12">
        <v>0</v>
      </c>
      <c r="G48" s="12">
        <v>0</v>
      </c>
      <c r="H48" s="12">
        <v>0</v>
      </c>
      <c r="I48" s="12">
        <v>0</v>
      </c>
      <c r="J48" s="12"/>
      <c r="K48" s="12">
        <v>0</v>
      </c>
      <c r="L48" s="12">
        <v>0</v>
      </c>
      <c r="M48" s="12"/>
      <c r="N48" s="12">
        <v>0</v>
      </c>
      <c r="O48" s="12">
        <v>0</v>
      </c>
      <c r="P48" s="12">
        <v>0</v>
      </c>
      <c r="Q48" s="12">
        <v>0</v>
      </c>
      <c r="R48" s="12">
        <f t="shared" si="9"/>
        <v>0</v>
      </c>
      <c r="S48" s="7">
        <v>45</v>
      </c>
    </row>
    <row r="49" spans="2:19" x14ac:dyDescent="0.25">
      <c r="C49" s="7">
        <v>556</v>
      </c>
      <c r="D49" s="7" t="s">
        <v>469</v>
      </c>
      <c r="E49" s="12">
        <v>0</v>
      </c>
      <c r="F49" s="12">
        <v>0</v>
      </c>
      <c r="G49" s="12">
        <v>0</v>
      </c>
      <c r="H49" s="12">
        <v>0</v>
      </c>
      <c r="I49" s="12">
        <v>0</v>
      </c>
      <c r="J49" s="12"/>
      <c r="K49" s="12">
        <v>0</v>
      </c>
      <c r="L49" s="12">
        <v>0</v>
      </c>
      <c r="M49" s="12"/>
      <c r="N49" s="12">
        <v>0</v>
      </c>
      <c r="O49" s="12">
        <v>0</v>
      </c>
      <c r="P49" s="12">
        <v>0</v>
      </c>
      <c r="Q49" s="12">
        <v>0</v>
      </c>
      <c r="R49" s="12">
        <f t="shared" si="9"/>
        <v>0</v>
      </c>
      <c r="S49" s="58">
        <v>46</v>
      </c>
    </row>
    <row r="50" spans="2:19" x14ac:dyDescent="0.25">
      <c r="C50" s="7">
        <v>557</v>
      </c>
      <c r="D50" s="7" t="s">
        <v>470</v>
      </c>
      <c r="E50" s="12">
        <v>0</v>
      </c>
      <c r="F50" s="12">
        <v>0</v>
      </c>
      <c r="G50" s="12">
        <v>0</v>
      </c>
      <c r="H50" s="12">
        <v>0</v>
      </c>
      <c r="I50" s="12">
        <v>0</v>
      </c>
      <c r="J50" s="12"/>
      <c r="K50" s="12">
        <v>0</v>
      </c>
      <c r="L50" s="12">
        <v>0</v>
      </c>
      <c r="M50" s="12"/>
      <c r="N50" s="12">
        <v>0</v>
      </c>
      <c r="O50" s="12">
        <v>0</v>
      </c>
      <c r="P50" s="12">
        <v>0</v>
      </c>
      <c r="Q50" s="12">
        <v>0</v>
      </c>
      <c r="R50" s="12">
        <f t="shared" si="9"/>
        <v>0</v>
      </c>
      <c r="S50" s="7">
        <v>47</v>
      </c>
    </row>
    <row r="51" spans="2:19" x14ac:dyDescent="0.25">
      <c r="C51" s="7">
        <v>558</v>
      </c>
      <c r="D51" s="7" t="s">
        <v>471</v>
      </c>
      <c r="E51" s="12">
        <v>0</v>
      </c>
      <c r="F51" s="12">
        <v>0</v>
      </c>
      <c r="G51" s="12">
        <v>0</v>
      </c>
      <c r="H51" s="12">
        <v>0</v>
      </c>
      <c r="I51" s="12">
        <v>0</v>
      </c>
      <c r="J51" s="12"/>
      <c r="K51" s="12">
        <v>0</v>
      </c>
      <c r="L51" s="12">
        <v>0</v>
      </c>
      <c r="M51" s="12"/>
      <c r="N51" s="12">
        <v>0</v>
      </c>
      <c r="O51" s="12">
        <v>0</v>
      </c>
      <c r="P51" s="12">
        <v>0</v>
      </c>
      <c r="Q51" s="12">
        <v>0</v>
      </c>
      <c r="R51" s="12">
        <f t="shared" si="9"/>
        <v>0</v>
      </c>
      <c r="S51" s="7">
        <v>48</v>
      </c>
    </row>
    <row r="52" spans="2:19" x14ac:dyDescent="0.25">
      <c r="E52" s="12"/>
      <c r="F52" s="12"/>
      <c r="G52" s="12"/>
      <c r="H52" s="12"/>
      <c r="I52" s="12"/>
      <c r="J52" s="12"/>
      <c r="K52" s="12"/>
      <c r="L52" s="12"/>
      <c r="M52" s="12"/>
      <c r="N52" s="12"/>
      <c r="O52" s="12"/>
      <c r="P52" s="12"/>
      <c r="Q52" s="12"/>
      <c r="R52" s="12"/>
      <c r="S52" s="58">
        <v>49</v>
      </c>
    </row>
    <row r="53" spans="2:19" x14ac:dyDescent="0.25">
      <c r="B53" s="76">
        <v>56</v>
      </c>
      <c r="C53" s="76"/>
      <c r="D53" s="76" t="s">
        <v>472</v>
      </c>
      <c r="E53" s="96">
        <f>E54+E55+E56+E57+E58+E59+E60+E61+E62</f>
        <v>0</v>
      </c>
      <c r="F53" s="96">
        <f t="shared" ref="F53:R53" si="10">F54+F55+F56+F57+F58+F59+F60+F61+F62</f>
        <v>0</v>
      </c>
      <c r="G53" s="96">
        <f t="shared" si="10"/>
        <v>0</v>
      </c>
      <c r="H53" s="96">
        <f t="shared" si="10"/>
        <v>0</v>
      </c>
      <c r="I53" s="96">
        <f t="shared" si="10"/>
        <v>0</v>
      </c>
      <c r="J53" s="96">
        <f t="shared" si="10"/>
        <v>0</v>
      </c>
      <c r="K53" s="96">
        <f t="shared" si="10"/>
        <v>0</v>
      </c>
      <c r="L53" s="96">
        <f t="shared" si="10"/>
        <v>0</v>
      </c>
      <c r="M53" s="96">
        <f t="shared" si="10"/>
        <v>0</v>
      </c>
      <c r="N53" s="96">
        <f t="shared" si="10"/>
        <v>0</v>
      </c>
      <c r="O53" s="96">
        <f t="shared" si="10"/>
        <v>0</v>
      </c>
      <c r="P53" s="96">
        <f t="shared" si="10"/>
        <v>0</v>
      </c>
      <c r="Q53" s="96">
        <f t="shared" si="10"/>
        <v>0</v>
      </c>
      <c r="R53" s="96">
        <f t="shared" si="10"/>
        <v>0</v>
      </c>
      <c r="S53" s="7">
        <v>50</v>
      </c>
    </row>
    <row r="54" spans="2:19" x14ac:dyDescent="0.25">
      <c r="C54" s="7">
        <v>560</v>
      </c>
      <c r="D54" s="7" t="s">
        <v>463</v>
      </c>
      <c r="E54" s="12">
        <v>0</v>
      </c>
      <c r="F54" s="12">
        <v>0</v>
      </c>
      <c r="G54" s="12">
        <v>0</v>
      </c>
      <c r="H54" s="12">
        <v>0</v>
      </c>
      <c r="I54" s="12">
        <v>0</v>
      </c>
      <c r="J54" s="12"/>
      <c r="K54" s="12">
        <v>0</v>
      </c>
      <c r="L54" s="12">
        <v>0</v>
      </c>
      <c r="M54" s="12"/>
      <c r="N54" s="12">
        <v>0</v>
      </c>
      <c r="O54" s="12">
        <v>0</v>
      </c>
      <c r="P54" s="12">
        <v>0</v>
      </c>
      <c r="Q54" s="12">
        <v>0</v>
      </c>
      <c r="R54" s="12">
        <f t="shared" ref="R54:R62" si="11">SUM(E54:Q54)</f>
        <v>0</v>
      </c>
      <c r="S54" s="7">
        <v>51</v>
      </c>
    </row>
    <row r="55" spans="2:19" x14ac:dyDescent="0.25">
      <c r="C55" s="7">
        <v>561</v>
      </c>
      <c r="D55" s="7" t="s">
        <v>464</v>
      </c>
      <c r="E55" s="12">
        <v>0</v>
      </c>
      <c r="F55" s="12">
        <v>0</v>
      </c>
      <c r="G55" s="12">
        <v>0</v>
      </c>
      <c r="H55" s="12">
        <v>0</v>
      </c>
      <c r="I55" s="12">
        <v>0</v>
      </c>
      <c r="J55" s="12"/>
      <c r="K55" s="12">
        <v>0</v>
      </c>
      <c r="L55" s="12">
        <v>0</v>
      </c>
      <c r="M55" s="12"/>
      <c r="N55" s="12">
        <v>0</v>
      </c>
      <c r="O55" s="12">
        <v>0</v>
      </c>
      <c r="P55" s="12">
        <v>0</v>
      </c>
      <c r="Q55" s="12">
        <v>0</v>
      </c>
      <c r="R55" s="12">
        <f t="shared" si="11"/>
        <v>0</v>
      </c>
      <c r="S55" s="58">
        <v>52</v>
      </c>
    </row>
    <row r="56" spans="2:19" x14ac:dyDescent="0.25">
      <c r="C56" s="7">
        <v>562</v>
      </c>
      <c r="D56" s="7" t="s">
        <v>465</v>
      </c>
      <c r="E56" s="12">
        <v>0</v>
      </c>
      <c r="F56" s="12">
        <v>0</v>
      </c>
      <c r="G56" s="12">
        <v>0</v>
      </c>
      <c r="H56" s="12">
        <v>0</v>
      </c>
      <c r="I56" s="12">
        <v>0</v>
      </c>
      <c r="J56" s="12"/>
      <c r="K56" s="12">
        <v>0</v>
      </c>
      <c r="L56" s="12">
        <v>0</v>
      </c>
      <c r="M56" s="12"/>
      <c r="N56" s="12">
        <v>0</v>
      </c>
      <c r="O56" s="12">
        <v>0</v>
      </c>
      <c r="P56" s="12">
        <v>0</v>
      </c>
      <c r="Q56" s="12">
        <v>0</v>
      </c>
      <c r="R56" s="12">
        <f t="shared" si="11"/>
        <v>0</v>
      </c>
      <c r="S56" s="7">
        <v>53</v>
      </c>
    </row>
    <row r="57" spans="2:19" x14ac:dyDescent="0.25">
      <c r="C57" s="7">
        <v>563</v>
      </c>
      <c r="D57" s="7" t="s">
        <v>466</v>
      </c>
      <c r="E57" s="12">
        <v>0</v>
      </c>
      <c r="F57" s="12">
        <v>0</v>
      </c>
      <c r="G57" s="12">
        <v>0</v>
      </c>
      <c r="H57" s="12">
        <v>0</v>
      </c>
      <c r="I57" s="12">
        <v>0</v>
      </c>
      <c r="J57" s="12"/>
      <c r="K57" s="12">
        <v>0</v>
      </c>
      <c r="L57" s="12">
        <v>0</v>
      </c>
      <c r="M57" s="12"/>
      <c r="N57" s="12">
        <v>0</v>
      </c>
      <c r="O57" s="12">
        <v>0</v>
      </c>
      <c r="P57" s="12">
        <v>0</v>
      </c>
      <c r="Q57" s="12">
        <v>0</v>
      </c>
      <c r="R57" s="12">
        <f t="shared" si="11"/>
        <v>0</v>
      </c>
      <c r="S57" s="7">
        <v>54</v>
      </c>
    </row>
    <row r="58" spans="2:19" x14ac:dyDescent="0.25">
      <c r="C58" s="7">
        <v>564</v>
      </c>
      <c r="D58" s="7" t="s">
        <v>467</v>
      </c>
      <c r="E58" s="12">
        <v>0</v>
      </c>
      <c r="F58" s="12">
        <v>0</v>
      </c>
      <c r="G58" s="12">
        <v>0</v>
      </c>
      <c r="H58" s="12">
        <v>0</v>
      </c>
      <c r="I58" s="12">
        <v>0</v>
      </c>
      <c r="J58" s="12"/>
      <c r="K58" s="12">
        <v>0</v>
      </c>
      <c r="L58" s="12">
        <v>0</v>
      </c>
      <c r="M58" s="12"/>
      <c r="N58" s="12">
        <v>0</v>
      </c>
      <c r="O58" s="12">
        <v>0</v>
      </c>
      <c r="P58" s="12">
        <v>0</v>
      </c>
      <c r="Q58" s="12">
        <v>0</v>
      </c>
      <c r="R58" s="12">
        <f t="shared" si="11"/>
        <v>0</v>
      </c>
      <c r="S58" s="58">
        <v>55</v>
      </c>
    </row>
    <row r="59" spans="2:19" x14ac:dyDescent="0.25">
      <c r="C59" s="7">
        <v>565</v>
      </c>
      <c r="D59" s="7" t="s">
        <v>468</v>
      </c>
      <c r="E59" s="12">
        <v>0</v>
      </c>
      <c r="F59" s="12">
        <v>0</v>
      </c>
      <c r="G59" s="12">
        <v>0</v>
      </c>
      <c r="H59" s="12">
        <v>0</v>
      </c>
      <c r="I59" s="12">
        <v>0</v>
      </c>
      <c r="J59" s="12"/>
      <c r="K59" s="12">
        <v>0</v>
      </c>
      <c r="L59" s="12">
        <v>0</v>
      </c>
      <c r="M59" s="12"/>
      <c r="N59" s="12">
        <v>0</v>
      </c>
      <c r="O59" s="12">
        <v>0</v>
      </c>
      <c r="P59" s="12">
        <v>0</v>
      </c>
      <c r="Q59" s="12">
        <v>0</v>
      </c>
      <c r="R59" s="12">
        <f t="shared" si="11"/>
        <v>0</v>
      </c>
      <c r="S59" s="7">
        <v>56</v>
      </c>
    </row>
    <row r="60" spans="2:19" x14ac:dyDescent="0.25">
      <c r="C60" s="7">
        <v>566</v>
      </c>
      <c r="D60" s="7" t="s">
        <v>469</v>
      </c>
      <c r="E60" s="12">
        <v>0</v>
      </c>
      <c r="F60" s="12">
        <v>0</v>
      </c>
      <c r="G60" s="12">
        <v>0</v>
      </c>
      <c r="H60" s="12">
        <v>0</v>
      </c>
      <c r="I60" s="12">
        <v>0</v>
      </c>
      <c r="J60" s="12"/>
      <c r="K60" s="12">
        <v>0</v>
      </c>
      <c r="L60" s="12">
        <v>0</v>
      </c>
      <c r="M60" s="12"/>
      <c r="N60" s="12">
        <v>0</v>
      </c>
      <c r="O60" s="12">
        <v>0</v>
      </c>
      <c r="P60" s="12">
        <v>0</v>
      </c>
      <c r="Q60" s="12">
        <v>0</v>
      </c>
      <c r="R60" s="12">
        <f t="shared" si="11"/>
        <v>0</v>
      </c>
      <c r="S60" s="7">
        <v>57</v>
      </c>
    </row>
    <row r="61" spans="2:19" x14ac:dyDescent="0.25">
      <c r="C61" s="7">
        <v>567</v>
      </c>
      <c r="D61" s="7" t="s">
        <v>470</v>
      </c>
      <c r="E61" s="12">
        <v>0</v>
      </c>
      <c r="F61" s="12">
        <v>0</v>
      </c>
      <c r="G61" s="12">
        <v>0</v>
      </c>
      <c r="H61" s="12">
        <v>0</v>
      </c>
      <c r="I61" s="12">
        <v>0</v>
      </c>
      <c r="J61" s="12"/>
      <c r="K61" s="12">
        <v>0</v>
      </c>
      <c r="L61" s="12">
        <v>0</v>
      </c>
      <c r="M61" s="12"/>
      <c r="N61" s="12">
        <v>0</v>
      </c>
      <c r="O61" s="12">
        <v>0</v>
      </c>
      <c r="P61" s="12">
        <v>0</v>
      </c>
      <c r="Q61" s="12">
        <v>0</v>
      </c>
      <c r="R61" s="12">
        <f t="shared" si="11"/>
        <v>0</v>
      </c>
      <c r="S61" s="58">
        <v>58</v>
      </c>
    </row>
    <row r="62" spans="2:19" x14ac:dyDescent="0.25">
      <c r="C62" s="7">
        <v>568</v>
      </c>
      <c r="D62" s="7" t="s">
        <v>471</v>
      </c>
      <c r="E62" s="12">
        <v>0</v>
      </c>
      <c r="F62" s="12">
        <v>0</v>
      </c>
      <c r="G62" s="12">
        <v>0</v>
      </c>
      <c r="H62" s="12">
        <v>0</v>
      </c>
      <c r="I62" s="12">
        <v>0</v>
      </c>
      <c r="J62" s="12"/>
      <c r="K62" s="12">
        <v>0</v>
      </c>
      <c r="L62" s="12">
        <v>0</v>
      </c>
      <c r="M62" s="12"/>
      <c r="N62" s="12">
        <v>0</v>
      </c>
      <c r="O62" s="12">
        <v>0</v>
      </c>
      <c r="P62" s="12">
        <v>0</v>
      </c>
      <c r="Q62" s="12">
        <v>0</v>
      </c>
      <c r="R62" s="12">
        <f t="shared" si="11"/>
        <v>0</v>
      </c>
      <c r="S62" s="7">
        <v>59</v>
      </c>
    </row>
    <row r="63" spans="2:19" x14ac:dyDescent="0.25">
      <c r="E63" s="12"/>
      <c r="F63" s="12"/>
      <c r="G63" s="12"/>
      <c r="H63" s="12"/>
      <c r="I63" s="12"/>
      <c r="J63" s="12"/>
      <c r="K63" s="12"/>
      <c r="L63" s="12"/>
      <c r="M63" s="12"/>
      <c r="N63" s="12"/>
      <c r="O63" s="12"/>
      <c r="P63" s="12"/>
      <c r="Q63" s="12"/>
      <c r="R63" s="12"/>
      <c r="S63" s="7">
        <v>60</v>
      </c>
    </row>
    <row r="64" spans="2:19" x14ac:dyDescent="0.25">
      <c r="B64" s="76">
        <v>57</v>
      </c>
      <c r="C64" s="76"/>
      <c r="D64" s="76" t="s">
        <v>473</v>
      </c>
      <c r="E64" s="96">
        <f>E65+E66+E67+E68+E69+E70+E71+E72+E73</f>
        <v>0</v>
      </c>
      <c r="F64" s="96">
        <f t="shared" ref="F64:R64" si="12">F65+F66+F67+F68+F69+F70+F71+F72+F73</f>
        <v>0</v>
      </c>
      <c r="G64" s="96">
        <f t="shared" si="12"/>
        <v>0</v>
      </c>
      <c r="H64" s="96">
        <f t="shared" si="12"/>
        <v>0</v>
      </c>
      <c r="I64" s="96">
        <f t="shared" si="12"/>
        <v>0</v>
      </c>
      <c r="J64" s="96">
        <f t="shared" si="12"/>
        <v>0</v>
      </c>
      <c r="K64" s="96">
        <f t="shared" si="12"/>
        <v>0</v>
      </c>
      <c r="L64" s="96">
        <f t="shared" si="12"/>
        <v>0</v>
      </c>
      <c r="M64" s="96">
        <f t="shared" si="12"/>
        <v>0</v>
      </c>
      <c r="N64" s="96">
        <f t="shared" si="12"/>
        <v>0</v>
      </c>
      <c r="O64" s="96">
        <f t="shared" si="12"/>
        <v>0</v>
      </c>
      <c r="P64" s="96">
        <f t="shared" si="12"/>
        <v>0</v>
      </c>
      <c r="Q64" s="96">
        <f t="shared" si="12"/>
        <v>0</v>
      </c>
      <c r="R64" s="96">
        <f t="shared" si="12"/>
        <v>0</v>
      </c>
      <c r="S64" s="58">
        <v>61</v>
      </c>
    </row>
    <row r="65" spans="2:19" x14ac:dyDescent="0.25">
      <c r="C65" s="7">
        <v>570</v>
      </c>
      <c r="D65" s="7" t="s">
        <v>463</v>
      </c>
      <c r="E65" s="12">
        <v>0</v>
      </c>
      <c r="F65" s="12">
        <v>0</v>
      </c>
      <c r="G65" s="12">
        <v>0</v>
      </c>
      <c r="H65" s="12">
        <v>0</v>
      </c>
      <c r="I65" s="12">
        <v>0</v>
      </c>
      <c r="J65" s="12"/>
      <c r="K65" s="12">
        <v>0</v>
      </c>
      <c r="L65" s="12">
        <v>0</v>
      </c>
      <c r="M65" s="12"/>
      <c r="N65" s="12">
        <v>0</v>
      </c>
      <c r="O65" s="12">
        <v>0</v>
      </c>
      <c r="P65" s="12">
        <v>0</v>
      </c>
      <c r="Q65" s="12">
        <v>0</v>
      </c>
      <c r="R65" s="12">
        <f t="shared" ref="R65:R73" si="13">SUM(E65:Q65)</f>
        <v>0</v>
      </c>
      <c r="S65" s="7">
        <v>62</v>
      </c>
    </row>
    <row r="66" spans="2:19" x14ac:dyDescent="0.25">
      <c r="C66" s="7">
        <v>571</v>
      </c>
      <c r="D66" s="7" t="s">
        <v>464</v>
      </c>
      <c r="E66" s="12">
        <v>0</v>
      </c>
      <c r="F66" s="12">
        <v>0</v>
      </c>
      <c r="G66" s="12">
        <v>0</v>
      </c>
      <c r="H66" s="12">
        <v>0</v>
      </c>
      <c r="I66" s="12">
        <v>0</v>
      </c>
      <c r="J66" s="12"/>
      <c r="K66" s="12">
        <v>0</v>
      </c>
      <c r="L66" s="12">
        <v>0</v>
      </c>
      <c r="M66" s="12"/>
      <c r="N66" s="12">
        <v>0</v>
      </c>
      <c r="O66" s="12">
        <v>0</v>
      </c>
      <c r="P66" s="12">
        <v>0</v>
      </c>
      <c r="Q66" s="12">
        <v>0</v>
      </c>
      <c r="R66" s="12">
        <f t="shared" si="13"/>
        <v>0</v>
      </c>
      <c r="S66" s="7">
        <v>63</v>
      </c>
    </row>
    <row r="67" spans="2:19" x14ac:dyDescent="0.25">
      <c r="C67" s="7">
        <v>572</v>
      </c>
      <c r="D67" s="7" t="s">
        <v>465</v>
      </c>
      <c r="E67" s="12">
        <v>0</v>
      </c>
      <c r="F67" s="12">
        <v>0</v>
      </c>
      <c r="G67" s="12">
        <v>0</v>
      </c>
      <c r="H67" s="12">
        <v>0</v>
      </c>
      <c r="I67" s="12">
        <v>0</v>
      </c>
      <c r="J67" s="12"/>
      <c r="K67" s="12">
        <v>0</v>
      </c>
      <c r="L67" s="12">
        <v>0</v>
      </c>
      <c r="M67" s="12"/>
      <c r="N67" s="12">
        <v>0</v>
      </c>
      <c r="O67" s="12">
        <v>0</v>
      </c>
      <c r="P67" s="12">
        <v>0</v>
      </c>
      <c r="Q67" s="12">
        <v>0</v>
      </c>
      <c r="R67" s="12">
        <f t="shared" si="13"/>
        <v>0</v>
      </c>
      <c r="S67" s="58">
        <v>64</v>
      </c>
    </row>
    <row r="68" spans="2:19" x14ac:dyDescent="0.25">
      <c r="C68" s="7">
        <v>573</v>
      </c>
      <c r="D68" s="7" t="s">
        <v>466</v>
      </c>
      <c r="E68" s="12">
        <v>0</v>
      </c>
      <c r="F68" s="12">
        <v>0</v>
      </c>
      <c r="G68" s="12">
        <v>0</v>
      </c>
      <c r="H68" s="12">
        <v>0</v>
      </c>
      <c r="I68" s="12">
        <v>0</v>
      </c>
      <c r="J68" s="12"/>
      <c r="K68" s="12">
        <v>0</v>
      </c>
      <c r="L68" s="12">
        <v>0</v>
      </c>
      <c r="M68" s="12"/>
      <c r="N68" s="12">
        <v>0</v>
      </c>
      <c r="O68" s="12">
        <v>0</v>
      </c>
      <c r="P68" s="12">
        <v>0</v>
      </c>
      <c r="Q68" s="12">
        <v>0</v>
      </c>
      <c r="R68" s="12">
        <f t="shared" si="13"/>
        <v>0</v>
      </c>
      <c r="S68" s="7">
        <v>65</v>
      </c>
    </row>
    <row r="69" spans="2:19" x14ac:dyDescent="0.25">
      <c r="C69" s="7">
        <v>574</v>
      </c>
      <c r="D69" s="7" t="s">
        <v>467</v>
      </c>
      <c r="E69" s="12">
        <v>0</v>
      </c>
      <c r="F69" s="12">
        <v>0</v>
      </c>
      <c r="G69" s="12">
        <v>0</v>
      </c>
      <c r="H69" s="12">
        <v>0</v>
      </c>
      <c r="I69" s="12">
        <v>0</v>
      </c>
      <c r="J69" s="12"/>
      <c r="K69" s="12">
        <v>0</v>
      </c>
      <c r="L69" s="12">
        <v>0</v>
      </c>
      <c r="M69" s="12"/>
      <c r="N69" s="12">
        <v>0</v>
      </c>
      <c r="O69" s="12">
        <v>0</v>
      </c>
      <c r="P69" s="12">
        <v>0</v>
      </c>
      <c r="Q69" s="12">
        <v>0</v>
      </c>
      <c r="R69" s="12">
        <f t="shared" si="13"/>
        <v>0</v>
      </c>
      <c r="S69" s="7">
        <v>66</v>
      </c>
    </row>
    <row r="70" spans="2:19" x14ac:dyDescent="0.25">
      <c r="C70" s="7">
        <v>575</v>
      </c>
      <c r="D70" s="7" t="s">
        <v>468</v>
      </c>
      <c r="E70" s="12">
        <v>0</v>
      </c>
      <c r="F70" s="12">
        <v>0</v>
      </c>
      <c r="G70" s="12">
        <v>0</v>
      </c>
      <c r="H70" s="12">
        <v>0</v>
      </c>
      <c r="I70" s="12">
        <v>0</v>
      </c>
      <c r="J70" s="12"/>
      <c r="K70" s="12">
        <v>0</v>
      </c>
      <c r="L70" s="12">
        <v>0</v>
      </c>
      <c r="M70" s="12"/>
      <c r="N70" s="12">
        <v>0</v>
      </c>
      <c r="O70" s="12">
        <v>0</v>
      </c>
      <c r="P70" s="12">
        <v>0</v>
      </c>
      <c r="Q70" s="12">
        <v>0</v>
      </c>
      <c r="R70" s="12">
        <f t="shared" si="13"/>
        <v>0</v>
      </c>
      <c r="S70" s="58">
        <v>67</v>
      </c>
    </row>
    <row r="71" spans="2:19" x14ac:dyDescent="0.25">
      <c r="C71" s="7">
        <v>576</v>
      </c>
      <c r="D71" s="7" t="s">
        <v>469</v>
      </c>
      <c r="E71" s="12">
        <v>0</v>
      </c>
      <c r="F71" s="12">
        <v>0</v>
      </c>
      <c r="G71" s="12">
        <v>0</v>
      </c>
      <c r="H71" s="12">
        <v>0</v>
      </c>
      <c r="I71" s="12">
        <v>0</v>
      </c>
      <c r="J71" s="12"/>
      <c r="K71" s="12">
        <v>0</v>
      </c>
      <c r="L71" s="12">
        <v>0</v>
      </c>
      <c r="M71" s="12"/>
      <c r="N71" s="12">
        <v>0</v>
      </c>
      <c r="O71" s="12">
        <v>0</v>
      </c>
      <c r="P71" s="12">
        <v>0</v>
      </c>
      <c r="Q71" s="12">
        <v>0</v>
      </c>
      <c r="R71" s="12">
        <f t="shared" si="13"/>
        <v>0</v>
      </c>
      <c r="S71" s="7">
        <v>68</v>
      </c>
    </row>
    <row r="72" spans="2:19" x14ac:dyDescent="0.25">
      <c r="C72" s="7">
        <v>577</v>
      </c>
      <c r="D72" s="7" t="s">
        <v>470</v>
      </c>
      <c r="E72" s="12">
        <v>0</v>
      </c>
      <c r="F72" s="12">
        <v>0</v>
      </c>
      <c r="G72" s="12">
        <v>0</v>
      </c>
      <c r="H72" s="12">
        <v>0</v>
      </c>
      <c r="I72" s="12">
        <v>0</v>
      </c>
      <c r="J72" s="12"/>
      <c r="K72" s="12">
        <v>0</v>
      </c>
      <c r="L72" s="12">
        <v>0</v>
      </c>
      <c r="M72" s="12"/>
      <c r="N72" s="12">
        <v>0</v>
      </c>
      <c r="O72" s="12">
        <v>0</v>
      </c>
      <c r="P72" s="12">
        <v>0</v>
      </c>
      <c r="Q72" s="12">
        <v>0</v>
      </c>
      <c r="R72" s="12">
        <f t="shared" si="13"/>
        <v>0</v>
      </c>
      <c r="S72" s="7">
        <v>69</v>
      </c>
    </row>
    <row r="73" spans="2:19" x14ac:dyDescent="0.25">
      <c r="C73" s="7">
        <v>578</v>
      </c>
      <c r="D73" s="7" t="s">
        <v>471</v>
      </c>
      <c r="E73" s="12">
        <v>0</v>
      </c>
      <c r="F73" s="12">
        <v>0</v>
      </c>
      <c r="G73" s="12">
        <v>0</v>
      </c>
      <c r="H73" s="12">
        <v>0</v>
      </c>
      <c r="I73" s="12">
        <v>0</v>
      </c>
      <c r="J73" s="12"/>
      <c r="K73" s="12">
        <v>0</v>
      </c>
      <c r="L73" s="12">
        <v>0</v>
      </c>
      <c r="M73" s="12"/>
      <c r="N73" s="12">
        <v>0</v>
      </c>
      <c r="O73" s="12">
        <v>0</v>
      </c>
      <c r="P73" s="12">
        <v>0</v>
      </c>
      <c r="Q73" s="12">
        <v>0</v>
      </c>
      <c r="R73" s="12">
        <f t="shared" si="13"/>
        <v>0</v>
      </c>
      <c r="S73" s="58">
        <v>70</v>
      </c>
    </row>
    <row r="74" spans="2:19" x14ac:dyDescent="0.25">
      <c r="E74" s="12"/>
      <c r="F74" s="12"/>
      <c r="G74" s="12"/>
      <c r="H74" s="12"/>
      <c r="I74" s="12"/>
      <c r="J74" s="12"/>
      <c r="K74" s="12"/>
      <c r="L74" s="12"/>
      <c r="M74" s="12"/>
      <c r="N74" s="12"/>
      <c r="O74" s="12"/>
      <c r="P74" s="12"/>
      <c r="Q74" s="12"/>
      <c r="R74" s="12"/>
      <c r="S74" s="7">
        <v>71</v>
      </c>
    </row>
    <row r="75" spans="2:19" x14ac:dyDescent="0.25">
      <c r="B75" s="76">
        <v>58</v>
      </c>
      <c r="C75" s="76"/>
      <c r="D75" s="76" t="s">
        <v>474</v>
      </c>
      <c r="E75" s="96">
        <f>E76+E77+E78+E79+E80+E81</f>
        <v>0</v>
      </c>
      <c r="F75" s="96">
        <f t="shared" ref="F75:R75" si="14">F76+F77+F78+F79+F80+F81</f>
        <v>0</v>
      </c>
      <c r="G75" s="96">
        <f t="shared" si="14"/>
        <v>0</v>
      </c>
      <c r="H75" s="96">
        <f t="shared" si="14"/>
        <v>0</v>
      </c>
      <c r="I75" s="96">
        <f t="shared" si="14"/>
        <v>0</v>
      </c>
      <c r="J75" s="96">
        <f t="shared" si="14"/>
        <v>0</v>
      </c>
      <c r="K75" s="96">
        <f t="shared" si="14"/>
        <v>0</v>
      </c>
      <c r="L75" s="96">
        <f t="shared" si="14"/>
        <v>0</v>
      </c>
      <c r="M75" s="96">
        <f t="shared" si="14"/>
        <v>0</v>
      </c>
      <c r="N75" s="96">
        <f t="shared" si="14"/>
        <v>0</v>
      </c>
      <c r="O75" s="96">
        <f t="shared" si="14"/>
        <v>0</v>
      </c>
      <c r="P75" s="96">
        <f t="shared" si="14"/>
        <v>0</v>
      </c>
      <c r="Q75" s="96">
        <f t="shared" si="14"/>
        <v>0</v>
      </c>
      <c r="R75" s="96">
        <f t="shared" si="14"/>
        <v>0</v>
      </c>
      <c r="S75" s="7">
        <v>72</v>
      </c>
    </row>
    <row r="76" spans="2:19" x14ac:dyDescent="0.25">
      <c r="C76" s="7">
        <v>580</v>
      </c>
      <c r="D76" s="7" t="s">
        <v>451</v>
      </c>
      <c r="E76" s="12">
        <v>0</v>
      </c>
      <c r="F76" s="12">
        <v>0</v>
      </c>
      <c r="G76" s="12">
        <v>0</v>
      </c>
      <c r="H76" s="12">
        <v>0</v>
      </c>
      <c r="I76" s="12">
        <v>0</v>
      </c>
      <c r="J76" s="12"/>
      <c r="K76" s="12">
        <v>0</v>
      </c>
      <c r="L76" s="12">
        <v>0</v>
      </c>
      <c r="M76" s="12"/>
      <c r="N76" s="12">
        <v>0</v>
      </c>
      <c r="O76" s="12">
        <v>0</v>
      </c>
      <c r="P76" s="12">
        <v>0</v>
      </c>
      <c r="Q76" s="12">
        <v>0</v>
      </c>
      <c r="R76" s="12">
        <f t="shared" ref="R76:R81" si="15">SUM(E76:Q76)</f>
        <v>0</v>
      </c>
      <c r="S76" s="58">
        <v>73</v>
      </c>
    </row>
    <row r="77" spans="2:19" x14ac:dyDescent="0.25">
      <c r="C77" s="7">
        <v>582</v>
      </c>
      <c r="D77" s="7" t="s">
        <v>461</v>
      </c>
      <c r="E77" s="12">
        <v>0</v>
      </c>
      <c r="F77" s="12">
        <v>0</v>
      </c>
      <c r="G77" s="12">
        <v>0</v>
      </c>
      <c r="H77" s="12">
        <v>0</v>
      </c>
      <c r="I77" s="12">
        <v>0</v>
      </c>
      <c r="J77" s="12"/>
      <c r="K77" s="12">
        <v>0</v>
      </c>
      <c r="L77" s="12">
        <v>0</v>
      </c>
      <c r="M77" s="12"/>
      <c r="N77" s="12">
        <v>0</v>
      </c>
      <c r="O77" s="12">
        <v>0</v>
      </c>
      <c r="P77" s="12">
        <v>0</v>
      </c>
      <c r="Q77" s="12">
        <v>0</v>
      </c>
      <c r="R77" s="12">
        <f t="shared" si="15"/>
        <v>0</v>
      </c>
      <c r="S77" s="7">
        <v>74</v>
      </c>
    </row>
    <row r="78" spans="2:19" x14ac:dyDescent="0.25">
      <c r="C78" s="7">
        <v>584</v>
      </c>
      <c r="D78" s="7" t="s">
        <v>249</v>
      </c>
      <c r="E78" s="12">
        <v>0</v>
      </c>
      <c r="F78" s="12">
        <v>0</v>
      </c>
      <c r="G78" s="12">
        <v>0</v>
      </c>
      <c r="H78" s="12">
        <v>0</v>
      </c>
      <c r="I78" s="12">
        <v>0</v>
      </c>
      <c r="J78" s="12"/>
      <c r="K78" s="12">
        <v>0</v>
      </c>
      <c r="L78" s="12">
        <v>0</v>
      </c>
      <c r="M78" s="12"/>
      <c r="N78" s="12">
        <v>0</v>
      </c>
      <c r="O78" s="12">
        <v>0</v>
      </c>
      <c r="P78" s="12">
        <v>0</v>
      </c>
      <c r="Q78" s="12">
        <v>0</v>
      </c>
      <c r="R78" s="12">
        <f t="shared" si="15"/>
        <v>0</v>
      </c>
      <c r="S78" s="7">
        <v>75</v>
      </c>
    </row>
    <row r="79" spans="2:19" x14ac:dyDescent="0.25">
      <c r="C79" s="7">
        <v>585</v>
      </c>
      <c r="D79" s="7" t="s">
        <v>376</v>
      </c>
      <c r="E79" s="12">
        <v>0</v>
      </c>
      <c r="F79" s="12">
        <v>0</v>
      </c>
      <c r="G79" s="12">
        <v>0</v>
      </c>
      <c r="H79" s="12">
        <v>0</v>
      </c>
      <c r="I79" s="12">
        <v>0</v>
      </c>
      <c r="J79" s="12"/>
      <c r="K79" s="12">
        <v>0</v>
      </c>
      <c r="L79" s="12">
        <v>0</v>
      </c>
      <c r="M79" s="12"/>
      <c r="N79" s="12">
        <v>0</v>
      </c>
      <c r="O79" s="12">
        <v>0</v>
      </c>
      <c r="P79" s="12">
        <v>0</v>
      </c>
      <c r="Q79" s="12">
        <v>0</v>
      </c>
      <c r="R79" s="12">
        <f t="shared" si="15"/>
        <v>0</v>
      </c>
      <c r="S79" s="58">
        <v>76</v>
      </c>
    </row>
    <row r="80" spans="2:19" x14ac:dyDescent="0.25">
      <c r="C80" s="7">
        <v>586</v>
      </c>
      <c r="D80" s="7" t="s">
        <v>475</v>
      </c>
      <c r="E80" s="12">
        <v>0</v>
      </c>
      <c r="F80" s="12">
        <v>0</v>
      </c>
      <c r="G80" s="12">
        <v>0</v>
      </c>
      <c r="H80" s="12">
        <v>0</v>
      </c>
      <c r="I80" s="12">
        <v>0</v>
      </c>
      <c r="J80" s="12"/>
      <c r="K80" s="12">
        <v>0</v>
      </c>
      <c r="L80" s="12">
        <v>0</v>
      </c>
      <c r="M80" s="12"/>
      <c r="N80" s="12">
        <v>0</v>
      </c>
      <c r="O80" s="12">
        <v>0</v>
      </c>
      <c r="P80" s="12">
        <v>0</v>
      </c>
      <c r="Q80" s="12">
        <v>0</v>
      </c>
      <c r="R80" s="12">
        <f t="shared" si="15"/>
        <v>0</v>
      </c>
      <c r="S80" s="7">
        <v>77</v>
      </c>
    </row>
    <row r="81" spans="1:19" x14ac:dyDescent="0.25">
      <c r="C81" s="7">
        <v>589</v>
      </c>
      <c r="D81" s="7" t="s">
        <v>476</v>
      </c>
      <c r="E81" s="12">
        <v>0</v>
      </c>
      <c r="F81" s="12">
        <v>0</v>
      </c>
      <c r="G81" s="12">
        <v>0</v>
      </c>
      <c r="H81" s="12">
        <v>0</v>
      </c>
      <c r="I81" s="12">
        <v>0</v>
      </c>
      <c r="J81" s="12"/>
      <c r="K81" s="12">
        <v>0</v>
      </c>
      <c r="L81" s="12">
        <v>0</v>
      </c>
      <c r="M81" s="12"/>
      <c r="N81" s="12">
        <v>0</v>
      </c>
      <c r="O81" s="12">
        <v>0</v>
      </c>
      <c r="P81" s="12">
        <v>0</v>
      </c>
      <c r="Q81" s="12">
        <v>0</v>
      </c>
      <c r="R81" s="12">
        <f t="shared" si="15"/>
        <v>0</v>
      </c>
      <c r="S81" s="7">
        <v>78</v>
      </c>
    </row>
    <row r="82" spans="1:19" x14ac:dyDescent="0.25">
      <c r="E82" s="12"/>
      <c r="F82" s="12"/>
      <c r="G82" s="12"/>
      <c r="H82" s="12"/>
      <c r="I82" s="12"/>
      <c r="J82" s="12"/>
      <c r="K82" s="12"/>
      <c r="L82" s="12"/>
      <c r="M82" s="12"/>
      <c r="N82" s="12"/>
      <c r="O82" s="12"/>
      <c r="P82" s="12"/>
      <c r="Q82" s="12"/>
      <c r="R82" s="12"/>
      <c r="S82" s="58">
        <v>79</v>
      </c>
    </row>
    <row r="83" spans="1:19" x14ac:dyDescent="0.25">
      <c r="B83" s="76">
        <v>59</v>
      </c>
      <c r="C83" s="76"/>
      <c r="D83" s="76" t="s">
        <v>477</v>
      </c>
      <c r="E83" s="96">
        <f>E84</f>
        <v>0</v>
      </c>
      <c r="F83" s="96">
        <f t="shared" ref="F83:R83" si="16">F84</f>
        <v>0</v>
      </c>
      <c r="G83" s="96">
        <f t="shared" si="16"/>
        <v>0</v>
      </c>
      <c r="H83" s="96">
        <f t="shared" si="16"/>
        <v>0</v>
      </c>
      <c r="I83" s="96">
        <f t="shared" si="16"/>
        <v>67509.850000000006</v>
      </c>
      <c r="J83" s="96">
        <f t="shared" si="16"/>
        <v>0</v>
      </c>
      <c r="K83" s="96">
        <f t="shared" si="16"/>
        <v>0</v>
      </c>
      <c r="L83" s="96">
        <f t="shared" si="16"/>
        <v>0</v>
      </c>
      <c r="M83" s="96">
        <f t="shared" si="16"/>
        <v>0</v>
      </c>
      <c r="N83" s="96">
        <f t="shared" si="16"/>
        <v>0</v>
      </c>
      <c r="O83" s="96">
        <f t="shared" si="16"/>
        <v>0</v>
      </c>
      <c r="P83" s="96">
        <f t="shared" si="16"/>
        <v>0</v>
      </c>
      <c r="Q83" s="96">
        <f t="shared" si="16"/>
        <v>0</v>
      </c>
      <c r="R83" s="96">
        <f t="shared" si="16"/>
        <v>67509.850000000006</v>
      </c>
      <c r="S83" s="7">
        <v>80</v>
      </c>
    </row>
    <row r="84" spans="1:19" x14ac:dyDescent="0.25">
      <c r="C84" s="7">
        <v>590</v>
      </c>
      <c r="D84" s="7" t="s">
        <v>477</v>
      </c>
      <c r="E84" s="12">
        <v>0</v>
      </c>
      <c r="F84" s="12">
        <v>0</v>
      </c>
      <c r="G84" s="12">
        <v>0</v>
      </c>
      <c r="H84" s="12">
        <v>0</v>
      </c>
      <c r="I84" s="12">
        <v>67509.850000000006</v>
      </c>
      <c r="J84" s="12"/>
      <c r="K84" s="12">
        <v>0</v>
      </c>
      <c r="L84" s="12">
        <v>0</v>
      </c>
      <c r="M84" s="12"/>
      <c r="N84" s="12">
        <v>0</v>
      </c>
      <c r="O84" s="12">
        <v>0</v>
      </c>
      <c r="P84" s="12">
        <v>0</v>
      </c>
      <c r="Q84" s="12">
        <v>0</v>
      </c>
      <c r="R84" s="12">
        <f>SUM(E84:Q84)</f>
        <v>67509.850000000006</v>
      </c>
      <c r="S84" s="7">
        <v>81</v>
      </c>
    </row>
    <row r="85" spans="1:19" x14ac:dyDescent="0.25">
      <c r="E85" s="12"/>
      <c r="F85" s="12"/>
      <c r="G85" s="12"/>
      <c r="H85" s="12"/>
      <c r="I85" s="12"/>
      <c r="J85" s="12"/>
      <c r="K85" s="12"/>
      <c r="L85" s="12"/>
      <c r="M85" s="12"/>
      <c r="N85" s="12"/>
      <c r="O85" s="12"/>
      <c r="P85" s="12"/>
      <c r="Q85" s="12"/>
      <c r="R85" s="12"/>
      <c r="S85" s="58">
        <v>82</v>
      </c>
    </row>
    <row r="86" spans="1:19" x14ac:dyDescent="0.25">
      <c r="E86" s="12"/>
      <c r="F86" s="12"/>
      <c r="G86" s="12"/>
      <c r="H86" s="12"/>
      <c r="I86" s="12"/>
      <c r="J86" s="12"/>
      <c r="K86" s="12"/>
      <c r="L86" s="12"/>
      <c r="M86" s="12"/>
      <c r="N86" s="12"/>
      <c r="O86" s="12"/>
      <c r="P86" s="12"/>
      <c r="Q86" s="12"/>
      <c r="R86" s="12"/>
      <c r="S86" s="7">
        <v>83</v>
      </c>
    </row>
    <row r="87" spans="1:19" x14ac:dyDescent="0.25">
      <c r="E87" s="12"/>
      <c r="F87" s="12"/>
      <c r="G87" s="12"/>
      <c r="H87" s="12"/>
      <c r="I87" s="12"/>
      <c r="J87" s="12"/>
      <c r="K87" s="12"/>
      <c r="L87" s="12"/>
      <c r="M87" s="12"/>
      <c r="N87" s="12"/>
      <c r="O87" s="12"/>
      <c r="P87" s="12"/>
      <c r="Q87" s="12"/>
      <c r="R87" s="12"/>
      <c r="S87" s="7">
        <v>84</v>
      </c>
    </row>
    <row r="88" spans="1:19" ht="21" x14ac:dyDescent="0.4">
      <c r="A88" s="127">
        <v>6</v>
      </c>
      <c r="B88" s="127"/>
      <c r="C88" s="127"/>
      <c r="D88" s="127" t="s">
        <v>478</v>
      </c>
      <c r="E88" s="67">
        <f>E89+E99+E109+E114+E125+E136+E147+E158+E169</f>
        <v>0</v>
      </c>
      <c r="F88" s="67">
        <f t="shared" ref="F88:R88" si="17">F89+F99+F109+F114+F125+F136+F147+F158+F169</f>
        <v>0</v>
      </c>
      <c r="G88" s="67">
        <f t="shared" si="17"/>
        <v>0</v>
      </c>
      <c r="H88" s="67">
        <f t="shared" si="17"/>
        <v>0</v>
      </c>
      <c r="I88" s="67">
        <f t="shared" si="17"/>
        <v>67509.850000000006</v>
      </c>
      <c r="J88" s="67">
        <f t="shared" si="17"/>
        <v>0</v>
      </c>
      <c r="K88" s="67">
        <f t="shared" si="17"/>
        <v>0</v>
      </c>
      <c r="L88" s="67">
        <f t="shared" si="17"/>
        <v>0</v>
      </c>
      <c r="M88" s="67">
        <f t="shared" si="17"/>
        <v>0</v>
      </c>
      <c r="N88" s="67">
        <f t="shared" si="17"/>
        <v>0</v>
      </c>
      <c r="O88" s="67">
        <f t="shared" si="17"/>
        <v>0</v>
      </c>
      <c r="P88" s="67">
        <f t="shared" si="17"/>
        <v>0</v>
      </c>
      <c r="Q88" s="67">
        <f t="shared" si="17"/>
        <v>0</v>
      </c>
      <c r="R88" s="67">
        <f t="shared" si="17"/>
        <v>67509.850000000006</v>
      </c>
      <c r="S88" s="58">
        <v>85</v>
      </c>
    </row>
    <row r="89" spans="1:19" x14ac:dyDescent="0.25">
      <c r="A89" s="6"/>
      <c r="B89" s="128">
        <v>60</v>
      </c>
      <c r="C89" s="128"/>
      <c r="D89" s="128" t="s">
        <v>479</v>
      </c>
      <c r="E89" s="129">
        <f>E90+E91+E92+E93+E94+E95+E96+E97</f>
        <v>0</v>
      </c>
      <c r="F89" s="129">
        <f t="shared" ref="F89:R89" si="18">F90+F91+F92+F93+F94+F95+F96+F97</f>
        <v>0</v>
      </c>
      <c r="G89" s="129">
        <f t="shared" si="18"/>
        <v>0</v>
      </c>
      <c r="H89" s="129">
        <f t="shared" si="18"/>
        <v>0</v>
      </c>
      <c r="I89" s="129">
        <f t="shared" si="18"/>
        <v>0</v>
      </c>
      <c r="J89" s="129">
        <f t="shared" si="18"/>
        <v>0</v>
      </c>
      <c r="K89" s="129">
        <f t="shared" si="18"/>
        <v>0</v>
      </c>
      <c r="L89" s="129">
        <f t="shared" si="18"/>
        <v>0</v>
      </c>
      <c r="M89" s="129">
        <f t="shared" si="18"/>
        <v>0</v>
      </c>
      <c r="N89" s="129">
        <f t="shared" si="18"/>
        <v>0</v>
      </c>
      <c r="O89" s="129">
        <f t="shared" si="18"/>
        <v>0</v>
      </c>
      <c r="P89" s="129">
        <f t="shared" si="18"/>
        <v>0</v>
      </c>
      <c r="Q89" s="129">
        <f t="shared" si="18"/>
        <v>0</v>
      </c>
      <c r="R89" s="129">
        <f t="shared" si="18"/>
        <v>0</v>
      </c>
      <c r="S89" s="7">
        <v>86</v>
      </c>
    </row>
    <row r="90" spans="1:19" x14ac:dyDescent="0.25">
      <c r="C90" s="7">
        <v>600</v>
      </c>
      <c r="D90" s="7" t="s">
        <v>453</v>
      </c>
      <c r="E90" s="12">
        <v>0</v>
      </c>
      <c r="F90" s="12">
        <v>0</v>
      </c>
      <c r="G90" s="12">
        <v>0</v>
      </c>
      <c r="H90" s="12">
        <v>0</v>
      </c>
      <c r="I90" s="12">
        <v>0</v>
      </c>
      <c r="J90" s="12"/>
      <c r="K90" s="12">
        <v>0</v>
      </c>
      <c r="L90" s="12">
        <v>0</v>
      </c>
      <c r="M90" s="12"/>
      <c r="N90" s="12">
        <v>0</v>
      </c>
      <c r="O90" s="12">
        <v>0</v>
      </c>
      <c r="P90" s="12">
        <v>0</v>
      </c>
      <c r="Q90" s="12">
        <v>0</v>
      </c>
      <c r="R90" s="12">
        <f t="shared" ref="R90:R97" si="19">SUM(E90:Q90)</f>
        <v>0</v>
      </c>
      <c r="S90" s="7">
        <v>87</v>
      </c>
    </row>
    <row r="91" spans="1:19" x14ac:dyDescent="0.25">
      <c r="C91" s="7">
        <v>601</v>
      </c>
      <c r="D91" s="7" t="s">
        <v>454</v>
      </c>
      <c r="E91" s="12">
        <v>0</v>
      </c>
      <c r="F91" s="12">
        <v>0</v>
      </c>
      <c r="G91" s="12">
        <v>0</v>
      </c>
      <c r="H91" s="12">
        <v>0</v>
      </c>
      <c r="I91" s="12">
        <v>0</v>
      </c>
      <c r="J91" s="12"/>
      <c r="K91" s="12">
        <v>0</v>
      </c>
      <c r="L91" s="12">
        <v>0</v>
      </c>
      <c r="M91" s="12"/>
      <c r="N91" s="12">
        <v>0</v>
      </c>
      <c r="O91" s="12">
        <v>0</v>
      </c>
      <c r="P91" s="12">
        <v>0</v>
      </c>
      <c r="Q91" s="12">
        <v>0</v>
      </c>
      <c r="R91" s="12">
        <f t="shared" si="19"/>
        <v>0</v>
      </c>
      <c r="S91" s="58">
        <v>88</v>
      </c>
    </row>
    <row r="92" spans="1:19" x14ac:dyDescent="0.25">
      <c r="C92" s="7">
        <v>602</v>
      </c>
      <c r="D92" s="7" t="s">
        <v>455</v>
      </c>
      <c r="E92" s="12">
        <v>0</v>
      </c>
      <c r="F92" s="12">
        <v>0</v>
      </c>
      <c r="G92" s="12">
        <v>0</v>
      </c>
      <c r="H92" s="12">
        <v>0</v>
      </c>
      <c r="I92" s="12">
        <v>0</v>
      </c>
      <c r="J92" s="12"/>
      <c r="K92" s="12">
        <v>0</v>
      </c>
      <c r="L92" s="12">
        <v>0</v>
      </c>
      <c r="M92" s="12"/>
      <c r="N92" s="12">
        <v>0</v>
      </c>
      <c r="O92" s="12">
        <v>0</v>
      </c>
      <c r="P92" s="12">
        <v>0</v>
      </c>
      <c r="Q92" s="12">
        <v>0</v>
      </c>
      <c r="R92" s="12">
        <f t="shared" si="19"/>
        <v>0</v>
      </c>
      <c r="S92" s="7">
        <v>89</v>
      </c>
    </row>
    <row r="93" spans="1:19" x14ac:dyDescent="0.25">
      <c r="C93" s="7">
        <v>603</v>
      </c>
      <c r="D93" s="7" t="s">
        <v>456</v>
      </c>
      <c r="E93" s="12">
        <v>0</v>
      </c>
      <c r="F93" s="12">
        <v>0</v>
      </c>
      <c r="G93" s="12">
        <v>0</v>
      </c>
      <c r="H93" s="12">
        <v>0</v>
      </c>
      <c r="I93" s="12">
        <v>0</v>
      </c>
      <c r="J93" s="12"/>
      <c r="K93" s="12">
        <v>0</v>
      </c>
      <c r="L93" s="12">
        <v>0</v>
      </c>
      <c r="M93" s="12"/>
      <c r="N93" s="12">
        <v>0</v>
      </c>
      <c r="O93" s="12">
        <v>0</v>
      </c>
      <c r="P93" s="12">
        <v>0</v>
      </c>
      <c r="Q93" s="12">
        <v>0</v>
      </c>
      <c r="R93" s="12">
        <f t="shared" si="19"/>
        <v>0</v>
      </c>
      <c r="S93" s="7">
        <v>90</v>
      </c>
    </row>
    <row r="94" spans="1:19" x14ac:dyDescent="0.25">
      <c r="C94" s="7">
        <v>604</v>
      </c>
      <c r="D94" s="7" t="s">
        <v>457</v>
      </c>
      <c r="E94" s="12">
        <v>0</v>
      </c>
      <c r="F94" s="12">
        <v>0</v>
      </c>
      <c r="G94" s="12">
        <v>0</v>
      </c>
      <c r="H94" s="12">
        <v>0</v>
      </c>
      <c r="I94" s="12">
        <v>0</v>
      </c>
      <c r="J94" s="12"/>
      <c r="K94" s="12">
        <v>0</v>
      </c>
      <c r="L94" s="12">
        <v>0</v>
      </c>
      <c r="M94" s="12"/>
      <c r="N94" s="12">
        <v>0</v>
      </c>
      <c r="O94" s="12">
        <v>0</v>
      </c>
      <c r="P94" s="12">
        <v>0</v>
      </c>
      <c r="Q94" s="12">
        <v>0</v>
      </c>
      <c r="R94" s="12">
        <f t="shared" si="19"/>
        <v>0</v>
      </c>
      <c r="S94" s="58">
        <v>91</v>
      </c>
    </row>
    <row r="95" spans="1:19" x14ac:dyDescent="0.25">
      <c r="C95" s="7">
        <v>605</v>
      </c>
      <c r="D95" s="7" t="s">
        <v>458</v>
      </c>
      <c r="E95" s="12">
        <v>0</v>
      </c>
      <c r="F95" s="12">
        <v>0</v>
      </c>
      <c r="G95" s="12">
        <v>0</v>
      </c>
      <c r="H95" s="12">
        <v>0</v>
      </c>
      <c r="I95" s="12">
        <v>0</v>
      </c>
      <c r="J95" s="12"/>
      <c r="K95" s="12">
        <v>0</v>
      </c>
      <c r="L95" s="12">
        <v>0</v>
      </c>
      <c r="M95" s="12"/>
      <c r="N95" s="12">
        <v>0</v>
      </c>
      <c r="O95" s="12">
        <v>0</v>
      </c>
      <c r="P95" s="12">
        <v>0</v>
      </c>
      <c r="Q95" s="12">
        <v>0</v>
      </c>
      <c r="R95" s="12">
        <f t="shared" si="19"/>
        <v>0</v>
      </c>
      <c r="S95" s="7">
        <v>92</v>
      </c>
    </row>
    <row r="96" spans="1:19" x14ac:dyDescent="0.25">
      <c r="C96" s="7">
        <v>606</v>
      </c>
      <c r="D96" s="7" t="s">
        <v>459</v>
      </c>
      <c r="E96" s="12">
        <v>0</v>
      </c>
      <c r="F96" s="12">
        <v>0</v>
      </c>
      <c r="G96" s="12">
        <v>0</v>
      </c>
      <c r="H96" s="12">
        <v>0</v>
      </c>
      <c r="I96" s="12">
        <v>0</v>
      </c>
      <c r="J96" s="12"/>
      <c r="K96" s="12">
        <v>0</v>
      </c>
      <c r="L96" s="12">
        <v>0</v>
      </c>
      <c r="M96" s="12"/>
      <c r="N96" s="12">
        <v>0</v>
      </c>
      <c r="O96" s="12">
        <v>0</v>
      </c>
      <c r="P96" s="12">
        <v>0</v>
      </c>
      <c r="Q96" s="12">
        <v>0</v>
      </c>
      <c r="R96" s="12">
        <f t="shared" si="19"/>
        <v>0</v>
      </c>
      <c r="S96" s="7">
        <v>93</v>
      </c>
    </row>
    <row r="97" spans="2:19" x14ac:dyDescent="0.25">
      <c r="C97" s="7">
        <v>609</v>
      </c>
      <c r="D97" s="7" t="s">
        <v>460</v>
      </c>
      <c r="E97" s="12">
        <v>0</v>
      </c>
      <c r="F97" s="12">
        <v>0</v>
      </c>
      <c r="G97" s="12">
        <v>0</v>
      </c>
      <c r="H97" s="12">
        <v>0</v>
      </c>
      <c r="I97" s="12">
        <v>0</v>
      </c>
      <c r="J97" s="12"/>
      <c r="K97" s="12">
        <v>0</v>
      </c>
      <c r="L97" s="12">
        <v>0</v>
      </c>
      <c r="M97" s="12"/>
      <c r="N97" s="12">
        <v>0</v>
      </c>
      <c r="O97" s="12">
        <v>0</v>
      </c>
      <c r="P97" s="12">
        <v>0</v>
      </c>
      <c r="Q97" s="12">
        <v>0</v>
      </c>
      <c r="R97" s="12">
        <f t="shared" si="19"/>
        <v>0</v>
      </c>
      <c r="S97" s="58">
        <v>94</v>
      </c>
    </row>
    <row r="98" spans="2:19" x14ac:dyDescent="0.25">
      <c r="E98" s="12"/>
      <c r="F98" s="12"/>
      <c r="G98" s="12"/>
      <c r="H98" s="12"/>
      <c r="I98" s="12"/>
      <c r="J98" s="12"/>
      <c r="K98" s="12"/>
      <c r="L98" s="12"/>
      <c r="M98" s="12"/>
      <c r="N98" s="12"/>
      <c r="O98" s="12"/>
      <c r="P98" s="12"/>
      <c r="Q98" s="12"/>
      <c r="R98" s="12"/>
      <c r="S98" s="7">
        <v>95</v>
      </c>
    </row>
    <row r="99" spans="2:19" x14ac:dyDescent="0.25">
      <c r="B99" s="128">
        <v>61</v>
      </c>
      <c r="C99" s="128"/>
      <c r="D99" s="128" t="s">
        <v>480</v>
      </c>
      <c r="E99" s="129">
        <f>E100+E101+E102+E103+E104+E105+E106+E107</f>
        <v>0</v>
      </c>
      <c r="F99" s="129">
        <f t="shared" ref="F99:R99" si="20">F100+F101+F102+F103+F104+F105+F106+F107</f>
        <v>0</v>
      </c>
      <c r="G99" s="129">
        <f t="shared" si="20"/>
        <v>0</v>
      </c>
      <c r="H99" s="129">
        <f t="shared" si="20"/>
        <v>0</v>
      </c>
      <c r="I99" s="129">
        <f t="shared" si="20"/>
        <v>0</v>
      </c>
      <c r="J99" s="129">
        <f t="shared" si="20"/>
        <v>0</v>
      </c>
      <c r="K99" s="129">
        <f t="shared" si="20"/>
        <v>0</v>
      </c>
      <c r="L99" s="129">
        <f t="shared" si="20"/>
        <v>0</v>
      </c>
      <c r="M99" s="129">
        <f t="shared" si="20"/>
        <v>0</v>
      </c>
      <c r="N99" s="129">
        <f t="shared" si="20"/>
        <v>0</v>
      </c>
      <c r="O99" s="129">
        <f t="shared" si="20"/>
        <v>0</v>
      </c>
      <c r="P99" s="129">
        <f t="shared" si="20"/>
        <v>0</v>
      </c>
      <c r="Q99" s="129">
        <f t="shared" si="20"/>
        <v>0</v>
      </c>
      <c r="R99" s="129">
        <f t="shared" si="20"/>
        <v>0</v>
      </c>
      <c r="S99" s="7">
        <v>96</v>
      </c>
    </row>
    <row r="100" spans="2:19" x14ac:dyDescent="0.25">
      <c r="C100" s="7">
        <v>610</v>
      </c>
      <c r="D100" s="7" t="s">
        <v>453</v>
      </c>
      <c r="E100" s="12">
        <v>0</v>
      </c>
      <c r="F100" s="12">
        <v>0</v>
      </c>
      <c r="G100" s="12">
        <v>0</v>
      </c>
      <c r="H100" s="12">
        <v>0</v>
      </c>
      <c r="I100" s="12">
        <v>0</v>
      </c>
      <c r="J100" s="12"/>
      <c r="K100" s="12">
        <v>0</v>
      </c>
      <c r="L100" s="12">
        <v>0</v>
      </c>
      <c r="M100" s="12"/>
      <c r="N100" s="12">
        <v>0</v>
      </c>
      <c r="O100" s="12">
        <v>0</v>
      </c>
      <c r="P100" s="12">
        <v>0</v>
      </c>
      <c r="Q100" s="12">
        <v>0</v>
      </c>
      <c r="R100" s="12">
        <f t="shared" ref="R100:R107" si="21">SUM(E100:Q100)</f>
        <v>0</v>
      </c>
      <c r="S100" s="58">
        <v>97</v>
      </c>
    </row>
    <row r="101" spans="2:19" x14ac:dyDescent="0.25">
      <c r="C101" s="7">
        <v>611</v>
      </c>
      <c r="D101" s="7" t="s">
        <v>454</v>
      </c>
      <c r="E101" s="12">
        <v>0</v>
      </c>
      <c r="F101" s="12">
        <v>0</v>
      </c>
      <c r="G101" s="12">
        <v>0</v>
      </c>
      <c r="H101" s="12">
        <v>0</v>
      </c>
      <c r="I101" s="12">
        <v>0</v>
      </c>
      <c r="J101" s="12"/>
      <c r="K101" s="12">
        <v>0</v>
      </c>
      <c r="L101" s="12">
        <v>0</v>
      </c>
      <c r="M101" s="12"/>
      <c r="N101" s="12">
        <v>0</v>
      </c>
      <c r="O101" s="12">
        <v>0</v>
      </c>
      <c r="P101" s="12">
        <v>0</v>
      </c>
      <c r="Q101" s="12">
        <v>0</v>
      </c>
      <c r="R101" s="12">
        <f t="shared" si="21"/>
        <v>0</v>
      </c>
      <c r="S101" s="7">
        <v>98</v>
      </c>
    </row>
    <row r="102" spans="2:19" x14ac:dyDescent="0.25">
      <c r="C102" s="7">
        <v>612</v>
      </c>
      <c r="D102" s="7" t="s">
        <v>455</v>
      </c>
      <c r="E102" s="12">
        <v>0</v>
      </c>
      <c r="F102" s="12">
        <v>0</v>
      </c>
      <c r="G102" s="12">
        <v>0</v>
      </c>
      <c r="H102" s="12">
        <v>0</v>
      </c>
      <c r="I102" s="12">
        <v>0</v>
      </c>
      <c r="J102" s="12"/>
      <c r="K102" s="12">
        <v>0</v>
      </c>
      <c r="L102" s="12">
        <v>0</v>
      </c>
      <c r="M102" s="12"/>
      <c r="N102" s="12">
        <v>0</v>
      </c>
      <c r="O102" s="12">
        <v>0</v>
      </c>
      <c r="P102" s="12">
        <v>0</v>
      </c>
      <c r="Q102" s="12">
        <v>0</v>
      </c>
      <c r="R102" s="12">
        <f t="shared" si="21"/>
        <v>0</v>
      </c>
      <c r="S102" s="7">
        <v>99</v>
      </c>
    </row>
    <row r="103" spans="2:19" x14ac:dyDescent="0.25">
      <c r="C103" s="7">
        <v>613</v>
      </c>
      <c r="D103" s="7" t="s">
        <v>456</v>
      </c>
      <c r="E103" s="12">
        <v>0</v>
      </c>
      <c r="F103" s="12">
        <v>0</v>
      </c>
      <c r="G103" s="12">
        <v>0</v>
      </c>
      <c r="H103" s="12">
        <v>0</v>
      </c>
      <c r="I103" s="12">
        <v>0</v>
      </c>
      <c r="J103" s="12"/>
      <c r="K103" s="12">
        <v>0</v>
      </c>
      <c r="L103" s="12">
        <v>0</v>
      </c>
      <c r="M103" s="12"/>
      <c r="N103" s="12">
        <v>0</v>
      </c>
      <c r="O103" s="12">
        <v>0</v>
      </c>
      <c r="P103" s="12">
        <v>0</v>
      </c>
      <c r="Q103" s="12">
        <v>0</v>
      </c>
      <c r="R103" s="12">
        <f t="shared" si="21"/>
        <v>0</v>
      </c>
      <c r="S103" s="58">
        <v>100</v>
      </c>
    </row>
    <row r="104" spans="2:19" x14ac:dyDescent="0.25">
      <c r="C104" s="7">
        <v>614</v>
      </c>
      <c r="D104" s="7" t="s">
        <v>457</v>
      </c>
      <c r="E104" s="12">
        <v>0</v>
      </c>
      <c r="F104" s="12">
        <v>0</v>
      </c>
      <c r="G104" s="12">
        <v>0</v>
      </c>
      <c r="H104" s="12">
        <v>0</v>
      </c>
      <c r="I104" s="12">
        <v>0</v>
      </c>
      <c r="J104" s="12"/>
      <c r="K104" s="12">
        <v>0</v>
      </c>
      <c r="L104" s="12">
        <v>0</v>
      </c>
      <c r="M104" s="12"/>
      <c r="N104" s="12">
        <v>0</v>
      </c>
      <c r="O104" s="12">
        <v>0</v>
      </c>
      <c r="P104" s="12">
        <v>0</v>
      </c>
      <c r="Q104" s="12">
        <v>0</v>
      </c>
      <c r="R104" s="12">
        <f t="shared" si="21"/>
        <v>0</v>
      </c>
      <c r="S104" s="7">
        <v>101</v>
      </c>
    </row>
    <row r="105" spans="2:19" x14ac:dyDescent="0.25">
      <c r="C105" s="7">
        <v>615</v>
      </c>
      <c r="D105" s="7" t="s">
        <v>458</v>
      </c>
      <c r="E105" s="12">
        <v>0</v>
      </c>
      <c r="F105" s="12">
        <v>0</v>
      </c>
      <c r="G105" s="12">
        <v>0</v>
      </c>
      <c r="H105" s="12">
        <v>0</v>
      </c>
      <c r="I105" s="12">
        <v>0</v>
      </c>
      <c r="J105" s="12"/>
      <c r="K105" s="12">
        <v>0</v>
      </c>
      <c r="L105" s="12">
        <v>0</v>
      </c>
      <c r="M105" s="12"/>
      <c r="N105" s="12">
        <v>0</v>
      </c>
      <c r="O105" s="12">
        <v>0</v>
      </c>
      <c r="P105" s="12">
        <v>0</v>
      </c>
      <c r="Q105" s="12">
        <v>0</v>
      </c>
      <c r="R105" s="12">
        <f t="shared" si="21"/>
        <v>0</v>
      </c>
      <c r="S105" s="7">
        <v>102</v>
      </c>
    </row>
    <row r="106" spans="2:19" x14ac:dyDescent="0.25">
      <c r="C106" s="7">
        <v>616</v>
      </c>
      <c r="D106" s="7" t="s">
        <v>459</v>
      </c>
      <c r="E106" s="12">
        <v>0</v>
      </c>
      <c r="F106" s="12">
        <v>0</v>
      </c>
      <c r="G106" s="12">
        <v>0</v>
      </c>
      <c r="H106" s="12">
        <v>0</v>
      </c>
      <c r="I106" s="12">
        <v>0</v>
      </c>
      <c r="J106" s="12"/>
      <c r="K106" s="12">
        <v>0</v>
      </c>
      <c r="L106" s="12">
        <v>0</v>
      </c>
      <c r="M106" s="12"/>
      <c r="N106" s="12">
        <v>0</v>
      </c>
      <c r="O106" s="12">
        <v>0</v>
      </c>
      <c r="P106" s="12">
        <v>0</v>
      </c>
      <c r="Q106" s="12">
        <v>0</v>
      </c>
      <c r="R106" s="12">
        <f t="shared" si="21"/>
        <v>0</v>
      </c>
      <c r="S106" s="58">
        <v>103</v>
      </c>
    </row>
    <row r="107" spans="2:19" x14ac:dyDescent="0.25">
      <c r="C107" s="7">
        <v>619</v>
      </c>
      <c r="D107" s="7" t="s">
        <v>460</v>
      </c>
      <c r="E107" s="12">
        <v>0</v>
      </c>
      <c r="F107" s="12">
        <v>0</v>
      </c>
      <c r="G107" s="12">
        <v>0</v>
      </c>
      <c r="H107" s="12">
        <v>0</v>
      </c>
      <c r="I107" s="12">
        <v>0</v>
      </c>
      <c r="J107" s="12"/>
      <c r="K107" s="12">
        <v>0</v>
      </c>
      <c r="L107" s="12">
        <v>0</v>
      </c>
      <c r="M107" s="12"/>
      <c r="N107" s="12">
        <v>0</v>
      </c>
      <c r="O107" s="12">
        <v>0</v>
      </c>
      <c r="P107" s="12">
        <v>0</v>
      </c>
      <c r="Q107" s="12">
        <v>0</v>
      </c>
      <c r="R107" s="12">
        <f t="shared" si="21"/>
        <v>0</v>
      </c>
      <c r="S107" s="7">
        <v>104</v>
      </c>
    </row>
    <row r="108" spans="2:19" x14ac:dyDescent="0.25">
      <c r="E108" s="12"/>
      <c r="F108" s="12"/>
      <c r="G108" s="12"/>
      <c r="H108" s="12"/>
      <c r="I108" s="12"/>
      <c r="J108" s="12"/>
      <c r="K108" s="12"/>
      <c r="L108" s="12"/>
      <c r="M108" s="12"/>
      <c r="N108" s="12"/>
      <c r="O108" s="12"/>
      <c r="P108" s="12"/>
      <c r="Q108" s="12"/>
      <c r="R108" s="12"/>
      <c r="S108" s="7">
        <v>105</v>
      </c>
    </row>
    <row r="109" spans="2:19" x14ac:dyDescent="0.25">
      <c r="B109" s="128">
        <v>62</v>
      </c>
      <c r="C109" s="128"/>
      <c r="D109" s="128" t="s">
        <v>481</v>
      </c>
      <c r="E109" s="129">
        <f>E110+E111+E112</f>
        <v>0</v>
      </c>
      <c r="F109" s="129">
        <f t="shared" ref="F109:R109" si="22">F110+F111+F112</f>
        <v>0</v>
      </c>
      <c r="G109" s="129">
        <f t="shared" si="22"/>
        <v>0</v>
      </c>
      <c r="H109" s="129">
        <f t="shared" si="22"/>
        <v>0</v>
      </c>
      <c r="I109" s="129">
        <f t="shared" si="22"/>
        <v>0</v>
      </c>
      <c r="J109" s="129">
        <f t="shared" si="22"/>
        <v>0</v>
      </c>
      <c r="K109" s="129">
        <f t="shared" si="22"/>
        <v>0</v>
      </c>
      <c r="L109" s="129">
        <f t="shared" si="22"/>
        <v>0</v>
      </c>
      <c r="M109" s="129">
        <f t="shared" si="22"/>
        <v>0</v>
      </c>
      <c r="N109" s="129">
        <f t="shared" si="22"/>
        <v>0</v>
      </c>
      <c r="O109" s="129">
        <f t="shared" si="22"/>
        <v>0</v>
      </c>
      <c r="P109" s="129">
        <f t="shared" si="22"/>
        <v>0</v>
      </c>
      <c r="Q109" s="129">
        <f t="shared" si="22"/>
        <v>0</v>
      </c>
      <c r="R109" s="129">
        <f t="shared" si="22"/>
        <v>0</v>
      </c>
      <c r="S109" s="58">
        <v>106</v>
      </c>
    </row>
    <row r="110" spans="2:19" x14ac:dyDescent="0.25">
      <c r="C110" s="7">
        <v>620</v>
      </c>
      <c r="D110" s="7" t="s">
        <v>363</v>
      </c>
      <c r="E110" s="12">
        <v>0</v>
      </c>
      <c r="F110" s="12">
        <v>0</v>
      </c>
      <c r="G110" s="12">
        <v>0</v>
      </c>
      <c r="H110" s="12">
        <v>0</v>
      </c>
      <c r="I110" s="12">
        <v>0</v>
      </c>
      <c r="J110" s="12"/>
      <c r="K110" s="12">
        <v>0</v>
      </c>
      <c r="L110" s="12">
        <v>0</v>
      </c>
      <c r="M110" s="12"/>
      <c r="N110" s="12">
        <v>0</v>
      </c>
      <c r="O110" s="12">
        <v>0</v>
      </c>
      <c r="P110" s="12">
        <v>0</v>
      </c>
      <c r="Q110" s="12">
        <v>0</v>
      </c>
      <c r="R110" s="12">
        <f>SUM(E110:Q110)</f>
        <v>0</v>
      </c>
      <c r="S110" s="7">
        <v>107</v>
      </c>
    </row>
    <row r="111" spans="2:19" x14ac:dyDescent="0.25">
      <c r="C111" s="7">
        <v>621</v>
      </c>
      <c r="D111" s="7" t="s">
        <v>364</v>
      </c>
      <c r="E111" s="12">
        <v>0</v>
      </c>
      <c r="F111" s="12">
        <v>0</v>
      </c>
      <c r="G111" s="12">
        <v>0</v>
      </c>
      <c r="H111" s="12">
        <v>0</v>
      </c>
      <c r="I111" s="12">
        <v>0</v>
      </c>
      <c r="J111" s="12"/>
      <c r="K111" s="12">
        <v>0</v>
      </c>
      <c r="L111" s="12">
        <v>0</v>
      </c>
      <c r="M111" s="12"/>
      <c r="N111" s="12">
        <v>0</v>
      </c>
      <c r="O111" s="12">
        <v>0</v>
      </c>
      <c r="P111" s="12">
        <v>0</v>
      </c>
      <c r="Q111" s="12">
        <v>0</v>
      </c>
      <c r="R111" s="12">
        <f>SUM(E111:Q111)</f>
        <v>0</v>
      </c>
      <c r="S111" s="7">
        <v>108</v>
      </c>
    </row>
    <row r="112" spans="2:19" x14ac:dyDescent="0.25">
      <c r="C112" s="7">
        <v>629</v>
      </c>
      <c r="D112" s="7" t="s">
        <v>462</v>
      </c>
      <c r="E112" s="12">
        <v>0</v>
      </c>
      <c r="F112" s="12">
        <v>0</v>
      </c>
      <c r="G112" s="12">
        <v>0</v>
      </c>
      <c r="H112" s="12">
        <v>0</v>
      </c>
      <c r="I112" s="12">
        <v>0</v>
      </c>
      <c r="J112" s="12"/>
      <c r="K112" s="12">
        <v>0</v>
      </c>
      <c r="L112" s="12">
        <v>0</v>
      </c>
      <c r="M112" s="12"/>
      <c r="N112" s="12">
        <v>0</v>
      </c>
      <c r="O112" s="12">
        <v>0</v>
      </c>
      <c r="P112" s="12">
        <v>0</v>
      </c>
      <c r="Q112" s="12">
        <v>0</v>
      </c>
      <c r="R112" s="12">
        <f>SUM(E112:Q112)</f>
        <v>0</v>
      </c>
      <c r="S112" s="58">
        <v>109</v>
      </c>
    </row>
    <row r="113" spans="2:19" x14ac:dyDescent="0.25">
      <c r="E113" s="12"/>
      <c r="F113" s="12"/>
      <c r="G113" s="12"/>
      <c r="H113" s="12"/>
      <c r="I113" s="12"/>
      <c r="J113" s="12"/>
      <c r="K113" s="12"/>
      <c r="L113" s="12"/>
      <c r="M113" s="12"/>
      <c r="N113" s="12"/>
      <c r="O113" s="12"/>
      <c r="P113" s="12"/>
      <c r="Q113" s="12"/>
      <c r="R113" s="12"/>
      <c r="S113" s="7">
        <v>110</v>
      </c>
    </row>
    <row r="114" spans="2:19" x14ac:dyDescent="0.25">
      <c r="B114" s="128">
        <v>63</v>
      </c>
      <c r="C114" s="128"/>
      <c r="D114" s="128" t="s">
        <v>728</v>
      </c>
      <c r="E114" s="129">
        <f>E115+E116+E117+E118+E119+E120+E121+E122+E123</f>
        <v>0</v>
      </c>
      <c r="F114" s="129">
        <f t="shared" ref="F114:R114" si="23">F115+F116+F117+F118+F119+F120+F121+F122+F123</f>
        <v>0</v>
      </c>
      <c r="G114" s="129">
        <f t="shared" si="23"/>
        <v>0</v>
      </c>
      <c r="H114" s="129">
        <f t="shared" si="23"/>
        <v>0</v>
      </c>
      <c r="I114" s="129">
        <f t="shared" si="23"/>
        <v>67509.850000000006</v>
      </c>
      <c r="J114" s="129">
        <f t="shared" si="23"/>
        <v>0</v>
      </c>
      <c r="K114" s="129">
        <f t="shared" si="23"/>
        <v>0</v>
      </c>
      <c r="L114" s="129">
        <f t="shared" si="23"/>
        <v>0</v>
      </c>
      <c r="M114" s="129">
        <f>M115+M116+M117+M118+M119+M120+M121+M122+M123</f>
        <v>0</v>
      </c>
      <c r="N114" s="129">
        <f t="shared" si="23"/>
        <v>0</v>
      </c>
      <c r="O114" s="129">
        <f t="shared" si="23"/>
        <v>0</v>
      </c>
      <c r="P114" s="129">
        <f t="shared" si="23"/>
        <v>0</v>
      </c>
      <c r="Q114" s="129">
        <f t="shared" si="23"/>
        <v>0</v>
      </c>
      <c r="R114" s="129">
        <f t="shared" si="23"/>
        <v>67509.850000000006</v>
      </c>
      <c r="S114" s="7">
        <v>111</v>
      </c>
    </row>
    <row r="115" spans="2:19" x14ac:dyDescent="0.25">
      <c r="C115" s="7">
        <v>630</v>
      </c>
      <c r="D115" s="7" t="s">
        <v>463</v>
      </c>
      <c r="E115" s="12">
        <v>0</v>
      </c>
      <c r="F115" s="12">
        <v>0</v>
      </c>
      <c r="G115" s="12">
        <v>0</v>
      </c>
      <c r="H115" s="12">
        <v>0</v>
      </c>
      <c r="I115" s="12">
        <v>0</v>
      </c>
      <c r="J115" s="12"/>
      <c r="K115" s="12">
        <v>0</v>
      </c>
      <c r="L115" s="12">
        <v>0</v>
      </c>
      <c r="M115" s="12"/>
      <c r="N115" s="12">
        <v>0</v>
      </c>
      <c r="O115" s="12">
        <v>0</v>
      </c>
      <c r="P115" s="12">
        <v>0</v>
      </c>
      <c r="Q115" s="12">
        <v>0</v>
      </c>
      <c r="R115" s="12">
        <f t="shared" ref="R115:R123" si="24">SUM(E115:Q115)</f>
        <v>0</v>
      </c>
      <c r="S115" s="58">
        <v>112</v>
      </c>
    </row>
    <row r="116" spans="2:19" x14ac:dyDescent="0.25">
      <c r="C116" s="7">
        <v>631</v>
      </c>
      <c r="D116" s="7" t="s">
        <v>464</v>
      </c>
      <c r="E116" s="12">
        <v>0</v>
      </c>
      <c r="F116" s="12">
        <v>0</v>
      </c>
      <c r="G116" s="12">
        <v>0</v>
      </c>
      <c r="H116" s="12">
        <v>0</v>
      </c>
      <c r="I116" s="12">
        <v>40000</v>
      </c>
      <c r="J116" s="12"/>
      <c r="K116" s="12">
        <v>0</v>
      </c>
      <c r="L116" s="12">
        <v>0</v>
      </c>
      <c r="M116" s="12"/>
      <c r="N116" s="12">
        <v>0</v>
      </c>
      <c r="O116" s="12">
        <v>0</v>
      </c>
      <c r="P116" s="12">
        <v>0</v>
      </c>
      <c r="Q116" s="12">
        <v>0</v>
      </c>
      <c r="R116" s="12">
        <f t="shared" si="24"/>
        <v>40000</v>
      </c>
      <c r="S116" s="7">
        <v>113</v>
      </c>
    </row>
    <row r="117" spans="2:19" x14ac:dyDescent="0.25">
      <c r="C117" s="7">
        <v>632</v>
      </c>
      <c r="D117" s="7" t="s">
        <v>465</v>
      </c>
      <c r="E117" s="12">
        <v>0</v>
      </c>
      <c r="F117" s="12">
        <v>0</v>
      </c>
      <c r="G117" s="12">
        <v>0</v>
      </c>
      <c r="H117" s="12">
        <v>0</v>
      </c>
      <c r="I117" s="12">
        <v>0</v>
      </c>
      <c r="J117" s="12"/>
      <c r="K117" s="12">
        <v>0</v>
      </c>
      <c r="L117" s="12">
        <v>0</v>
      </c>
      <c r="M117" s="12"/>
      <c r="N117" s="12">
        <v>0</v>
      </c>
      <c r="O117" s="12">
        <v>0</v>
      </c>
      <c r="P117" s="12">
        <v>0</v>
      </c>
      <c r="Q117" s="12">
        <v>0</v>
      </c>
      <c r="R117" s="12">
        <f t="shared" si="24"/>
        <v>0</v>
      </c>
      <c r="S117" s="7">
        <v>114</v>
      </c>
    </row>
    <row r="118" spans="2:19" x14ac:dyDescent="0.25">
      <c r="C118" s="7">
        <v>633</v>
      </c>
      <c r="D118" s="7" t="s">
        <v>466</v>
      </c>
      <c r="E118" s="12">
        <v>0</v>
      </c>
      <c r="F118" s="12">
        <v>0</v>
      </c>
      <c r="G118" s="12">
        <v>0</v>
      </c>
      <c r="H118" s="12">
        <v>0</v>
      </c>
      <c r="I118" s="12">
        <v>0</v>
      </c>
      <c r="J118" s="12"/>
      <c r="K118" s="12">
        <v>0</v>
      </c>
      <c r="L118" s="12">
        <v>0</v>
      </c>
      <c r="M118" s="12"/>
      <c r="N118" s="12">
        <v>0</v>
      </c>
      <c r="O118" s="12">
        <v>0</v>
      </c>
      <c r="P118" s="12">
        <v>0</v>
      </c>
      <c r="Q118" s="12">
        <v>0</v>
      </c>
      <c r="R118" s="12">
        <f t="shared" si="24"/>
        <v>0</v>
      </c>
      <c r="S118" s="58">
        <v>115</v>
      </c>
    </row>
    <row r="119" spans="2:19" x14ac:dyDescent="0.25">
      <c r="C119" s="7">
        <v>634</v>
      </c>
      <c r="D119" s="7" t="s">
        <v>467</v>
      </c>
      <c r="E119" s="12">
        <v>0</v>
      </c>
      <c r="F119" s="12">
        <v>0</v>
      </c>
      <c r="G119" s="12">
        <v>0</v>
      </c>
      <c r="H119" s="12">
        <v>0</v>
      </c>
      <c r="I119" s="12">
        <v>0</v>
      </c>
      <c r="J119" s="12"/>
      <c r="K119" s="12">
        <v>0</v>
      </c>
      <c r="L119" s="12">
        <v>0</v>
      </c>
      <c r="M119" s="12"/>
      <c r="N119" s="12">
        <v>0</v>
      </c>
      <c r="O119" s="12">
        <v>0</v>
      </c>
      <c r="P119" s="12">
        <v>0</v>
      </c>
      <c r="Q119" s="12">
        <v>0</v>
      </c>
      <c r="R119" s="12">
        <f t="shared" si="24"/>
        <v>0</v>
      </c>
      <c r="S119" s="7">
        <v>116</v>
      </c>
    </row>
    <row r="120" spans="2:19" x14ac:dyDescent="0.25">
      <c r="C120" s="7">
        <v>635</v>
      </c>
      <c r="D120" s="7" t="s">
        <v>468</v>
      </c>
      <c r="E120" s="12">
        <v>0</v>
      </c>
      <c r="F120" s="12">
        <v>0</v>
      </c>
      <c r="G120" s="12">
        <v>0</v>
      </c>
      <c r="H120" s="12">
        <v>0</v>
      </c>
      <c r="I120" s="12">
        <v>27509.85</v>
      </c>
      <c r="J120" s="12"/>
      <c r="K120" s="12">
        <v>0</v>
      </c>
      <c r="L120" s="12">
        <v>0</v>
      </c>
      <c r="M120" s="12"/>
      <c r="N120" s="12">
        <v>0</v>
      </c>
      <c r="O120" s="12">
        <v>0</v>
      </c>
      <c r="P120" s="12">
        <v>0</v>
      </c>
      <c r="Q120" s="12">
        <v>0</v>
      </c>
      <c r="R120" s="12">
        <f t="shared" si="24"/>
        <v>27509.85</v>
      </c>
      <c r="S120" s="7">
        <v>117</v>
      </c>
    </row>
    <row r="121" spans="2:19" x14ac:dyDescent="0.25">
      <c r="C121" s="7">
        <v>636</v>
      </c>
      <c r="D121" s="7" t="s">
        <v>469</v>
      </c>
      <c r="E121" s="12">
        <v>0</v>
      </c>
      <c r="F121" s="12">
        <v>0</v>
      </c>
      <c r="G121" s="12">
        <v>0</v>
      </c>
      <c r="H121" s="12">
        <v>0</v>
      </c>
      <c r="I121" s="12">
        <v>0</v>
      </c>
      <c r="J121" s="12"/>
      <c r="K121" s="12">
        <v>0</v>
      </c>
      <c r="L121" s="12">
        <v>0</v>
      </c>
      <c r="M121" s="12"/>
      <c r="N121" s="12">
        <v>0</v>
      </c>
      <c r="O121" s="12">
        <v>0</v>
      </c>
      <c r="P121" s="12">
        <v>0</v>
      </c>
      <c r="Q121" s="12">
        <v>0</v>
      </c>
      <c r="R121" s="12">
        <f t="shared" si="24"/>
        <v>0</v>
      </c>
      <c r="S121" s="58">
        <v>118</v>
      </c>
    </row>
    <row r="122" spans="2:19" x14ac:dyDescent="0.25">
      <c r="C122" s="7">
        <v>637</v>
      </c>
      <c r="D122" s="7" t="s">
        <v>470</v>
      </c>
      <c r="E122" s="12">
        <v>0</v>
      </c>
      <c r="F122" s="12">
        <v>0</v>
      </c>
      <c r="G122" s="12">
        <v>0</v>
      </c>
      <c r="H122" s="12">
        <v>0</v>
      </c>
      <c r="I122" s="12">
        <v>0</v>
      </c>
      <c r="J122" s="12"/>
      <c r="K122" s="12">
        <v>0</v>
      </c>
      <c r="L122" s="12">
        <v>0</v>
      </c>
      <c r="M122" s="12"/>
      <c r="N122" s="12">
        <v>0</v>
      </c>
      <c r="O122" s="12">
        <v>0</v>
      </c>
      <c r="P122" s="12">
        <v>0</v>
      </c>
      <c r="Q122" s="12">
        <v>0</v>
      </c>
      <c r="R122" s="12">
        <f t="shared" si="24"/>
        <v>0</v>
      </c>
      <c r="S122" s="7">
        <v>119</v>
      </c>
    </row>
    <row r="123" spans="2:19" x14ac:dyDescent="0.25">
      <c r="C123" s="7">
        <v>638</v>
      </c>
      <c r="D123" s="7" t="s">
        <v>471</v>
      </c>
      <c r="E123" s="12">
        <v>0</v>
      </c>
      <c r="F123" s="12">
        <v>0</v>
      </c>
      <c r="G123" s="12">
        <v>0</v>
      </c>
      <c r="H123" s="12">
        <v>0</v>
      </c>
      <c r="I123" s="12">
        <v>0</v>
      </c>
      <c r="J123" s="12"/>
      <c r="K123" s="12">
        <v>0</v>
      </c>
      <c r="L123" s="12">
        <v>0</v>
      </c>
      <c r="M123" s="12"/>
      <c r="N123" s="12">
        <v>0</v>
      </c>
      <c r="O123" s="12">
        <v>0</v>
      </c>
      <c r="P123" s="12">
        <v>0</v>
      </c>
      <c r="Q123" s="12">
        <v>0</v>
      </c>
      <c r="R123" s="12">
        <f t="shared" si="24"/>
        <v>0</v>
      </c>
      <c r="S123" s="7">
        <v>120</v>
      </c>
    </row>
    <row r="124" spans="2:19" x14ac:dyDescent="0.25">
      <c r="E124" s="12"/>
      <c r="F124" s="12"/>
      <c r="G124" s="12"/>
      <c r="H124" s="12"/>
      <c r="I124" s="12"/>
      <c r="J124" s="12"/>
      <c r="K124" s="12"/>
      <c r="L124" s="12"/>
      <c r="M124" s="12"/>
      <c r="N124" s="12"/>
      <c r="O124" s="12"/>
      <c r="P124" s="12"/>
      <c r="Q124" s="12"/>
      <c r="R124" s="12"/>
      <c r="S124" s="58">
        <v>121</v>
      </c>
    </row>
    <row r="125" spans="2:19" x14ac:dyDescent="0.25">
      <c r="B125" s="128">
        <v>64</v>
      </c>
      <c r="C125" s="128"/>
      <c r="D125" s="128" t="s">
        <v>483</v>
      </c>
      <c r="E125" s="129">
        <f>E126+E127+E128+E129+E130+E131+E132+E133+E134</f>
        <v>0</v>
      </c>
      <c r="F125" s="129">
        <f t="shared" ref="F125:R125" si="25">F126+F127+F128+F129+F130+F131+F132+F133+F134</f>
        <v>0</v>
      </c>
      <c r="G125" s="129">
        <f t="shared" si="25"/>
        <v>0</v>
      </c>
      <c r="H125" s="129">
        <f t="shared" si="25"/>
        <v>0</v>
      </c>
      <c r="I125" s="129">
        <f t="shared" si="25"/>
        <v>0</v>
      </c>
      <c r="J125" s="129">
        <f t="shared" si="25"/>
        <v>0</v>
      </c>
      <c r="K125" s="129">
        <f t="shared" si="25"/>
        <v>0</v>
      </c>
      <c r="L125" s="129">
        <f t="shared" si="25"/>
        <v>0</v>
      </c>
      <c r="M125" s="129">
        <f t="shared" si="25"/>
        <v>0</v>
      </c>
      <c r="N125" s="129">
        <f t="shared" si="25"/>
        <v>0</v>
      </c>
      <c r="O125" s="129">
        <f t="shared" si="25"/>
        <v>0</v>
      </c>
      <c r="P125" s="129">
        <f t="shared" si="25"/>
        <v>0</v>
      </c>
      <c r="Q125" s="129">
        <f t="shared" si="25"/>
        <v>0</v>
      </c>
      <c r="R125" s="129">
        <f t="shared" si="25"/>
        <v>0</v>
      </c>
      <c r="S125" s="7">
        <v>122</v>
      </c>
    </row>
    <row r="126" spans="2:19" x14ac:dyDescent="0.25">
      <c r="C126" s="7">
        <v>640</v>
      </c>
      <c r="D126" s="7" t="s">
        <v>463</v>
      </c>
      <c r="E126" s="12">
        <v>0</v>
      </c>
      <c r="F126" s="12">
        <v>0</v>
      </c>
      <c r="G126" s="12">
        <v>0</v>
      </c>
      <c r="H126" s="12">
        <v>0</v>
      </c>
      <c r="I126" s="12">
        <v>0</v>
      </c>
      <c r="J126" s="12"/>
      <c r="K126" s="12">
        <v>0</v>
      </c>
      <c r="L126" s="12">
        <v>0</v>
      </c>
      <c r="M126" s="12"/>
      <c r="N126" s="12">
        <v>0</v>
      </c>
      <c r="O126" s="12">
        <v>0</v>
      </c>
      <c r="P126" s="12">
        <v>0</v>
      </c>
      <c r="Q126" s="12">
        <v>0</v>
      </c>
      <c r="R126" s="12">
        <f t="shared" ref="R126:R134" si="26">SUM(E126:Q126)</f>
        <v>0</v>
      </c>
      <c r="S126" s="7">
        <v>123</v>
      </c>
    </row>
    <row r="127" spans="2:19" x14ac:dyDescent="0.25">
      <c r="C127" s="7">
        <v>641</v>
      </c>
      <c r="D127" s="7" t="s">
        <v>464</v>
      </c>
      <c r="E127" s="12">
        <v>0</v>
      </c>
      <c r="F127" s="12">
        <v>0</v>
      </c>
      <c r="G127" s="12">
        <v>0</v>
      </c>
      <c r="H127" s="12">
        <v>0</v>
      </c>
      <c r="I127" s="12">
        <v>0</v>
      </c>
      <c r="J127" s="12"/>
      <c r="K127" s="12">
        <v>0</v>
      </c>
      <c r="L127" s="12">
        <v>0</v>
      </c>
      <c r="M127" s="12"/>
      <c r="N127" s="12">
        <v>0</v>
      </c>
      <c r="O127" s="12">
        <v>0</v>
      </c>
      <c r="P127" s="12">
        <v>0</v>
      </c>
      <c r="Q127" s="12">
        <v>0</v>
      </c>
      <c r="R127" s="12">
        <f t="shared" si="26"/>
        <v>0</v>
      </c>
      <c r="S127" s="58">
        <v>124</v>
      </c>
    </row>
    <row r="128" spans="2:19" x14ac:dyDescent="0.25">
      <c r="C128" s="7">
        <v>642</v>
      </c>
      <c r="D128" s="7" t="s">
        <v>465</v>
      </c>
      <c r="E128" s="12">
        <v>0</v>
      </c>
      <c r="F128" s="12">
        <v>0</v>
      </c>
      <c r="G128" s="12">
        <v>0</v>
      </c>
      <c r="H128" s="12">
        <v>0</v>
      </c>
      <c r="I128" s="12">
        <v>0</v>
      </c>
      <c r="J128" s="12"/>
      <c r="K128" s="12">
        <v>0</v>
      </c>
      <c r="L128" s="12">
        <v>0</v>
      </c>
      <c r="M128" s="12"/>
      <c r="N128" s="12">
        <v>0</v>
      </c>
      <c r="O128" s="12">
        <v>0</v>
      </c>
      <c r="P128" s="12">
        <v>0</v>
      </c>
      <c r="Q128" s="12">
        <v>0</v>
      </c>
      <c r="R128" s="12">
        <f t="shared" si="26"/>
        <v>0</v>
      </c>
      <c r="S128" s="7">
        <v>125</v>
      </c>
    </row>
    <row r="129" spans="2:19" x14ac:dyDescent="0.25">
      <c r="C129" s="7">
        <v>643</v>
      </c>
      <c r="D129" s="7" t="s">
        <v>466</v>
      </c>
      <c r="E129" s="12">
        <v>0</v>
      </c>
      <c r="F129" s="12">
        <v>0</v>
      </c>
      <c r="G129" s="12">
        <v>0</v>
      </c>
      <c r="H129" s="12">
        <v>0</v>
      </c>
      <c r="I129" s="12">
        <v>0</v>
      </c>
      <c r="J129" s="12"/>
      <c r="K129" s="12">
        <v>0</v>
      </c>
      <c r="L129" s="12">
        <v>0</v>
      </c>
      <c r="M129" s="12"/>
      <c r="N129" s="12">
        <v>0</v>
      </c>
      <c r="O129" s="12">
        <v>0</v>
      </c>
      <c r="P129" s="12">
        <v>0</v>
      </c>
      <c r="Q129" s="12">
        <v>0</v>
      </c>
      <c r="R129" s="12">
        <f t="shared" si="26"/>
        <v>0</v>
      </c>
      <c r="S129" s="7">
        <v>126</v>
      </c>
    </row>
    <row r="130" spans="2:19" x14ac:dyDescent="0.25">
      <c r="C130" s="7">
        <v>644</v>
      </c>
      <c r="D130" s="7" t="s">
        <v>467</v>
      </c>
      <c r="E130" s="12">
        <v>0</v>
      </c>
      <c r="F130" s="12">
        <v>0</v>
      </c>
      <c r="G130" s="12">
        <v>0</v>
      </c>
      <c r="H130" s="12">
        <v>0</v>
      </c>
      <c r="I130" s="12">
        <v>0</v>
      </c>
      <c r="J130" s="12"/>
      <c r="K130" s="12">
        <v>0</v>
      </c>
      <c r="L130" s="12">
        <v>0</v>
      </c>
      <c r="M130" s="12"/>
      <c r="N130" s="12">
        <v>0</v>
      </c>
      <c r="O130" s="12">
        <v>0</v>
      </c>
      <c r="P130" s="12">
        <v>0</v>
      </c>
      <c r="Q130" s="12">
        <v>0</v>
      </c>
      <c r="R130" s="12">
        <f t="shared" si="26"/>
        <v>0</v>
      </c>
      <c r="S130" s="58">
        <v>127</v>
      </c>
    </row>
    <row r="131" spans="2:19" x14ac:dyDescent="0.25">
      <c r="C131" s="7">
        <v>645</v>
      </c>
      <c r="D131" s="7" t="s">
        <v>468</v>
      </c>
      <c r="E131" s="12">
        <v>0</v>
      </c>
      <c r="F131" s="12">
        <v>0</v>
      </c>
      <c r="G131" s="12">
        <v>0</v>
      </c>
      <c r="H131" s="12">
        <v>0</v>
      </c>
      <c r="I131" s="12">
        <v>0</v>
      </c>
      <c r="J131" s="12"/>
      <c r="K131" s="12">
        <v>0</v>
      </c>
      <c r="L131" s="12">
        <v>0</v>
      </c>
      <c r="M131" s="12"/>
      <c r="N131" s="12">
        <v>0</v>
      </c>
      <c r="O131" s="12">
        <v>0</v>
      </c>
      <c r="P131" s="12">
        <v>0</v>
      </c>
      <c r="Q131" s="12">
        <v>0</v>
      </c>
      <c r="R131" s="12">
        <f t="shared" si="26"/>
        <v>0</v>
      </c>
      <c r="S131" s="7">
        <v>128</v>
      </c>
    </row>
    <row r="132" spans="2:19" x14ac:dyDescent="0.25">
      <c r="C132" s="7">
        <v>646</v>
      </c>
      <c r="D132" s="7" t="s">
        <v>469</v>
      </c>
      <c r="E132" s="12">
        <v>0</v>
      </c>
      <c r="F132" s="12">
        <v>0</v>
      </c>
      <c r="G132" s="12">
        <v>0</v>
      </c>
      <c r="H132" s="12">
        <v>0</v>
      </c>
      <c r="I132" s="12">
        <v>0</v>
      </c>
      <c r="J132" s="12"/>
      <c r="K132" s="12">
        <v>0</v>
      </c>
      <c r="L132" s="12">
        <v>0</v>
      </c>
      <c r="M132" s="12"/>
      <c r="N132" s="12">
        <v>0</v>
      </c>
      <c r="O132" s="12">
        <v>0</v>
      </c>
      <c r="P132" s="12">
        <v>0</v>
      </c>
      <c r="Q132" s="12">
        <v>0</v>
      </c>
      <c r="R132" s="12">
        <f t="shared" si="26"/>
        <v>0</v>
      </c>
      <c r="S132" s="7">
        <v>129</v>
      </c>
    </row>
    <row r="133" spans="2:19" x14ac:dyDescent="0.25">
      <c r="C133" s="7">
        <v>647</v>
      </c>
      <c r="D133" s="7" t="s">
        <v>470</v>
      </c>
      <c r="E133" s="12">
        <v>0</v>
      </c>
      <c r="F133" s="12">
        <v>0</v>
      </c>
      <c r="G133" s="12">
        <v>0</v>
      </c>
      <c r="H133" s="12">
        <v>0</v>
      </c>
      <c r="I133" s="12">
        <v>0</v>
      </c>
      <c r="J133" s="12"/>
      <c r="K133" s="12">
        <v>0</v>
      </c>
      <c r="L133" s="12">
        <v>0</v>
      </c>
      <c r="M133" s="12"/>
      <c r="N133" s="12">
        <v>0</v>
      </c>
      <c r="O133" s="12">
        <v>0</v>
      </c>
      <c r="P133" s="12">
        <v>0</v>
      </c>
      <c r="Q133" s="12">
        <v>0</v>
      </c>
      <c r="R133" s="12">
        <f t="shared" si="26"/>
        <v>0</v>
      </c>
      <c r="S133" s="58">
        <v>130</v>
      </c>
    </row>
    <row r="134" spans="2:19" x14ac:dyDescent="0.25">
      <c r="C134" s="7">
        <v>648</v>
      </c>
      <c r="D134" s="7" t="s">
        <v>471</v>
      </c>
      <c r="E134" s="12">
        <v>0</v>
      </c>
      <c r="F134" s="12">
        <v>0</v>
      </c>
      <c r="G134" s="12">
        <v>0</v>
      </c>
      <c r="H134" s="12">
        <v>0</v>
      </c>
      <c r="I134" s="12">
        <v>0</v>
      </c>
      <c r="J134" s="12"/>
      <c r="K134" s="12">
        <v>0</v>
      </c>
      <c r="L134" s="12">
        <v>0</v>
      </c>
      <c r="M134" s="12"/>
      <c r="N134" s="12">
        <v>0</v>
      </c>
      <c r="O134" s="12">
        <v>0</v>
      </c>
      <c r="P134" s="12">
        <v>0</v>
      </c>
      <c r="Q134" s="12">
        <v>0</v>
      </c>
      <c r="R134" s="12">
        <f t="shared" si="26"/>
        <v>0</v>
      </c>
      <c r="S134" s="7">
        <v>131</v>
      </c>
    </row>
    <row r="135" spans="2:19" x14ac:dyDescent="0.25">
      <c r="E135" s="12"/>
      <c r="F135" s="12"/>
      <c r="G135" s="12"/>
      <c r="H135" s="12"/>
      <c r="I135" s="12"/>
      <c r="J135" s="12"/>
      <c r="K135" s="12"/>
      <c r="L135" s="12"/>
      <c r="M135" s="12"/>
      <c r="N135" s="12"/>
      <c r="O135" s="12"/>
      <c r="P135" s="12"/>
      <c r="Q135" s="12"/>
      <c r="R135" s="12"/>
      <c r="S135" s="7">
        <v>132</v>
      </c>
    </row>
    <row r="136" spans="2:19" x14ac:dyDescent="0.25">
      <c r="B136" s="128">
        <v>65</v>
      </c>
      <c r="C136" s="128"/>
      <c r="D136" s="128" t="s">
        <v>484</v>
      </c>
      <c r="E136" s="129">
        <f>E137+E138+E139+E140+E141+E142+E143+E144+E145</f>
        <v>0</v>
      </c>
      <c r="F136" s="129">
        <f t="shared" ref="F136:R136" si="27">F137+F138+F139+F140+F141+F142+F143+F144+F145</f>
        <v>0</v>
      </c>
      <c r="G136" s="129">
        <f t="shared" si="27"/>
        <v>0</v>
      </c>
      <c r="H136" s="129">
        <f t="shared" si="27"/>
        <v>0</v>
      </c>
      <c r="I136" s="129">
        <f t="shared" si="27"/>
        <v>0</v>
      </c>
      <c r="J136" s="129">
        <f t="shared" si="27"/>
        <v>0</v>
      </c>
      <c r="K136" s="129">
        <f t="shared" si="27"/>
        <v>0</v>
      </c>
      <c r="L136" s="129">
        <f t="shared" si="27"/>
        <v>0</v>
      </c>
      <c r="M136" s="129">
        <f t="shared" si="27"/>
        <v>0</v>
      </c>
      <c r="N136" s="129">
        <f t="shared" si="27"/>
        <v>0</v>
      </c>
      <c r="O136" s="129">
        <f t="shared" si="27"/>
        <v>0</v>
      </c>
      <c r="P136" s="129">
        <f t="shared" si="27"/>
        <v>0</v>
      </c>
      <c r="Q136" s="129">
        <f t="shared" si="27"/>
        <v>0</v>
      </c>
      <c r="R136" s="129">
        <f t="shared" si="27"/>
        <v>0</v>
      </c>
      <c r="S136" s="58">
        <v>133</v>
      </c>
    </row>
    <row r="137" spans="2:19" x14ac:dyDescent="0.25">
      <c r="C137" s="7">
        <v>650</v>
      </c>
      <c r="D137" s="7" t="s">
        <v>463</v>
      </c>
      <c r="E137" s="12">
        <v>0</v>
      </c>
      <c r="F137" s="12">
        <v>0</v>
      </c>
      <c r="G137" s="12">
        <v>0</v>
      </c>
      <c r="H137" s="12">
        <v>0</v>
      </c>
      <c r="I137" s="12">
        <v>0</v>
      </c>
      <c r="J137" s="12"/>
      <c r="K137" s="12">
        <v>0</v>
      </c>
      <c r="L137" s="12">
        <v>0</v>
      </c>
      <c r="M137" s="12"/>
      <c r="N137" s="12">
        <v>0</v>
      </c>
      <c r="O137" s="12">
        <v>0</v>
      </c>
      <c r="P137" s="12">
        <v>0</v>
      </c>
      <c r="Q137" s="12">
        <v>0</v>
      </c>
      <c r="R137" s="12">
        <f t="shared" ref="R137:R145" si="28">SUM(E137:Q137)</f>
        <v>0</v>
      </c>
      <c r="S137" s="7">
        <v>134</v>
      </c>
    </row>
    <row r="138" spans="2:19" x14ac:dyDescent="0.25">
      <c r="C138" s="7">
        <v>651</v>
      </c>
      <c r="D138" s="7" t="s">
        <v>464</v>
      </c>
      <c r="E138" s="12">
        <v>0</v>
      </c>
      <c r="F138" s="12">
        <v>0</v>
      </c>
      <c r="G138" s="12">
        <v>0</v>
      </c>
      <c r="H138" s="12">
        <v>0</v>
      </c>
      <c r="I138" s="12">
        <v>0</v>
      </c>
      <c r="J138" s="12"/>
      <c r="K138" s="12">
        <v>0</v>
      </c>
      <c r="L138" s="12">
        <v>0</v>
      </c>
      <c r="M138" s="12"/>
      <c r="N138" s="12">
        <v>0</v>
      </c>
      <c r="O138" s="12">
        <v>0</v>
      </c>
      <c r="P138" s="12">
        <v>0</v>
      </c>
      <c r="Q138" s="12">
        <v>0</v>
      </c>
      <c r="R138" s="12">
        <f t="shared" si="28"/>
        <v>0</v>
      </c>
      <c r="S138" s="7">
        <v>135</v>
      </c>
    </row>
    <row r="139" spans="2:19" x14ac:dyDescent="0.25">
      <c r="C139" s="7">
        <v>652</v>
      </c>
      <c r="D139" s="7" t="s">
        <v>465</v>
      </c>
      <c r="E139" s="12">
        <v>0</v>
      </c>
      <c r="F139" s="12">
        <v>0</v>
      </c>
      <c r="G139" s="12">
        <v>0</v>
      </c>
      <c r="H139" s="12">
        <v>0</v>
      </c>
      <c r="I139" s="12">
        <v>0</v>
      </c>
      <c r="J139" s="12"/>
      <c r="K139" s="12">
        <v>0</v>
      </c>
      <c r="L139" s="12">
        <v>0</v>
      </c>
      <c r="M139" s="12"/>
      <c r="N139" s="12">
        <v>0</v>
      </c>
      <c r="O139" s="12">
        <v>0</v>
      </c>
      <c r="P139" s="12">
        <v>0</v>
      </c>
      <c r="Q139" s="12">
        <v>0</v>
      </c>
      <c r="R139" s="12">
        <f t="shared" si="28"/>
        <v>0</v>
      </c>
      <c r="S139" s="58">
        <v>136</v>
      </c>
    </row>
    <row r="140" spans="2:19" x14ac:dyDescent="0.25">
      <c r="C140" s="7">
        <v>653</v>
      </c>
      <c r="D140" s="7" t="s">
        <v>466</v>
      </c>
      <c r="E140" s="12">
        <v>0</v>
      </c>
      <c r="F140" s="12">
        <v>0</v>
      </c>
      <c r="G140" s="12">
        <v>0</v>
      </c>
      <c r="H140" s="12">
        <v>0</v>
      </c>
      <c r="I140" s="12">
        <v>0</v>
      </c>
      <c r="J140" s="12"/>
      <c r="K140" s="12">
        <v>0</v>
      </c>
      <c r="L140" s="12">
        <v>0</v>
      </c>
      <c r="M140" s="12"/>
      <c r="N140" s="12">
        <v>0</v>
      </c>
      <c r="O140" s="12">
        <v>0</v>
      </c>
      <c r="P140" s="12">
        <v>0</v>
      </c>
      <c r="Q140" s="12">
        <v>0</v>
      </c>
      <c r="R140" s="12">
        <f t="shared" si="28"/>
        <v>0</v>
      </c>
      <c r="S140" s="7">
        <v>137</v>
      </c>
    </row>
    <row r="141" spans="2:19" x14ac:dyDescent="0.25">
      <c r="C141" s="7">
        <v>654</v>
      </c>
      <c r="D141" s="7" t="s">
        <v>467</v>
      </c>
      <c r="E141" s="12">
        <v>0</v>
      </c>
      <c r="F141" s="12">
        <v>0</v>
      </c>
      <c r="G141" s="12">
        <v>0</v>
      </c>
      <c r="H141" s="12">
        <v>0</v>
      </c>
      <c r="I141" s="12">
        <v>0</v>
      </c>
      <c r="J141" s="12"/>
      <c r="K141" s="12">
        <v>0</v>
      </c>
      <c r="L141" s="12">
        <v>0</v>
      </c>
      <c r="M141" s="12"/>
      <c r="N141" s="12">
        <v>0</v>
      </c>
      <c r="O141" s="12">
        <v>0</v>
      </c>
      <c r="P141" s="12">
        <v>0</v>
      </c>
      <c r="Q141" s="12">
        <v>0</v>
      </c>
      <c r="R141" s="12">
        <f t="shared" si="28"/>
        <v>0</v>
      </c>
      <c r="S141" s="7">
        <v>138</v>
      </c>
    </row>
    <row r="142" spans="2:19" x14ac:dyDescent="0.25">
      <c r="C142" s="7">
        <v>655</v>
      </c>
      <c r="D142" s="7" t="s">
        <v>468</v>
      </c>
      <c r="E142" s="12">
        <v>0</v>
      </c>
      <c r="F142" s="12">
        <v>0</v>
      </c>
      <c r="G142" s="12">
        <v>0</v>
      </c>
      <c r="H142" s="12">
        <v>0</v>
      </c>
      <c r="I142" s="12">
        <v>0</v>
      </c>
      <c r="J142" s="12"/>
      <c r="K142" s="12">
        <v>0</v>
      </c>
      <c r="L142" s="12">
        <v>0</v>
      </c>
      <c r="M142" s="12"/>
      <c r="N142" s="12">
        <v>0</v>
      </c>
      <c r="O142" s="12">
        <v>0</v>
      </c>
      <c r="P142" s="12">
        <v>0</v>
      </c>
      <c r="Q142" s="12">
        <v>0</v>
      </c>
      <c r="R142" s="12">
        <f t="shared" si="28"/>
        <v>0</v>
      </c>
      <c r="S142" s="58">
        <v>139</v>
      </c>
    </row>
    <row r="143" spans="2:19" x14ac:dyDescent="0.25">
      <c r="C143" s="7">
        <v>656</v>
      </c>
      <c r="D143" s="7" t="s">
        <v>469</v>
      </c>
      <c r="E143" s="12">
        <v>0</v>
      </c>
      <c r="F143" s="12">
        <v>0</v>
      </c>
      <c r="G143" s="12">
        <v>0</v>
      </c>
      <c r="H143" s="12">
        <v>0</v>
      </c>
      <c r="I143" s="12">
        <v>0</v>
      </c>
      <c r="J143" s="12"/>
      <c r="K143" s="12">
        <v>0</v>
      </c>
      <c r="L143" s="12">
        <v>0</v>
      </c>
      <c r="M143" s="12"/>
      <c r="N143" s="12">
        <v>0</v>
      </c>
      <c r="O143" s="12">
        <v>0</v>
      </c>
      <c r="P143" s="12">
        <v>0</v>
      </c>
      <c r="Q143" s="12">
        <v>0</v>
      </c>
      <c r="R143" s="12">
        <f t="shared" si="28"/>
        <v>0</v>
      </c>
      <c r="S143" s="7">
        <v>140</v>
      </c>
    </row>
    <row r="144" spans="2:19" x14ac:dyDescent="0.25">
      <c r="C144" s="7">
        <v>657</v>
      </c>
      <c r="D144" s="7" t="s">
        <v>470</v>
      </c>
      <c r="E144" s="12">
        <v>0</v>
      </c>
      <c r="F144" s="12">
        <v>0</v>
      </c>
      <c r="G144" s="12">
        <v>0</v>
      </c>
      <c r="H144" s="12">
        <v>0</v>
      </c>
      <c r="I144" s="12">
        <v>0</v>
      </c>
      <c r="J144" s="12"/>
      <c r="K144" s="12">
        <v>0</v>
      </c>
      <c r="L144" s="12">
        <v>0</v>
      </c>
      <c r="M144" s="12"/>
      <c r="N144" s="12">
        <v>0</v>
      </c>
      <c r="O144" s="12">
        <v>0</v>
      </c>
      <c r="P144" s="12">
        <v>0</v>
      </c>
      <c r="Q144" s="12">
        <v>0</v>
      </c>
      <c r="R144" s="12">
        <f t="shared" si="28"/>
        <v>0</v>
      </c>
      <c r="S144" s="7">
        <v>141</v>
      </c>
    </row>
    <row r="145" spans="2:19" x14ac:dyDescent="0.25">
      <c r="C145" s="7">
        <v>658</v>
      </c>
      <c r="D145" s="7" t="s">
        <v>471</v>
      </c>
      <c r="E145" s="12">
        <v>0</v>
      </c>
      <c r="F145" s="12">
        <v>0</v>
      </c>
      <c r="G145" s="12">
        <v>0</v>
      </c>
      <c r="H145" s="12">
        <v>0</v>
      </c>
      <c r="I145" s="12">
        <v>0</v>
      </c>
      <c r="J145" s="12"/>
      <c r="K145" s="12">
        <v>0</v>
      </c>
      <c r="L145" s="12">
        <v>0</v>
      </c>
      <c r="M145" s="12"/>
      <c r="N145" s="12">
        <v>0</v>
      </c>
      <c r="O145" s="12">
        <v>0</v>
      </c>
      <c r="P145" s="12">
        <v>0</v>
      </c>
      <c r="Q145" s="12">
        <v>0</v>
      </c>
      <c r="R145" s="12">
        <f t="shared" si="28"/>
        <v>0</v>
      </c>
      <c r="S145" s="58">
        <v>142</v>
      </c>
    </row>
    <row r="146" spans="2:19" x14ac:dyDescent="0.25">
      <c r="E146" s="12"/>
      <c r="F146" s="12"/>
      <c r="G146" s="12"/>
      <c r="H146" s="12"/>
      <c r="I146" s="12"/>
      <c r="J146" s="12"/>
      <c r="K146" s="12"/>
      <c r="L146" s="12"/>
      <c r="M146" s="12"/>
      <c r="N146" s="12"/>
      <c r="O146" s="12"/>
      <c r="P146" s="12"/>
      <c r="Q146" s="12"/>
      <c r="R146" s="12"/>
      <c r="S146" s="7">
        <v>143</v>
      </c>
    </row>
    <row r="147" spans="2:19" x14ac:dyDescent="0.25">
      <c r="B147" s="128">
        <v>66</v>
      </c>
      <c r="C147" s="128"/>
      <c r="D147" s="128" t="s">
        <v>485</v>
      </c>
      <c r="E147" s="129">
        <f>E148+E149+E150+E151+E152+E153+E154+E155+E156</f>
        <v>0</v>
      </c>
      <c r="F147" s="129">
        <f t="shared" ref="F147:R147" si="29">F148+F149+F150+F151+F152+F153+F154+F155+F156</f>
        <v>0</v>
      </c>
      <c r="G147" s="129">
        <f t="shared" si="29"/>
        <v>0</v>
      </c>
      <c r="H147" s="129">
        <f t="shared" si="29"/>
        <v>0</v>
      </c>
      <c r="I147" s="129">
        <f t="shared" si="29"/>
        <v>0</v>
      </c>
      <c r="J147" s="129">
        <f t="shared" si="29"/>
        <v>0</v>
      </c>
      <c r="K147" s="129">
        <f t="shared" si="29"/>
        <v>0</v>
      </c>
      <c r="L147" s="129">
        <f t="shared" si="29"/>
        <v>0</v>
      </c>
      <c r="M147" s="129">
        <f t="shared" si="29"/>
        <v>0</v>
      </c>
      <c r="N147" s="129">
        <f t="shared" si="29"/>
        <v>0</v>
      </c>
      <c r="O147" s="129">
        <f t="shared" si="29"/>
        <v>0</v>
      </c>
      <c r="P147" s="129">
        <f t="shared" si="29"/>
        <v>0</v>
      </c>
      <c r="Q147" s="129">
        <f t="shared" si="29"/>
        <v>0</v>
      </c>
      <c r="R147" s="129">
        <f t="shared" si="29"/>
        <v>0</v>
      </c>
      <c r="S147" s="7">
        <v>144</v>
      </c>
    </row>
    <row r="148" spans="2:19" x14ac:dyDescent="0.25">
      <c r="C148" s="7">
        <v>660</v>
      </c>
      <c r="D148" s="7" t="s">
        <v>463</v>
      </c>
      <c r="E148" s="12">
        <v>0</v>
      </c>
      <c r="F148" s="12">
        <v>0</v>
      </c>
      <c r="G148" s="12">
        <v>0</v>
      </c>
      <c r="H148" s="12">
        <v>0</v>
      </c>
      <c r="I148" s="12">
        <v>0</v>
      </c>
      <c r="J148" s="12"/>
      <c r="K148" s="12">
        <v>0</v>
      </c>
      <c r="L148" s="12">
        <v>0</v>
      </c>
      <c r="M148" s="12"/>
      <c r="N148" s="12">
        <v>0</v>
      </c>
      <c r="O148" s="12">
        <v>0</v>
      </c>
      <c r="P148" s="12">
        <v>0</v>
      </c>
      <c r="Q148" s="12">
        <v>0</v>
      </c>
      <c r="R148" s="12">
        <f t="shared" ref="R148:R156" si="30">SUM(E148:Q148)</f>
        <v>0</v>
      </c>
      <c r="S148" s="58">
        <v>145</v>
      </c>
    </row>
    <row r="149" spans="2:19" x14ac:dyDescent="0.25">
      <c r="C149" s="7">
        <v>661</v>
      </c>
      <c r="D149" s="7" t="s">
        <v>464</v>
      </c>
      <c r="E149" s="12">
        <v>0</v>
      </c>
      <c r="F149" s="12">
        <v>0</v>
      </c>
      <c r="G149" s="12">
        <v>0</v>
      </c>
      <c r="H149" s="12">
        <v>0</v>
      </c>
      <c r="I149" s="12">
        <v>0</v>
      </c>
      <c r="J149" s="12"/>
      <c r="K149" s="12">
        <v>0</v>
      </c>
      <c r="L149" s="12">
        <v>0</v>
      </c>
      <c r="M149" s="12"/>
      <c r="N149" s="12">
        <v>0</v>
      </c>
      <c r="O149" s="12">
        <v>0</v>
      </c>
      <c r="P149" s="12">
        <v>0</v>
      </c>
      <c r="Q149" s="12">
        <v>0</v>
      </c>
      <c r="R149" s="12">
        <f t="shared" si="30"/>
        <v>0</v>
      </c>
      <c r="S149" s="7">
        <v>146</v>
      </c>
    </row>
    <row r="150" spans="2:19" x14ac:dyDescent="0.25">
      <c r="C150" s="7">
        <v>662</v>
      </c>
      <c r="D150" s="7" t="s">
        <v>465</v>
      </c>
      <c r="E150" s="12">
        <v>0</v>
      </c>
      <c r="F150" s="12">
        <v>0</v>
      </c>
      <c r="G150" s="12">
        <v>0</v>
      </c>
      <c r="H150" s="12">
        <v>0</v>
      </c>
      <c r="I150" s="12">
        <v>0</v>
      </c>
      <c r="J150" s="12"/>
      <c r="K150" s="12">
        <v>0</v>
      </c>
      <c r="L150" s="12">
        <v>0</v>
      </c>
      <c r="M150" s="12"/>
      <c r="N150" s="12">
        <v>0</v>
      </c>
      <c r="O150" s="12">
        <v>0</v>
      </c>
      <c r="P150" s="12">
        <v>0</v>
      </c>
      <c r="Q150" s="12">
        <v>0</v>
      </c>
      <c r="R150" s="12">
        <f t="shared" si="30"/>
        <v>0</v>
      </c>
      <c r="S150" s="7">
        <v>147</v>
      </c>
    </row>
    <row r="151" spans="2:19" x14ac:dyDescent="0.25">
      <c r="C151" s="7">
        <v>663</v>
      </c>
      <c r="D151" s="7" t="s">
        <v>466</v>
      </c>
      <c r="E151" s="12">
        <v>0</v>
      </c>
      <c r="F151" s="12">
        <v>0</v>
      </c>
      <c r="G151" s="12">
        <v>0</v>
      </c>
      <c r="H151" s="12">
        <v>0</v>
      </c>
      <c r="I151" s="12">
        <v>0</v>
      </c>
      <c r="J151" s="12"/>
      <c r="K151" s="12">
        <v>0</v>
      </c>
      <c r="L151" s="12">
        <v>0</v>
      </c>
      <c r="M151" s="12"/>
      <c r="N151" s="12">
        <v>0</v>
      </c>
      <c r="O151" s="12">
        <v>0</v>
      </c>
      <c r="P151" s="12">
        <v>0</v>
      </c>
      <c r="Q151" s="12">
        <v>0</v>
      </c>
      <c r="R151" s="12">
        <f t="shared" si="30"/>
        <v>0</v>
      </c>
      <c r="S151" s="58">
        <v>148</v>
      </c>
    </row>
    <row r="152" spans="2:19" x14ac:dyDescent="0.25">
      <c r="C152" s="7">
        <v>664</v>
      </c>
      <c r="D152" s="7" t="s">
        <v>467</v>
      </c>
      <c r="E152" s="12">
        <v>0</v>
      </c>
      <c r="F152" s="12">
        <v>0</v>
      </c>
      <c r="G152" s="12">
        <v>0</v>
      </c>
      <c r="H152" s="12">
        <v>0</v>
      </c>
      <c r="I152" s="12">
        <v>0</v>
      </c>
      <c r="J152" s="12"/>
      <c r="K152" s="12">
        <v>0</v>
      </c>
      <c r="L152" s="12">
        <v>0</v>
      </c>
      <c r="M152" s="12"/>
      <c r="N152" s="12">
        <v>0</v>
      </c>
      <c r="O152" s="12">
        <v>0</v>
      </c>
      <c r="P152" s="12">
        <v>0</v>
      </c>
      <c r="Q152" s="12">
        <v>0</v>
      </c>
      <c r="R152" s="12">
        <f t="shared" si="30"/>
        <v>0</v>
      </c>
      <c r="S152" s="7">
        <v>149</v>
      </c>
    </row>
    <row r="153" spans="2:19" x14ac:dyDescent="0.25">
      <c r="C153" s="7">
        <v>665</v>
      </c>
      <c r="D153" s="7" t="s">
        <v>468</v>
      </c>
      <c r="E153" s="12">
        <v>0</v>
      </c>
      <c r="F153" s="12">
        <v>0</v>
      </c>
      <c r="G153" s="12">
        <v>0</v>
      </c>
      <c r="H153" s="12">
        <v>0</v>
      </c>
      <c r="I153" s="12">
        <v>0</v>
      </c>
      <c r="J153" s="12"/>
      <c r="K153" s="12">
        <v>0</v>
      </c>
      <c r="L153" s="12">
        <v>0</v>
      </c>
      <c r="M153" s="12"/>
      <c r="N153" s="12">
        <v>0</v>
      </c>
      <c r="O153" s="12">
        <v>0</v>
      </c>
      <c r="P153" s="12">
        <v>0</v>
      </c>
      <c r="Q153" s="12">
        <v>0</v>
      </c>
      <c r="R153" s="12">
        <f t="shared" si="30"/>
        <v>0</v>
      </c>
      <c r="S153" s="7">
        <v>150</v>
      </c>
    </row>
    <row r="154" spans="2:19" x14ac:dyDescent="0.25">
      <c r="C154" s="7">
        <v>666</v>
      </c>
      <c r="D154" s="7" t="s">
        <v>469</v>
      </c>
      <c r="E154" s="12">
        <v>0</v>
      </c>
      <c r="F154" s="12">
        <v>0</v>
      </c>
      <c r="G154" s="12">
        <v>0</v>
      </c>
      <c r="H154" s="12">
        <v>0</v>
      </c>
      <c r="I154" s="12">
        <v>0</v>
      </c>
      <c r="J154" s="12"/>
      <c r="K154" s="12">
        <v>0</v>
      </c>
      <c r="L154" s="12">
        <v>0</v>
      </c>
      <c r="M154" s="12"/>
      <c r="N154" s="12">
        <v>0</v>
      </c>
      <c r="O154" s="12">
        <v>0</v>
      </c>
      <c r="P154" s="12">
        <v>0</v>
      </c>
      <c r="Q154" s="12">
        <v>0</v>
      </c>
      <c r="R154" s="12">
        <f t="shared" si="30"/>
        <v>0</v>
      </c>
      <c r="S154" s="58">
        <v>151</v>
      </c>
    </row>
    <row r="155" spans="2:19" x14ac:dyDescent="0.25">
      <c r="C155" s="7">
        <v>667</v>
      </c>
      <c r="D155" s="7" t="s">
        <v>470</v>
      </c>
      <c r="E155" s="12">
        <v>0</v>
      </c>
      <c r="F155" s="12">
        <v>0</v>
      </c>
      <c r="G155" s="12">
        <v>0</v>
      </c>
      <c r="H155" s="12">
        <v>0</v>
      </c>
      <c r="I155" s="12">
        <v>0</v>
      </c>
      <c r="J155" s="12"/>
      <c r="K155" s="12">
        <v>0</v>
      </c>
      <c r="L155" s="12">
        <v>0</v>
      </c>
      <c r="M155" s="12"/>
      <c r="N155" s="12">
        <v>0</v>
      </c>
      <c r="O155" s="12">
        <v>0</v>
      </c>
      <c r="P155" s="12">
        <v>0</v>
      </c>
      <c r="Q155" s="12">
        <v>0</v>
      </c>
      <c r="R155" s="12">
        <f t="shared" si="30"/>
        <v>0</v>
      </c>
      <c r="S155" s="7">
        <v>152</v>
      </c>
    </row>
    <row r="156" spans="2:19" x14ac:dyDescent="0.25">
      <c r="C156" s="7">
        <v>668</v>
      </c>
      <c r="D156" s="7" t="s">
        <v>471</v>
      </c>
      <c r="E156" s="12">
        <v>0</v>
      </c>
      <c r="F156" s="12">
        <v>0</v>
      </c>
      <c r="G156" s="12">
        <v>0</v>
      </c>
      <c r="H156" s="12">
        <v>0</v>
      </c>
      <c r="I156" s="12">
        <v>0</v>
      </c>
      <c r="J156" s="12"/>
      <c r="K156" s="12">
        <v>0</v>
      </c>
      <c r="L156" s="12">
        <v>0</v>
      </c>
      <c r="M156" s="12"/>
      <c r="N156" s="12">
        <v>0</v>
      </c>
      <c r="O156" s="12">
        <v>0</v>
      </c>
      <c r="P156" s="12">
        <v>0</v>
      </c>
      <c r="Q156" s="12">
        <v>0</v>
      </c>
      <c r="R156" s="12">
        <f t="shared" si="30"/>
        <v>0</v>
      </c>
      <c r="S156" s="7">
        <v>153</v>
      </c>
    </row>
    <row r="157" spans="2:19" x14ac:dyDescent="0.25">
      <c r="E157" s="12"/>
      <c r="F157" s="12"/>
      <c r="G157" s="12"/>
      <c r="H157" s="12"/>
      <c r="I157" s="12"/>
      <c r="J157" s="12"/>
      <c r="K157" s="12"/>
      <c r="L157" s="12"/>
      <c r="M157" s="12"/>
      <c r="N157" s="12"/>
      <c r="O157" s="12"/>
      <c r="P157" s="12"/>
      <c r="Q157" s="12"/>
      <c r="R157" s="12"/>
      <c r="S157" s="58">
        <v>154</v>
      </c>
    </row>
    <row r="158" spans="2:19" x14ac:dyDescent="0.25">
      <c r="B158" s="128">
        <v>67</v>
      </c>
      <c r="C158" s="128"/>
      <c r="D158" s="128" t="s">
        <v>473</v>
      </c>
      <c r="E158" s="129">
        <f>E159+E160+E161+E162+E163+E164+E165+E166+E167</f>
        <v>0</v>
      </c>
      <c r="F158" s="129">
        <f t="shared" ref="F158:R158" si="31">F159+F160+F161+F162+F163+F164+F165+F166+F167</f>
        <v>0</v>
      </c>
      <c r="G158" s="129">
        <f t="shared" si="31"/>
        <v>0</v>
      </c>
      <c r="H158" s="129">
        <f t="shared" si="31"/>
        <v>0</v>
      </c>
      <c r="I158" s="129">
        <f t="shared" si="31"/>
        <v>0</v>
      </c>
      <c r="J158" s="129">
        <f t="shared" si="31"/>
        <v>0</v>
      </c>
      <c r="K158" s="129">
        <f t="shared" si="31"/>
        <v>0</v>
      </c>
      <c r="L158" s="129">
        <f t="shared" si="31"/>
        <v>0</v>
      </c>
      <c r="M158" s="129">
        <f t="shared" si="31"/>
        <v>0</v>
      </c>
      <c r="N158" s="129">
        <f t="shared" si="31"/>
        <v>0</v>
      </c>
      <c r="O158" s="129">
        <f t="shared" si="31"/>
        <v>0</v>
      </c>
      <c r="P158" s="129">
        <f t="shared" si="31"/>
        <v>0</v>
      </c>
      <c r="Q158" s="129">
        <f t="shared" si="31"/>
        <v>0</v>
      </c>
      <c r="R158" s="129">
        <f t="shared" si="31"/>
        <v>0</v>
      </c>
      <c r="S158" s="7">
        <v>155</v>
      </c>
    </row>
    <row r="159" spans="2:19" x14ac:dyDescent="0.25">
      <c r="C159" s="7">
        <v>670</v>
      </c>
      <c r="D159" s="7" t="s">
        <v>463</v>
      </c>
      <c r="E159" s="12">
        <v>0</v>
      </c>
      <c r="F159" s="12">
        <v>0</v>
      </c>
      <c r="G159" s="12">
        <v>0</v>
      </c>
      <c r="H159" s="12">
        <v>0</v>
      </c>
      <c r="I159" s="12">
        <v>0</v>
      </c>
      <c r="J159" s="12"/>
      <c r="K159" s="12">
        <v>0</v>
      </c>
      <c r="L159" s="12">
        <v>0</v>
      </c>
      <c r="M159" s="12"/>
      <c r="N159" s="12">
        <v>0</v>
      </c>
      <c r="O159" s="12">
        <v>0</v>
      </c>
      <c r="P159" s="12">
        <v>0</v>
      </c>
      <c r="Q159" s="12">
        <v>0</v>
      </c>
      <c r="R159" s="12">
        <f t="shared" ref="R159:R167" si="32">SUM(E159:Q159)</f>
        <v>0</v>
      </c>
      <c r="S159" s="7">
        <v>156</v>
      </c>
    </row>
    <row r="160" spans="2:19" x14ac:dyDescent="0.25">
      <c r="C160" s="7">
        <v>671</v>
      </c>
      <c r="D160" s="7" t="s">
        <v>464</v>
      </c>
      <c r="E160" s="12">
        <v>0</v>
      </c>
      <c r="F160" s="12">
        <v>0</v>
      </c>
      <c r="G160" s="12">
        <v>0</v>
      </c>
      <c r="H160" s="12">
        <v>0</v>
      </c>
      <c r="I160" s="12">
        <v>0</v>
      </c>
      <c r="J160" s="12"/>
      <c r="K160" s="12">
        <v>0</v>
      </c>
      <c r="L160" s="12">
        <v>0</v>
      </c>
      <c r="M160" s="12"/>
      <c r="N160" s="12">
        <v>0</v>
      </c>
      <c r="O160" s="12">
        <v>0</v>
      </c>
      <c r="P160" s="12">
        <v>0</v>
      </c>
      <c r="Q160" s="12">
        <v>0</v>
      </c>
      <c r="R160" s="12">
        <f t="shared" si="32"/>
        <v>0</v>
      </c>
      <c r="S160" s="58">
        <v>157</v>
      </c>
    </row>
    <row r="161" spans="2:19" x14ac:dyDescent="0.25">
      <c r="C161" s="7">
        <v>672</v>
      </c>
      <c r="D161" s="7" t="s">
        <v>465</v>
      </c>
      <c r="E161" s="12">
        <v>0</v>
      </c>
      <c r="F161" s="12">
        <v>0</v>
      </c>
      <c r="G161" s="12">
        <v>0</v>
      </c>
      <c r="H161" s="12">
        <v>0</v>
      </c>
      <c r="I161" s="12">
        <v>0</v>
      </c>
      <c r="J161" s="12"/>
      <c r="K161" s="12">
        <v>0</v>
      </c>
      <c r="L161" s="12">
        <v>0</v>
      </c>
      <c r="M161" s="12"/>
      <c r="N161" s="12">
        <v>0</v>
      </c>
      <c r="O161" s="12">
        <v>0</v>
      </c>
      <c r="P161" s="12">
        <v>0</v>
      </c>
      <c r="Q161" s="12">
        <v>0</v>
      </c>
      <c r="R161" s="12">
        <f t="shared" si="32"/>
        <v>0</v>
      </c>
      <c r="S161" s="7">
        <v>158</v>
      </c>
    </row>
    <row r="162" spans="2:19" x14ac:dyDescent="0.25">
      <c r="C162" s="7">
        <v>673</v>
      </c>
      <c r="D162" s="7" t="s">
        <v>466</v>
      </c>
      <c r="E162" s="12">
        <v>0</v>
      </c>
      <c r="F162" s="12">
        <v>0</v>
      </c>
      <c r="G162" s="12">
        <v>0</v>
      </c>
      <c r="H162" s="12">
        <v>0</v>
      </c>
      <c r="I162" s="12">
        <v>0</v>
      </c>
      <c r="J162" s="12"/>
      <c r="K162" s="12">
        <v>0</v>
      </c>
      <c r="L162" s="12">
        <v>0</v>
      </c>
      <c r="M162" s="12"/>
      <c r="N162" s="12">
        <v>0</v>
      </c>
      <c r="O162" s="12">
        <v>0</v>
      </c>
      <c r="P162" s="12">
        <v>0</v>
      </c>
      <c r="Q162" s="12">
        <v>0</v>
      </c>
      <c r="R162" s="12">
        <f t="shared" si="32"/>
        <v>0</v>
      </c>
      <c r="S162" s="7">
        <v>159</v>
      </c>
    </row>
    <row r="163" spans="2:19" x14ac:dyDescent="0.25">
      <c r="C163" s="7">
        <v>674</v>
      </c>
      <c r="D163" s="7" t="s">
        <v>467</v>
      </c>
      <c r="E163" s="12">
        <v>0</v>
      </c>
      <c r="F163" s="12">
        <v>0</v>
      </c>
      <c r="G163" s="12">
        <v>0</v>
      </c>
      <c r="H163" s="12">
        <v>0</v>
      </c>
      <c r="I163" s="12">
        <v>0</v>
      </c>
      <c r="J163" s="12"/>
      <c r="K163" s="12">
        <v>0</v>
      </c>
      <c r="L163" s="12">
        <v>0</v>
      </c>
      <c r="M163" s="12"/>
      <c r="N163" s="12">
        <v>0</v>
      </c>
      <c r="O163" s="12">
        <v>0</v>
      </c>
      <c r="P163" s="12">
        <v>0</v>
      </c>
      <c r="Q163" s="12">
        <v>0</v>
      </c>
      <c r="R163" s="12">
        <f t="shared" si="32"/>
        <v>0</v>
      </c>
      <c r="S163" s="58">
        <v>160</v>
      </c>
    </row>
    <row r="164" spans="2:19" x14ac:dyDescent="0.25">
      <c r="C164" s="7">
        <v>675</v>
      </c>
      <c r="D164" s="7" t="s">
        <v>468</v>
      </c>
      <c r="E164" s="12">
        <v>0</v>
      </c>
      <c r="F164" s="12">
        <v>0</v>
      </c>
      <c r="G164" s="12">
        <v>0</v>
      </c>
      <c r="H164" s="12">
        <v>0</v>
      </c>
      <c r="I164" s="12">
        <v>0</v>
      </c>
      <c r="J164" s="12"/>
      <c r="K164" s="12">
        <v>0</v>
      </c>
      <c r="L164" s="12">
        <v>0</v>
      </c>
      <c r="M164" s="12"/>
      <c r="N164" s="12">
        <v>0</v>
      </c>
      <c r="O164" s="12">
        <v>0</v>
      </c>
      <c r="P164" s="12">
        <v>0</v>
      </c>
      <c r="Q164" s="12">
        <v>0</v>
      </c>
      <c r="R164" s="12">
        <f t="shared" si="32"/>
        <v>0</v>
      </c>
      <c r="S164" s="7">
        <v>161</v>
      </c>
    </row>
    <row r="165" spans="2:19" x14ac:dyDescent="0.25">
      <c r="C165" s="7">
        <v>676</v>
      </c>
      <c r="D165" s="7" t="s">
        <v>469</v>
      </c>
      <c r="E165" s="12">
        <v>0</v>
      </c>
      <c r="F165" s="12">
        <v>0</v>
      </c>
      <c r="G165" s="12">
        <v>0</v>
      </c>
      <c r="H165" s="12">
        <v>0</v>
      </c>
      <c r="I165" s="12">
        <v>0</v>
      </c>
      <c r="J165" s="12"/>
      <c r="K165" s="12">
        <v>0</v>
      </c>
      <c r="L165" s="12">
        <v>0</v>
      </c>
      <c r="M165" s="12"/>
      <c r="N165" s="12">
        <v>0</v>
      </c>
      <c r="O165" s="12">
        <v>0</v>
      </c>
      <c r="P165" s="12">
        <v>0</v>
      </c>
      <c r="Q165" s="12">
        <v>0</v>
      </c>
      <c r="R165" s="12">
        <f t="shared" si="32"/>
        <v>0</v>
      </c>
      <c r="S165" s="7">
        <v>162</v>
      </c>
    </row>
    <row r="166" spans="2:19" x14ac:dyDescent="0.25">
      <c r="C166" s="7">
        <v>677</v>
      </c>
      <c r="D166" s="7" t="s">
        <v>470</v>
      </c>
      <c r="E166" s="12">
        <v>0</v>
      </c>
      <c r="F166" s="12">
        <v>0</v>
      </c>
      <c r="G166" s="12">
        <v>0</v>
      </c>
      <c r="H166" s="12">
        <v>0</v>
      </c>
      <c r="I166" s="12">
        <v>0</v>
      </c>
      <c r="J166" s="12"/>
      <c r="K166" s="12">
        <v>0</v>
      </c>
      <c r="L166" s="12">
        <v>0</v>
      </c>
      <c r="M166" s="12"/>
      <c r="N166" s="12">
        <v>0</v>
      </c>
      <c r="O166" s="12">
        <v>0</v>
      </c>
      <c r="P166" s="12">
        <v>0</v>
      </c>
      <c r="Q166" s="12">
        <v>0</v>
      </c>
      <c r="R166" s="12">
        <f t="shared" si="32"/>
        <v>0</v>
      </c>
      <c r="S166" s="58">
        <v>163</v>
      </c>
    </row>
    <row r="167" spans="2:19" x14ac:dyDescent="0.25">
      <c r="C167" s="7">
        <v>678</v>
      </c>
      <c r="D167" s="7" t="s">
        <v>471</v>
      </c>
      <c r="E167" s="12">
        <v>0</v>
      </c>
      <c r="F167" s="12">
        <v>0</v>
      </c>
      <c r="G167" s="12">
        <v>0</v>
      </c>
      <c r="H167" s="12">
        <v>0</v>
      </c>
      <c r="I167" s="12">
        <v>0</v>
      </c>
      <c r="J167" s="12"/>
      <c r="K167" s="12">
        <v>0</v>
      </c>
      <c r="L167" s="12">
        <v>0</v>
      </c>
      <c r="M167" s="12"/>
      <c r="N167" s="12">
        <v>0</v>
      </c>
      <c r="O167" s="12">
        <v>0</v>
      </c>
      <c r="P167" s="12">
        <v>0</v>
      </c>
      <c r="Q167" s="12">
        <v>0</v>
      </c>
      <c r="R167" s="12">
        <f t="shared" si="32"/>
        <v>0</v>
      </c>
      <c r="S167" s="7">
        <v>164</v>
      </c>
    </row>
    <row r="168" spans="2:19" x14ac:dyDescent="0.25">
      <c r="E168" s="12"/>
      <c r="F168" s="12"/>
      <c r="G168" s="12"/>
      <c r="H168" s="12"/>
      <c r="I168" s="12"/>
      <c r="J168" s="12"/>
      <c r="K168" s="12"/>
      <c r="L168" s="12"/>
      <c r="M168" s="12"/>
      <c r="N168" s="12"/>
      <c r="O168" s="12"/>
      <c r="P168" s="12"/>
      <c r="Q168" s="12"/>
      <c r="R168" s="12"/>
      <c r="S168" s="7">
        <v>165</v>
      </c>
    </row>
    <row r="169" spans="2:19" x14ac:dyDescent="0.25">
      <c r="B169" s="128">
        <v>68</v>
      </c>
      <c r="C169" s="128"/>
      <c r="D169" s="128" t="s">
        <v>486</v>
      </c>
      <c r="E169" s="129">
        <f>E170+E171+E172+E173+E174+E175+E176</f>
        <v>0</v>
      </c>
      <c r="F169" s="129">
        <f t="shared" ref="F169:R169" si="33">F170+F171+F172+F173+F174+F175+F176</f>
        <v>0</v>
      </c>
      <c r="G169" s="129">
        <f t="shared" si="33"/>
        <v>0</v>
      </c>
      <c r="H169" s="129">
        <f t="shared" si="33"/>
        <v>0</v>
      </c>
      <c r="I169" s="129">
        <f t="shared" si="33"/>
        <v>0</v>
      </c>
      <c r="J169" s="129">
        <f t="shared" si="33"/>
        <v>0</v>
      </c>
      <c r="K169" s="129">
        <f t="shared" si="33"/>
        <v>0</v>
      </c>
      <c r="L169" s="129">
        <f t="shared" si="33"/>
        <v>0</v>
      </c>
      <c r="M169" s="129">
        <f t="shared" si="33"/>
        <v>0</v>
      </c>
      <c r="N169" s="129">
        <f t="shared" si="33"/>
        <v>0</v>
      </c>
      <c r="O169" s="129">
        <f t="shared" si="33"/>
        <v>0</v>
      </c>
      <c r="P169" s="129">
        <f t="shared" si="33"/>
        <v>0</v>
      </c>
      <c r="Q169" s="129">
        <f t="shared" si="33"/>
        <v>0</v>
      </c>
      <c r="R169" s="129">
        <f t="shared" si="33"/>
        <v>0</v>
      </c>
      <c r="S169" s="58">
        <v>166</v>
      </c>
    </row>
    <row r="170" spans="2:19" x14ac:dyDescent="0.25">
      <c r="C170" s="7">
        <v>680</v>
      </c>
      <c r="D170" s="7" t="s">
        <v>451</v>
      </c>
      <c r="E170" s="12">
        <v>0</v>
      </c>
      <c r="F170" s="12">
        <v>0</v>
      </c>
      <c r="G170" s="12">
        <v>0</v>
      </c>
      <c r="H170" s="12">
        <v>0</v>
      </c>
      <c r="I170" s="12">
        <v>0</v>
      </c>
      <c r="J170" s="12"/>
      <c r="K170" s="12">
        <v>0</v>
      </c>
      <c r="L170" s="12">
        <v>0</v>
      </c>
      <c r="M170" s="12"/>
      <c r="N170" s="12">
        <v>0</v>
      </c>
      <c r="O170" s="12">
        <v>0</v>
      </c>
      <c r="P170" s="12">
        <v>0</v>
      </c>
      <c r="Q170" s="12">
        <v>0</v>
      </c>
      <c r="R170" s="12">
        <f t="shared" ref="R170:R176" si="34">SUM(E170:Q170)</f>
        <v>0</v>
      </c>
      <c r="S170" s="7">
        <v>167</v>
      </c>
    </row>
    <row r="171" spans="2:19" x14ac:dyDescent="0.25">
      <c r="C171" s="7">
        <v>682</v>
      </c>
      <c r="D171" s="7" t="s">
        <v>461</v>
      </c>
      <c r="E171" s="12">
        <v>0</v>
      </c>
      <c r="F171" s="12">
        <v>0</v>
      </c>
      <c r="G171" s="12">
        <v>0</v>
      </c>
      <c r="H171" s="12">
        <v>0</v>
      </c>
      <c r="I171" s="12">
        <v>0</v>
      </c>
      <c r="J171" s="12"/>
      <c r="K171" s="12">
        <v>0</v>
      </c>
      <c r="L171" s="12">
        <v>0</v>
      </c>
      <c r="M171" s="12"/>
      <c r="N171" s="12">
        <v>0</v>
      </c>
      <c r="O171" s="12">
        <v>0</v>
      </c>
      <c r="P171" s="12">
        <v>0</v>
      </c>
      <c r="Q171" s="12">
        <v>0</v>
      </c>
      <c r="R171" s="12">
        <f t="shared" si="34"/>
        <v>0</v>
      </c>
      <c r="S171" s="7">
        <v>168</v>
      </c>
    </row>
    <row r="172" spans="2:19" x14ac:dyDescent="0.25">
      <c r="C172" s="7">
        <v>683</v>
      </c>
      <c r="D172" s="7" t="s">
        <v>487</v>
      </c>
      <c r="E172" s="12">
        <v>0</v>
      </c>
      <c r="F172" s="12">
        <v>0</v>
      </c>
      <c r="G172" s="12">
        <v>0</v>
      </c>
      <c r="H172" s="12">
        <v>0</v>
      </c>
      <c r="I172" s="12">
        <v>0</v>
      </c>
      <c r="J172" s="12"/>
      <c r="K172" s="12">
        <v>0</v>
      </c>
      <c r="L172" s="12">
        <v>0</v>
      </c>
      <c r="M172" s="12"/>
      <c r="N172" s="12">
        <v>0</v>
      </c>
      <c r="O172" s="12">
        <v>0</v>
      </c>
      <c r="P172" s="12">
        <v>0</v>
      </c>
      <c r="Q172" s="12">
        <v>0</v>
      </c>
      <c r="R172" s="12">
        <f t="shared" si="34"/>
        <v>0</v>
      </c>
      <c r="S172" s="58">
        <v>169</v>
      </c>
    </row>
    <row r="173" spans="2:19" x14ac:dyDescent="0.25">
      <c r="C173" s="7">
        <v>684</v>
      </c>
      <c r="D173" s="7" t="s">
        <v>249</v>
      </c>
      <c r="E173" s="12">
        <v>0</v>
      </c>
      <c r="F173" s="12">
        <v>0</v>
      </c>
      <c r="G173" s="12">
        <v>0</v>
      </c>
      <c r="H173" s="12">
        <v>0</v>
      </c>
      <c r="I173" s="12">
        <v>0</v>
      </c>
      <c r="J173" s="12"/>
      <c r="K173" s="12">
        <v>0</v>
      </c>
      <c r="L173" s="12">
        <v>0</v>
      </c>
      <c r="M173" s="12"/>
      <c r="N173" s="12">
        <v>0</v>
      </c>
      <c r="O173" s="12">
        <v>0</v>
      </c>
      <c r="P173" s="12">
        <v>0</v>
      </c>
      <c r="Q173" s="12">
        <v>0</v>
      </c>
      <c r="R173" s="12">
        <f t="shared" si="34"/>
        <v>0</v>
      </c>
      <c r="S173" s="7">
        <v>170</v>
      </c>
    </row>
    <row r="174" spans="2:19" x14ac:dyDescent="0.25">
      <c r="C174" s="7">
        <v>685</v>
      </c>
      <c r="D174" s="7" t="s">
        <v>376</v>
      </c>
      <c r="E174" s="12">
        <v>0</v>
      </c>
      <c r="F174" s="12">
        <v>0</v>
      </c>
      <c r="G174" s="12">
        <v>0</v>
      </c>
      <c r="H174" s="12">
        <v>0</v>
      </c>
      <c r="I174" s="12">
        <v>0</v>
      </c>
      <c r="J174" s="12"/>
      <c r="K174" s="12">
        <v>0</v>
      </c>
      <c r="L174" s="12">
        <v>0</v>
      </c>
      <c r="M174" s="12"/>
      <c r="N174" s="12">
        <v>0</v>
      </c>
      <c r="O174" s="12">
        <v>0</v>
      </c>
      <c r="P174" s="12">
        <v>0</v>
      </c>
      <c r="Q174" s="12">
        <v>0</v>
      </c>
      <c r="R174" s="12">
        <f t="shared" si="34"/>
        <v>0</v>
      </c>
      <c r="S174" s="7">
        <v>171</v>
      </c>
    </row>
    <row r="175" spans="2:19" x14ac:dyDescent="0.25">
      <c r="C175" s="7">
        <v>686</v>
      </c>
      <c r="D175" s="7" t="s">
        <v>488</v>
      </c>
      <c r="E175" s="12">
        <v>0</v>
      </c>
      <c r="F175" s="12">
        <v>0</v>
      </c>
      <c r="G175" s="12">
        <v>0</v>
      </c>
      <c r="H175" s="12">
        <v>0</v>
      </c>
      <c r="I175" s="12">
        <v>0</v>
      </c>
      <c r="J175" s="12"/>
      <c r="K175" s="12">
        <v>0</v>
      </c>
      <c r="L175" s="12">
        <v>0</v>
      </c>
      <c r="M175" s="12"/>
      <c r="N175" s="12">
        <v>0</v>
      </c>
      <c r="O175" s="12">
        <v>0</v>
      </c>
      <c r="P175" s="12">
        <v>0</v>
      </c>
      <c r="Q175" s="12">
        <v>0</v>
      </c>
      <c r="R175" s="12">
        <f t="shared" si="34"/>
        <v>0</v>
      </c>
      <c r="S175" s="58">
        <v>172</v>
      </c>
    </row>
    <row r="176" spans="2:19" x14ac:dyDescent="0.25">
      <c r="C176" s="7">
        <v>689</v>
      </c>
      <c r="D176" s="7" t="s">
        <v>489</v>
      </c>
      <c r="E176" s="12">
        <v>0</v>
      </c>
      <c r="F176" s="12">
        <v>0</v>
      </c>
      <c r="G176" s="12">
        <v>0</v>
      </c>
      <c r="H176" s="12">
        <v>0</v>
      </c>
      <c r="I176" s="12">
        <v>0</v>
      </c>
      <c r="J176" s="12"/>
      <c r="K176" s="12">
        <v>0</v>
      </c>
      <c r="L176" s="12">
        <v>0</v>
      </c>
      <c r="M176" s="12"/>
      <c r="N176" s="12">
        <v>0</v>
      </c>
      <c r="O176" s="12">
        <v>0</v>
      </c>
      <c r="P176" s="12">
        <v>0</v>
      </c>
      <c r="Q176" s="12">
        <v>0</v>
      </c>
      <c r="R176" s="12">
        <f t="shared" si="34"/>
        <v>0</v>
      </c>
      <c r="S176" s="7">
        <v>173</v>
      </c>
    </row>
    <row r="177" spans="2:19" x14ac:dyDescent="0.25">
      <c r="E177" s="12"/>
      <c r="F177" s="12"/>
      <c r="G177" s="12"/>
      <c r="H177" s="12"/>
      <c r="I177" s="12"/>
      <c r="J177" s="12"/>
      <c r="K177" s="12"/>
      <c r="L177" s="12"/>
      <c r="M177" s="12"/>
      <c r="N177" s="12"/>
      <c r="O177" s="12"/>
      <c r="P177" s="12"/>
      <c r="Q177" s="12"/>
      <c r="R177" s="12"/>
      <c r="S177" s="7">
        <v>174</v>
      </c>
    </row>
    <row r="178" spans="2:19" x14ac:dyDescent="0.25">
      <c r="B178" s="128">
        <v>69</v>
      </c>
      <c r="C178" s="128"/>
      <c r="D178" s="128" t="s">
        <v>490</v>
      </c>
      <c r="E178" s="129">
        <f>E179</f>
        <v>61049.1</v>
      </c>
      <c r="F178" s="129">
        <f t="shared" ref="F178:R178" si="35">F179</f>
        <v>0</v>
      </c>
      <c r="G178" s="129">
        <f t="shared" si="35"/>
        <v>0</v>
      </c>
      <c r="H178" s="129">
        <f t="shared" si="35"/>
        <v>0</v>
      </c>
      <c r="I178" s="129">
        <f t="shared" si="35"/>
        <v>141259.65</v>
      </c>
      <c r="J178" s="129">
        <f t="shared" si="35"/>
        <v>0</v>
      </c>
      <c r="K178" s="129">
        <f t="shared" si="35"/>
        <v>0</v>
      </c>
      <c r="L178" s="129">
        <f t="shared" si="35"/>
        <v>0</v>
      </c>
      <c r="M178" s="129">
        <f t="shared" si="35"/>
        <v>0</v>
      </c>
      <c r="N178" s="129">
        <f t="shared" si="35"/>
        <v>0</v>
      </c>
      <c r="O178" s="129">
        <f t="shared" si="35"/>
        <v>0</v>
      </c>
      <c r="P178" s="129">
        <f t="shared" si="35"/>
        <v>0</v>
      </c>
      <c r="Q178" s="129">
        <f t="shared" si="35"/>
        <v>0</v>
      </c>
      <c r="R178" s="129">
        <f t="shared" si="35"/>
        <v>202308.75</v>
      </c>
      <c r="S178" s="58">
        <v>175</v>
      </c>
    </row>
    <row r="179" spans="2:19" x14ac:dyDescent="0.25">
      <c r="C179" s="7">
        <v>690</v>
      </c>
      <c r="D179" s="7" t="s">
        <v>490</v>
      </c>
      <c r="E179" s="12">
        <v>61049.1</v>
      </c>
      <c r="F179" s="12">
        <v>0</v>
      </c>
      <c r="G179" s="12">
        <v>0</v>
      </c>
      <c r="H179" s="12">
        <v>0</v>
      </c>
      <c r="I179" s="12">
        <v>141259.65</v>
      </c>
      <c r="J179" s="12"/>
      <c r="K179" s="12">
        <v>0</v>
      </c>
      <c r="L179" s="12">
        <v>0</v>
      </c>
      <c r="M179" s="12"/>
      <c r="N179" s="12">
        <v>0</v>
      </c>
      <c r="O179" s="12">
        <v>0</v>
      </c>
      <c r="P179" s="12">
        <v>0</v>
      </c>
      <c r="Q179" s="12">
        <v>0</v>
      </c>
      <c r="R179" s="12">
        <f>SUM(E179:Q179)</f>
        <v>202308.75</v>
      </c>
      <c r="S179" s="7">
        <v>176</v>
      </c>
    </row>
    <row r="180" spans="2:19" x14ac:dyDescent="0.25">
      <c r="E180" s="12"/>
      <c r="F180" s="12"/>
      <c r="G180" s="12"/>
      <c r="H180" s="12"/>
      <c r="I180" s="12"/>
      <c r="J180" s="12"/>
      <c r="K180" s="12"/>
      <c r="L180" s="12"/>
      <c r="M180" s="12"/>
      <c r="N180" s="12"/>
      <c r="O180" s="12"/>
      <c r="P180" s="12"/>
      <c r="Q180" s="12"/>
      <c r="R180" s="12"/>
      <c r="S180" s="7">
        <v>177</v>
      </c>
    </row>
    <row r="181" spans="2:19" x14ac:dyDescent="0.25">
      <c r="E181" s="12"/>
      <c r="F181" s="12"/>
      <c r="G181" s="12"/>
      <c r="H181" s="12"/>
      <c r="I181" s="12"/>
      <c r="J181" s="12"/>
      <c r="K181" s="12"/>
      <c r="L181" s="12"/>
      <c r="M181" s="12"/>
      <c r="N181" s="12"/>
      <c r="O181" s="12"/>
      <c r="P181" s="12"/>
      <c r="Q181" s="12"/>
      <c r="R181" s="12"/>
      <c r="S181" s="58">
        <v>178</v>
      </c>
    </row>
    <row r="182" spans="2:19" x14ac:dyDescent="0.25">
      <c r="E182" s="12"/>
      <c r="F182" s="12"/>
      <c r="G182" s="12"/>
      <c r="H182" s="12"/>
      <c r="I182" s="12"/>
      <c r="J182" s="12"/>
      <c r="K182" s="12"/>
      <c r="L182" s="12"/>
      <c r="M182" s="12"/>
      <c r="N182" s="12"/>
      <c r="O182" s="12"/>
      <c r="P182" s="12"/>
      <c r="Q182" s="12"/>
      <c r="R182" s="12"/>
      <c r="S182" s="7">
        <v>179</v>
      </c>
    </row>
    <row r="183" spans="2:19" x14ac:dyDescent="0.25">
      <c r="D183" s="70" t="s">
        <v>220</v>
      </c>
      <c r="E183" s="130">
        <f>E5-E88</f>
        <v>61049.100000000006</v>
      </c>
      <c r="F183" s="130">
        <f t="shared" ref="F183:R183" si="36">F5-F88</f>
        <v>0</v>
      </c>
      <c r="G183" s="130">
        <f t="shared" si="36"/>
        <v>0</v>
      </c>
      <c r="H183" s="130">
        <f t="shared" si="36"/>
        <v>0</v>
      </c>
      <c r="I183" s="130">
        <f t="shared" si="36"/>
        <v>73749.799999999988</v>
      </c>
      <c r="J183" s="130">
        <f t="shared" si="36"/>
        <v>0</v>
      </c>
      <c r="K183" s="130">
        <f t="shared" si="36"/>
        <v>0</v>
      </c>
      <c r="L183" s="130">
        <f t="shared" si="36"/>
        <v>0</v>
      </c>
      <c r="M183" s="130">
        <f t="shared" si="36"/>
        <v>0</v>
      </c>
      <c r="N183" s="130">
        <f t="shared" si="36"/>
        <v>0</v>
      </c>
      <c r="O183" s="130">
        <f t="shared" si="36"/>
        <v>0</v>
      </c>
      <c r="P183" s="130">
        <f t="shared" si="36"/>
        <v>0</v>
      </c>
      <c r="Q183" s="130">
        <f t="shared" si="36"/>
        <v>0</v>
      </c>
      <c r="R183" s="130">
        <f t="shared" si="36"/>
        <v>134798.9</v>
      </c>
      <c r="S183" s="7">
        <v>180</v>
      </c>
    </row>
    <row r="185" spans="2:19" x14ac:dyDescent="0.25">
      <c r="L185" s="12"/>
    </row>
  </sheetData>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00B0F0"/>
  </sheetPr>
  <dimension ref="A2:E186"/>
  <sheetViews>
    <sheetView workbookViewId="0">
      <selection activeCell="D4" sqref="D4"/>
    </sheetView>
  </sheetViews>
  <sheetFormatPr baseColWidth="10" defaultColWidth="11.44140625" defaultRowHeight="13.8" x14ac:dyDescent="0.25"/>
  <cols>
    <col min="1" max="2" width="5.6640625" style="7" customWidth="1"/>
    <col min="3" max="3" width="9" style="7" customWidth="1"/>
    <col min="4" max="4" width="63.5546875" style="7" customWidth="1"/>
    <col min="5" max="5" width="22.6640625" style="7" customWidth="1"/>
    <col min="6" max="16384" width="11.44140625" style="7"/>
  </cols>
  <sheetData>
    <row r="2" spans="1:5" ht="21" x14ac:dyDescent="0.4">
      <c r="A2" s="79" t="s">
        <v>858</v>
      </c>
      <c r="B2" s="6"/>
      <c r="C2" s="6"/>
      <c r="D2" s="6"/>
    </row>
    <row r="4" spans="1:5" ht="14.4" thickBot="1" x14ac:dyDescent="0.3"/>
    <row r="5" spans="1:5" ht="14.4" thickBot="1" x14ac:dyDescent="0.3">
      <c r="A5" s="7" t="s">
        <v>734</v>
      </c>
      <c r="D5" s="83" t="s">
        <v>33</v>
      </c>
    </row>
    <row r="8" spans="1:5" ht="21" x14ac:dyDescent="0.4">
      <c r="A8" s="126">
        <v>5</v>
      </c>
      <c r="B8" s="126"/>
      <c r="C8" s="126"/>
      <c r="D8" s="126" t="s">
        <v>192</v>
      </c>
      <c r="E8" s="131">
        <f>HLOOKUP($D$5,'Bourgeoisie investissement'!$E$4:$R$185,2,0)</f>
        <v>141259.65</v>
      </c>
    </row>
    <row r="9" spans="1:5" x14ac:dyDescent="0.25">
      <c r="A9" s="6"/>
      <c r="B9" s="76">
        <v>50</v>
      </c>
      <c r="C9" s="76"/>
      <c r="D9" s="76" t="s">
        <v>451</v>
      </c>
      <c r="E9" s="96">
        <f>HLOOKUP($D$5,'Bourgeoisie investissement'!$E$4:$R$185,3,0)</f>
        <v>141259.65</v>
      </c>
    </row>
    <row r="10" spans="1:5" x14ac:dyDescent="0.25">
      <c r="C10" s="7">
        <v>500</v>
      </c>
      <c r="D10" s="7" t="s">
        <v>453</v>
      </c>
      <c r="E10" s="12">
        <f>HLOOKUP($D$5,'Bourgeoisie investissement'!$E$4:$R$185,4,0)</f>
        <v>0</v>
      </c>
    </row>
    <row r="11" spans="1:5" x14ac:dyDescent="0.25">
      <c r="C11" s="7">
        <v>501</v>
      </c>
      <c r="D11" s="7" t="s">
        <v>454</v>
      </c>
      <c r="E11" s="12">
        <f>HLOOKUP($D$5,'Bourgeoisie investissement'!$E$4:$R$185,5,0)</f>
        <v>0</v>
      </c>
    </row>
    <row r="12" spans="1:5" x14ac:dyDescent="0.25">
      <c r="C12" s="7">
        <v>502</v>
      </c>
      <c r="D12" s="7" t="s">
        <v>455</v>
      </c>
      <c r="E12" s="12">
        <f>HLOOKUP($D$5,'Bourgeoisie investissement'!$E$4:$R$185,6,0)</f>
        <v>0</v>
      </c>
    </row>
    <row r="13" spans="1:5" x14ac:dyDescent="0.25">
      <c r="C13" s="7">
        <v>503</v>
      </c>
      <c r="D13" s="7" t="s">
        <v>456</v>
      </c>
      <c r="E13" s="12">
        <f>HLOOKUP($D$5,'Bourgeoisie investissement'!$E$4:$R$185,7,0)</f>
        <v>141259.65</v>
      </c>
    </row>
    <row r="14" spans="1:5" x14ac:dyDescent="0.25">
      <c r="C14" s="7">
        <v>504</v>
      </c>
      <c r="D14" s="7" t="s">
        <v>457</v>
      </c>
      <c r="E14" s="12">
        <f>HLOOKUP($D$5,'Bourgeoisie investissement'!$E$4:$R$185,8,0)</f>
        <v>0</v>
      </c>
    </row>
    <row r="15" spans="1:5" x14ac:dyDescent="0.25">
      <c r="C15" s="7">
        <v>505</v>
      </c>
      <c r="D15" s="7" t="s">
        <v>458</v>
      </c>
      <c r="E15" s="12">
        <f>HLOOKUP($D$5,'Bourgeoisie investissement'!$E$4:$R$185,9,0)</f>
        <v>0</v>
      </c>
    </row>
    <row r="16" spans="1:5" x14ac:dyDescent="0.25">
      <c r="C16" s="7">
        <v>506</v>
      </c>
      <c r="D16" s="7" t="s">
        <v>459</v>
      </c>
      <c r="E16" s="12">
        <f>HLOOKUP($D$5,'Bourgeoisie investissement'!$E$4:$R$185,10,0)</f>
        <v>0</v>
      </c>
    </row>
    <row r="17" spans="2:5" x14ac:dyDescent="0.25">
      <c r="C17" s="7">
        <v>509</v>
      </c>
      <c r="D17" s="7" t="s">
        <v>460</v>
      </c>
      <c r="E17" s="12">
        <f>HLOOKUP($D$5,'Bourgeoisie investissement'!$E$4:$R$185,11,0)</f>
        <v>0</v>
      </c>
    </row>
    <row r="18" spans="2:5" x14ac:dyDescent="0.25">
      <c r="E18" s="12"/>
    </row>
    <row r="19" spans="2:5" x14ac:dyDescent="0.25">
      <c r="B19" s="76">
        <v>51</v>
      </c>
      <c r="C19" s="76"/>
      <c r="D19" s="76" t="s">
        <v>452</v>
      </c>
      <c r="E19" s="96">
        <f>HLOOKUP($D$5,'Bourgeoisie investissement'!$E$4:$R$185,13,0)</f>
        <v>0</v>
      </c>
    </row>
    <row r="20" spans="2:5" x14ac:dyDescent="0.25">
      <c r="C20" s="7">
        <v>510</v>
      </c>
      <c r="D20" s="7" t="s">
        <v>453</v>
      </c>
      <c r="E20" s="12">
        <f>HLOOKUP($D$5,'Bourgeoisie investissement'!$E$4:$R$185,14,0)</f>
        <v>0</v>
      </c>
    </row>
    <row r="21" spans="2:5" x14ac:dyDescent="0.25">
      <c r="C21" s="7">
        <v>511</v>
      </c>
      <c r="D21" s="7" t="s">
        <v>454</v>
      </c>
      <c r="E21" s="12">
        <f>HLOOKUP($D$5,'Bourgeoisie investissement'!$E$4:$R$185,15,0)</f>
        <v>0</v>
      </c>
    </row>
    <row r="22" spans="2:5" x14ac:dyDescent="0.25">
      <c r="C22" s="7">
        <v>512</v>
      </c>
      <c r="D22" s="7" t="s">
        <v>455</v>
      </c>
      <c r="E22" s="12">
        <f>HLOOKUP($D$5,'Bourgeoisie investissement'!$E$4:$R$185,16,0)</f>
        <v>0</v>
      </c>
    </row>
    <row r="23" spans="2:5" x14ac:dyDescent="0.25">
      <c r="C23" s="7">
        <v>513</v>
      </c>
      <c r="D23" s="7" t="s">
        <v>456</v>
      </c>
      <c r="E23" s="12">
        <f>HLOOKUP($D$5,'Bourgeoisie investissement'!$E$4:$R$185,17,0)</f>
        <v>0</v>
      </c>
    </row>
    <row r="24" spans="2:5" x14ac:dyDescent="0.25">
      <c r="C24" s="7">
        <v>514</v>
      </c>
      <c r="D24" s="7" t="s">
        <v>457</v>
      </c>
      <c r="E24" s="12">
        <f>HLOOKUP($D$5,'Bourgeoisie investissement'!$E$4:$R$185,18,0)</f>
        <v>0</v>
      </c>
    </row>
    <row r="25" spans="2:5" x14ac:dyDescent="0.25">
      <c r="C25" s="7">
        <v>515</v>
      </c>
      <c r="D25" s="7" t="s">
        <v>458</v>
      </c>
      <c r="E25" s="12">
        <f>HLOOKUP($D$5,'Bourgeoisie investissement'!$E$4:$R$185,19,0)</f>
        <v>0</v>
      </c>
    </row>
    <row r="26" spans="2:5" x14ac:dyDescent="0.25">
      <c r="C26" s="7">
        <v>516</v>
      </c>
      <c r="D26" s="7" t="s">
        <v>459</v>
      </c>
      <c r="E26" s="12">
        <f>HLOOKUP($D$5,'Bourgeoisie investissement'!$E$4:$R$185,20,0)</f>
        <v>0</v>
      </c>
    </row>
    <row r="27" spans="2:5" x14ac:dyDescent="0.25">
      <c r="C27" s="7">
        <v>519</v>
      </c>
      <c r="D27" s="7" t="s">
        <v>460</v>
      </c>
      <c r="E27" s="12">
        <f>HLOOKUP($D$5,'Bourgeoisie investissement'!$E$4:$R$185,21,0)</f>
        <v>0</v>
      </c>
    </row>
    <row r="28" spans="2:5" x14ac:dyDescent="0.25">
      <c r="E28" s="12"/>
    </row>
    <row r="29" spans="2:5" x14ac:dyDescent="0.25">
      <c r="B29" s="76">
        <v>52</v>
      </c>
      <c r="C29" s="76"/>
      <c r="D29" s="76" t="s">
        <v>461</v>
      </c>
      <c r="E29" s="96">
        <f>HLOOKUP($D$5,'Bourgeoisie investissement'!$E$4:$R$185,23,0)</f>
        <v>0</v>
      </c>
    </row>
    <row r="30" spans="2:5" x14ac:dyDescent="0.25">
      <c r="C30" s="7">
        <v>520</v>
      </c>
      <c r="D30" s="7" t="s">
        <v>363</v>
      </c>
      <c r="E30" s="12">
        <f>HLOOKUP($D$5,'Bourgeoisie investissement'!$E$4:$R$185,24,0)</f>
        <v>0</v>
      </c>
    </row>
    <row r="31" spans="2:5" x14ac:dyDescent="0.25">
      <c r="C31" s="7">
        <v>521</v>
      </c>
      <c r="D31" s="7" t="s">
        <v>364</v>
      </c>
      <c r="E31" s="12">
        <f>HLOOKUP($D$5,'Bourgeoisie investissement'!$E$4:$R$185,25,0)</f>
        <v>0</v>
      </c>
    </row>
    <row r="32" spans="2:5" x14ac:dyDescent="0.25">
      <c r="C32" s="7">
        <v>529</v>
      </c>
      <c r="D32" s="7" t="s">
        <v>462</v>
      </c>
      <c r="E32" s="12">
        <f>HLOOKUP($D$5,'Bourgeoisie investissement'!$E$4:$R$185,26,0)</f>
        <v>0</v>
      </c>
    </row>
    <row r="33" spans="2:5" x14ac:dyDescent="0.25">
      <c r="E33" s="12"/>
    </row>
    <row r="34" spans="2:5" x14ac:dyDescent="0.25">
      <c r="B34" s="76">
        <v>54</v>
      </c>
      <c r="C34" s="76"/>
      <c r="D34" s="76" t="s">
        <v>249</v>
      </c>
      <c r="E34" s="96">
        <f>HLOOKUP($D$5,'Bourgeoisie investissement'!$E$4:$R$185,28,0)</f>
        <v>0</v>
      </c>
    </row>
    <row r="35" spans="2:5" x14ac:dyDescent="0.25">
      <c r="C35" s="7">
        <v>540</v>
      </c>
      <c r="D35" s="7" t="s">
        <v>463</v>
      </c>
      <c r="E35" s="12">
        <f>HLOOKUP($D$5,'Bourgeoisie investissement'!$E$4:$R$185,29,0)</f>
        <v>0</v>
      </c>
    </row>
    <row r="36" spans="2:5" x14ac:dyDescent="0.25">
      <c r="C36" s="7">
        <v>541</v>
      </c>
      <c r="D36" s="7" t="s">
        <v>464</v>
      </c>
      <c r="E36" s="12">
        <f>HLOOKUP($D$5,'Bourgeoisie investissement'!$E$4:$R$185,30,0)</f>
        <v>0</v>
      </c>
    </row>
    <row r="37" spans="2:5" x14ac:dyDescent="0.25">
      <c r="C37" s="7">
        <v>542</v>
      </c>
      <c r="D37" s="7" t="s">
        <v>465</v>
      </c>
      <c r="E37" s="12">
        <f>HLOOKUP($D$5,'Bourgeoisie investissement'!$E$4:$R$185,31,0)</f>
        <v>0</v>
      </c>
    </row>
    <row r="38" spans="2:5" x14ac:dyDescent="0.25">
      <c r="C38" s="7">
        <v>543</v>
      </c>
      <c r="D38" s="7" t="s">
        <v>466</v>
      </c>
      <c r="E38" s="12">
        <f>HLOOKUP($D$5,'Bourgeoisie investissement'!$E$4:$R$185,32,0)</f>
        <v>0</v>
      </c>
    </row>
    <row r="39" spans="2:5" x14ac:dyDescent="0.25">
      <c r="C39" s="7">
        <v>544</v>
      </c>
      <c r="D39" s="7" t="s">
        <v>467</v>
      </c>
      <c r="E39" s="12">
        <f>HLOOKUP($D$5,'Bourgeoisie investissement'!$E$4:$R$185,33,0)</f>
        <v>0</v>
      </c>
    </row>
    <row r="40" spans="2:5" x14ac:dyDescent="0.25">
      <c r="C40" s="7">
        <v>545</v>
      </c>
      <c r="D40" s="7" t="s">
        <v>468</v>
      </c>
      <c r="E40" s="12">
        <f>HLOOKUP($D$5,'Bourgeoisie investissement'!$E$4:$R$185,34,0)</f>
        <v>0</v>
      </c>
    </row>
    <row r="41" spans="2:5" x14ac:dyDescent="0.25">
      <c r="C41" s="7">
        <v>546</v>
      </c>
      <c r="D41" s="7" t="s">
        <v>469</v>
      </c>
      <c r="E41" s="12">
        <f>HLOOKUP($D$5,'Bourgeoisie investissement'!$E$4:$R$185,35,0)</f>
        <v>0</v>
      </c>
    </row>
    <row r="42" spans="2:5" x14ac:dyDescent="0.25">
      <c r="C42" s="7">
        <v>547</v>
      </c>
      <c r="D42" s="7" t="s">
        <v>470</v>
      </c>
      <c r="E42" s="12">
        <f>HLOOKUP($D$5,'Bourgeoisie investissement'!$E$4:$R$185,36,0)</f>
        <v>0</v>
      </c>
    </row>
    <row r="43" spans="2:5" x14ac:dyDescent="0.25">
      <c r="C43" s="7">
        <v>548</v>
      </c>
      <c r="D43" s="7" t="s">
        <v>471</v>
      </c>
      <c r="E43" s="12">
        <f>HLOOKUP($D$5,'Bourgeoisie investissement'!$E$4:$R$185,37,0)</f>
        <v>0</v>
      </c>
    </row>
    <row r="44" spans="2:5" x14ac:dyDescent="0.25">
      <c r="E44" s="12"/>
    </row>
    <row r="45" spans="2:5" x14ac:dyDescent="0.25">
      <c r="B45" s="76">
        <v>55</v>
      </c>
      <c r="C45" s="76"/>
      <c r="D45" s="76" t="s">
        <v>376</v>
      </c>
      <c r="E45" s="96">
        <f>HLOOKUP($D$5,'Bourgeoisie investissement'!$E$4:$R$185,39,0)</f>
        <v>0</v>
      </c>
    </row>
    <row r="46" spans="2:5" x14ac:dyDescent="0.25">
      <c r="C46" s="7">
        <v>550</v>
      </c>
      <c r="D46" s="7" t="s">
        <v>463</v>
      </c>
      <c r="E46" s="12">
        <f>HLOOKUP($D$5,'Bourgeoisie investissement'!$E$4:$R$185,40,0)</f>
        <v>0</v>
      </c>
    </row>
    <row r="47" spans="2:5" x14ac:dyDescent="0.25">
      <c r="C47" s="7">
        <v>551</v>
      </c>
      <c r="D47" s="7" t="s">
        <v>464</v>
      </c>
      <c r="E47" s="12">
        <f>HLOOKUP($D$5,'Bourgeoisie investissement'!$E$4:$R$185,41,0)</f>
        <v>0</v>
      </c>
    </row>
    <row r="48" spans="2:5" x14ac:dyDescent="0.25">
      <c r="C48" s="7">
        <v>552</v>
      </c>
      <c r="D48" s="7" t="s">
        <v>465</v>
      </c>
      <c r="E48" s="12">
        <f>HLOOKUP($D$5,'Bourgeoisie investissement'!$E$4:$R$185,42,0)</f>
        <v>0</v>
      </c>
    </row>
    <row r="49" spans="2:5" x14ac:dyDescent="0.25">
      <c r="C49" s="7">
        <v>553</v>
      </c>
      <c r="D49" s="7" t="s">
        <v>466</v>
      </c>
      <c r="E49" s="12">
        <f>HLOOKUP($D$5,'Bourgeoisie investissement'!$E$4:$R$185,43,0)</f>
        <v>0</v>
      </c>
    </row>
    <row r="50" spans="2:5" x14ac:dyDescent="0.25">
      <c r="C50" s="7">
        <v>554</v>
      </c>
      <c r="D50" s="7" t="s">
        <v>467</v>
      </c>
      <c r="E50" s="12">
        <f>HLOOKUP($D$5,'Bourgeoisie investissement'!$E$4:$R$185,44,0)</f>
        <v>0</v>
      </c>
    </row>
    <row r="51" spans="2:5" x14ac:dyDescent="0.25">
      <c r="C51" s="7">
        <v>555</v>
      </c>
      <c r="D51" s="7" t="s">
        <v>468</v>
      </c>
      <c r="E51" s="12">
        <f>HLOOKUP($D$5,'Bourgeoisie investissement'!$E$4:$R$185,45,0)</f>
        <v>0</v>
      </c>
    </row>
    <row r="52" spans="2:5" x14ac:dyDescent="0.25">
      <c r="C52" s="7">
        <v>556</v>
      </c>
      <c r="D52" s="7" t="s">
        <v>469</v>
      </c>
      <c r="E52" s="12">
        <f>HLOOKUP($D$5,'Bourgeoisie investissement'!$E$4:$R$185,46,0)</f>
        <v>0</v>
      </c>
    </row>
    <row r="53" spans="2:5" x14ac:dyDescent="0.25">
      <c r="C53" s="7">
        <v>557</v>
      </c>
      <c r="D53" s="7" t="s">
        <v>470</v>
      </c>
      <c r="E53" s="12">
        <f>HLOOKUP($D$5,'Bourgeoisie investissement'!$E$4:$R$185,47,0)</f>
        <v>0</v>
      </c>
    </row>
    <row r="54" spans="2:5" x14ac:dyDescent="0.25">
      <c r="C54" s="7">
        <v>558</v>
      </c>
      <c r="D54" s="7" t="s">
        <v>471</v>
      </c>
      <c r="E54" s="12">
        <f>HLOOKUP($D$5,'Bourgeoisie investissement'!$E$4:$R$185,48,0)</f>
        <v>0</v>
      </c>
    </row>
    <row r="55" spans="2:5" x14ac:dyDescent="0.25">
      <c r="E55" s="12"/>
    </row>
    <row r="56" spans="2:5" x14ac:dyDescent="0.25">
      <c r="B56" s="76">
        <v>56</v>
      </c>
      <c r="C56" s="76"/>
      <c r="D56" s="76" t="s">
        <v>472</v>
      </c>
      <c r="E56" s="96">
        <f>HLOOKUP($D$5,'Bourgeoisie investissement'!$E$4:$R$185,50,0)</f>
        <v>0</v>
      </c>
    </row>
    <row r="57" spans="2:5" x14ac:dyDescent="0.25">
      <c r="C57" s="7">
        <v>560</v>
      </c>
      <c r="D57" s="7" t="s">
        <v>463</v>
      </c>
      <c r="E57" s="12">
        <f>HLOOKUP($D$5,'Bourgeoisie investissement'!$E$4:$R$185,51,0)</f>
        <v>0</v>
      </c>
    </row>
    <row r="58" spans="2:5" x14ac:dyDescent="0.25">
      <c r="C58" s="7">
        <v>561</v>
      </c>
      <c r="D58" s="7" t="s">
        <v>464</v>
      </c>
      <c r="E58" s="12">
        <f>HLOOKUP($D$5,'Bourgeoisie investissement'!$E$4:$R$185,52,0)</f>
        <v>0</v>
      </c>
    </row>
    <row r="59" spans="2:5" x14ac:dyDescent="0.25">
      <c r="C59" s="7">
        <v>562</v>
      </c>
      <c r="D59" s="7" t="s">
        <v>465</v>
      </c>
      <c r="E59" s="12">
        <f>HLOOKUP($D$5,'Bourgeoisie investissement'!$E$4:$R$185,53,0)</f>
        <v>0</v>
      </c>
    </row>
    <row r="60" spans="2:5" x14ac:dyDescent="0.25">
      <c r="C60" s="7">
        <v>563</v>
      </c>
      <c r="D60" s="7" t="s">
        <v>466</v>
      </c>
      <c r="E60" s="12">
        <f>HLOOKUP($D$5,'Bourgeoisie investissement'!$E$4:$R$185,54,0)</f>
        <v>0</v>
      </c>
    </row>
    <row r="61" spans="2:5" x14ac:dyDescent="0.25">
      <c r="C61" s="7">
        <v>564</v>
      </c>
      <c r="D61" s="7" t="s">
        <v>467</v>
      </c>
      <c r="E61" s="12">
        <f>HLOOKUP($D$5,'Bourgeoisie investissement'!$E$4:$R$185,55,0)</f>
        <v>0</v>
      </c>
    </row>
    <row r="62" spans="2:5" x14ac:dyDescent="0.25">
      <c r="C62" s="7">
        <v>565</v>
      </c>
      <c r="D62" s="7" t="s">
        <v>468</v>
      </c>
      <c r="E62" s="12">
        <f>HLOOKUP($D$5,'Bourgeoisie investissement'!$E$4:$R$185,56,0)</f>
        <v>0</v>
      </c>
    </row>
    <row r="63" spans="2:5" x14ac:dyDescent="0.25">
      <c r="C63" s="7">
        <v>566</v>
      </c>
      <c r="D63" s="7" t="s">
        <v>469</v>
      </c>
      <c r="E63" s="12">
        <f>HLOOKUP($D$5,'Bourgeoisie investissement'!$E$4:$R$185,57,0)</f>
        <v>0</v>
      </c>
    </row>
    <row r="64" spans="2:5" x14ac:dyDescent="0.25">
      <c r="C64" s="7">
        <v>567</v>
      </c>
      <c r="D64" s="7" t="s">
        <v>470</v>
      </c>
      <c r="E64" s="12">
        <f>HLOOKUP($D$5,'Bourgeoisie investissement'!$E$4:$R$185,58,0)</f>
        <v>0</v>
      </c>
    </row>
    <row r="65" spans="2:5" x14ac:dyDescent="0.25">
      <c r="C65" s="7">
        <v>568</v>
      </c>
      <c r="D65" s="7" t="s">
        <v>471</v>
      </c>
      <c r="E65" s="12">
        <f>HLOOKUP($D$5,'Bourgeoisie investissement'!$E$4:$R$185,59,0)</f>
        <v>0</v>
      </c>
    </row>
    <row r="66" spans="2:5" x14ac:dyDescent="0.25">
      <c r="E66" s="12"/>
    </row>
    <row r="67" spans="2:5" x14ac:dyDescent="0.25">
      <c r="B67" s="76">
        <v>57</v>
      </c>
      <c r="C67" s="76"/>
      <c r="D67" s="76" t="s">
        <v>473</v>
      </c>
      <c r="E67" s="96">
        <f>HLOOKUP($D$5,'Bourgeoisie investissement'!$E$4:$R$185,61,0)</f>
        <v>0</v>
      </c>
    </row>
    <row r="68" spans="2:5" x14ac:dyDescent="0.25">
      <c r="C68" s="7">
        <v>570</v>
      </c>
      <c r="D68" s="7" t="s">
        <v>463</v>
      </c>
      <c r="E68" s="12">
        <f>HLOOKUP($D$5,'Bourgeoisie investissement'!$E$4:$R$185,62,0)</f>
        <v>0</v>
      </c>
    </row>
    <row r="69" spans="2:5" x14ac:dyDescent="0.25">
      <c r="C69" s="7">
        <v>571</v>
      </c>
      <c r="D69" s="7" t="s">
        <v>464</v>
      </c>
      <c r="E69" s="12">
        <f>HLOOKUP($D$5,'Bourgeoisie investissement'!$E$4:$R$185,63,0)</f>
        <v>0</v>
      </c>
    </row>
    <row r="70" spans="2:5" x14ac:dyDescent="0.25">
      <c r="C70" s="7">
        <v>572</v>
      </c>
      <c r="D70" s="7" t="s">
        <v>465</v>
      </c>
      <c r="E70" s="12">
        <f>HLOOKUP($D$5,'Bourgeoisie investissement'!$E$4:$R$185,64,0)</f>
        <v>0</v>
      </c>
    </row>
    <row r="71" spans="2:5" x14ac:dyDescent="0.25">
      <c r="C71" s="7">
        <v>573</v>
      </c>
      <c r="D71" s="7" t="s">
        <v>466</v>
      </c>
      <c r="E71" s="12">
        <f>HLOOKUP($D$5,'Bourgeoisie investissement'!$E$4:$R$185,65,0)</f>
        <v>0</v>
      </c>
    </row>
    <row r="72" spans="2:5" x14ac:dyDescent="0.25">
      <c r="C72" s="7">
        <v>574</v>
      </c>
      <c r="D72" s="7" t="s">
        <v>467</v>
      </c>
      <c r="E72" s="12">
        <f>HLOOKUP($D$5,'Bourgeoisie investissement'!$E$4:$R$185,66,0)</f>
        <v>0</v>
      </c>
    </row>
    <row r="73" spans="2:5" x14ac:dyDescent="0.25">
      <c r="C73" s="7">
        <v>575</v>
      </c>
      <c r="D73" s="7" t="s">
        <v>468</v>
      </c>
      <c r="E73" s="12">
        <f>HLOOKUP($D$5,'Bourgeoisie investissement'!$E$4:$R$185,67,0)</f>
        <v>0</v>
      </c>
    </row>
    <row r="74" spans="2:5" x14ac:dyDescent="0.25">
      <c r="C74" s="7">
        <v>576</v>
      </c>
      <c r="D74" s="7" t="s">
        <v>469</v>
      </c>
      <c r="E74" s="12">
        <f>HLOOKUP($D$5,'Bourgeoisie investissement'!$E$4:$R$185,68,0)</f>
        <v>0</v>
      </c>
    </row>
    <row r="75" spans="2:5" x14ac:dyDescent="0.25">
      <c r="C75" s="7">
        <v>577</v>
      </c>
      <c r="D75" s="7" t="s">
        <v>470</v>
      </c>
      <c r="E75" s="12">
        <f>HLOOKUP($D$5,'Bourgeoisie investissement'!$E$4:$R$185,69,0)</f>
        <v>0</v>
      </c>
    </row>
    <row r="76" spans="2:5" x14ac:dyDescent="0.25">
      <c r="C76" s="7">
        <v>578</v>
      </c>
      <c r="D76" s="7" t="s">
        <v>471</v>
      </c>
      <c r="E76" s="12">
        <f>HLOOKUP($D$5,'Bourgeoisie investissement'!$E$4:$R$185,70,0)</f>
        <v>0</v>
      </c>
    </row>
    <row r="77" spans="2:5" x14ac:dyDescent="0.25">
      <c r="E77" s="12"/>
    </row>
    <row r="78" spans="2:5" x14ac:dyDescent="0.25">
      <c r="B78" s="76">
        <v>58</v>
      </c>
      <c r="C78" s="76"/>
      <c r="D78" s="76" t="s">
        <v>474</v>
      </c>
      <c r="E78" s="96">
        <f>HLOOKUP($D$5,'Bourgeoisie investissement'!$E$4:$R$185,72,0)</f>
        <v>0</v>
      </c>
    </row>
    <row r="79" spans="2:5" x14ac:dyDescent="0.25">
      <c r="C79" s="7">
        <v>580</v>
      </c>
      <c r="D79" s="7" t="s">
        <v>451</v>
      </c>
      <c r="E79" s="12">
        <f>HLOOKUP($D$5,'Bourgeoisie investissement'!$E$4:$R$185,73,0)</f>
        <v>0</v>
      </c>
    </row>
    <row r="80" spans="2:5" x14ac:dyDescent="0.25">
      <c r="C80" s="7">
        <v>582</v>
      </c>
      <c r="D80" s="7" t="s">
        <v>461</v>
      </c>
      <c r="E80" s="12">
        <f>HLOOKUP($D$5,'Bourgeoisie investissement'!$E$4:$R$185,74,0)</f>
        <v>0</v>
      </c>
    </row>
    <row r="81" spans="1:5" x14ac:dyDescent="0.25">
      <c r="C81" s="7">
        <v>584</v>
      </c>
      <c r="D81" s="7" t="s">
        <v>249</v>
      </c>
      <c r="E81" s="12">
        <f>HLOOKUP($D$5,'Bourgeoisie investissement'!$E$4:$R$185,75,0)</f>
        <v>0</v>
      </c>
    </row>
    <row r="82" spans="1:5" x14ac:dyDescent="0.25">
      <c r="C82" s="7">
        <v>585</v>
      </c>
      <c r="D82" s="7" t="s">
        <v>376</v>
      </c>
      <c r="E82" s="12">
        <f>HLOOKUP($D$5,'Bourgeoisie investissement'!$E$4:$R$185,76,0)</f>
        <v>0</v>
      </c>
    </row>
    <row r="83" spans="1:5" x14ac:dyDescent="0.25">
      <c r="C83" s="7">
        <v>586</v>
      </c>
      <c r="D83" s="7" t="s">
        <v>475</v>
      </c>
      <c r="E83" s="12">
        <f>HLOOKUP($D$5,'Bourgeoisie investissement'!$E$4:$R$185,77,0)</f>
        <v>0</v>
      </c>
    </row>
    <row r="84" spans="1:5" x14ac:dyDescent="0.25">
      <c r="C84" s="7">
        <v>589</v>
      </c>
      <c r="D84" s="7" t="s">
        <v>476</v>
      </c>
      <c r="E84" s="12">
        <f>HLOOKUP($D$5,'Bourgeoisie investissement'!$E$4:$R$185,78,0)</f>
        <v>0</v>
      </c>
    </row>
    <row r="85" spans="1:5" x14ac:dyDescent="0.25">
      <c r="E85" s="12"/>
    </row>
    <row r="86" spans="1:5" x14ac:dyDescent="0.25">
      <c r="B86" s="76">
        <v>59</v>
      </c>
      <c r="C86" s="76"/>
      <c r="D86" s="76" t="s">
        <v>477</v>
      </c>
      <c r="E86" s="96">
        <f>HLOOKUP($D$5,'Bourgeoisie investissement'!$E$4:$R$185,80,0)</f>
        <v>67509.850000000006</v>
      </c>
    </row>
    <row r="87" spans="1:5" x14ac:dyDescent="0.25">
      <c r="C87" s="7">
        <v>590</v>
      </c>
      <c r="D87" s="7" t="s">
        <v>477</v>
      </c>
      <c r="E87" s="12">
        <f>HLOOKUP($D$5,'Bourgeoisie investissement'!$E$4:$R$185,81,0)</f>
        <v>67509.850000000006</v>
      </c>
    </row>
    <row r="88" spans="1:5" x14ac:dyDescent="0.25">
      <c r="E88" s="12"/>
    </row>
    <row r="89" spans="1:5" x14ac:dyDescent="0.25">
      <c r="E89" s="12"/>
    </row>
    <row r="90" spans="1:5" x14ac:dyDescent="0.25">
      <c r="E90" s="12"/>
    </row>
    <row r="91" spans="1:5" ht="21" x14ac:dyDescent="0.4">
      <c r="A91" s="127">
        <v>6</v>
      </c>
      <c r="B91" s="127"/>
      <c r="C91" s="127"/>
      <c r="D91" s="127" t="s">
        <v>478</v>
      </c>
      <c r="E91" s="132">
        <f>HLOOKUP($D$5,'Bourgeoisie investissement'!$E$4:$R$185,85,0)</f>
        <v>67509.850000000006</v>
      </c>
    </row>
    <row r="92" spans="1:5" x14ac:dyDescent="0.25">
      <c r="A92" s="6"/>
      <c r="B92" s="128">
        <v>60</v>
      </c>
      <c r="C92" s="128"/>
      <c r="D92" s="128" t="s">
        <v>479</v>
      </c>
      <c r="E92" s="129">
        <f>HLOOKUP($D$5,'Bourgeoisie investissement'!$E$4:$R$185,86,0)</f>
        <v>0</v>
      </c>
    </row>
    <row r="93" spans="1:5" x14ac:dyDescent="0.25">
      <c r="C93" s="7">
        <v>600</v>
      </c>
      <c r="D93" s="7" t="s">
        <v>453</v>
      </c>
      <c r="E93" s="12">
        <f>HLOOKUP($D$5,'Bourgeoisie investissement'!$E$4:$R$185,87,0)</f>
        <v>0</v>
      </c>
    </row>
    <row r="94" spans="1:5" x14ac:dyDescent="0.25">
      <c r="C94" s="7">
        <v>601</v>
      </c>
      <c r="D94" s="7" t="s">
        <v>454</v>
      </c>
      <c r="E94" s="12">
        <f>HLOOKUP($D$5,'Bourgeoisie investissement'!$E$4:$R$185,88,0)</f>
        <v>0</v>
      </c>
    </row>
    <row r="95" spans="1:5" x14ac:dyDescent="0.25">
      <c r="C95" s="7">
        <v>602</v>
      </c>
      <c r="D95" s="7" t="s">
        <v>455</v>
      </c>
      <c r="E95" s="12">
        <f>HLOOKUP($D$5,'Bourgeoisie investissement'!$E$4:$R$185,89,0)</f>
        <v>0</v>
      </c>
    </row>
    <row r="96" spans="1:5" x14ac:dyDescent="0.25">
      <c r="C96" s="7">
        <v>603</v>
      </c>
      <c r="D96" s="7" t="s">
        <v>456</v>
      </c>
      <c r="E96" s="12">
        <f>HLOOKUP($D$5,'Bourgeoisie investissement'!$E$4:$R$185,90,0)</f>
        <v>0</v>
      </c>
    </row>
    <row r="97" spans="2:5" x14ac:dyDescent="0.25">
      <c r="C97" s="7">
        <v>604</v>
      </c>
      <c r="D97" s="7" t="s">
        <v>457</v>
      </c>
      <c r="E97" s="12">
        <f>HLOOKUP($D$5,'Bourgeoisie investissement'!$E$4:$R$185,91,0)</f>
        <v>0</v>
      </c>
    </row>
    <row r="98" spans="2:5" x14ac:dyDescent="0.25">
      <c r="C98" s="7">
        <v>605</v>
      </c>
      <c r="D98" s="7" t="s">
        <v>458</v>
      </c>
      <c r="E98" s="12">
        <f>HLOOKUP($D$5,'Bourgeoisie investissement'!$E$4:$R$185,92,0)</f>
        <v>0</v>
      </c>
    </row>
    <row r="99" spans="2:5" x14ac:dyDescent="0.25">
      <c r="C99" s="7">
        <v>606</v>
      </c>
      <c r="D99" s="7" t="s">
        <v>459</v>
      </c>
      <c r="E99" s="12">
        <f>HLOOKUP($D$5,'Bourgeoisie investissement'!$E$4:$R$185,93,0)</f>
        <v>0</v>
      </c>
    </row>
    <row r="100" spans="2:5" x14ac:dyDescent="0.25">
      <c r="C100" s="7">
        <v>609</v>
      </c>
      <c r="D100" s="7" t="s">
        <v>460</v>
      </c>
      <c r="E100" s="12">
        <f>HLOOKUP($D$5,'Bourgeoisie investissement'!$E$4:$R$185,94,0)</f>
        <v>0</v>
      </c>
    </row>
    <row r="101" spans="2:5" x14ac:dyDescent="0.25">
      <c r="E101" s="12"/>
    </row>
    <row r="102" spans="2:5" x14ac:dyDescent="0.25">
      <c r="B102" s="128">
        <v>61</v>
      </c>
      <c r="C102" s="128"/>
      <c r="D102" s="128" t="s">
        <v>480</v>
      </c>
      <c r="E102" s="129">
        <f>HLOOKUP($D$5,'Bourgeoisie investissement'!$E$4:$R$185,96,0)</f>
        <v>0</v>
      </c>
    </row>
    <row r="103" spans="2:5" x14ac:dyDescent="0.25">
      <c r="C103" s="7">
        <v>610</v>
      </c>
      <c r="D103" s="7" t="s">
        <v>453</v>
      </c>
      <c r="E103" s="12">
        <f>HLOOKUP($D$5,'Bourgeoisie investissement'!$E$4:$R$185,97,0)</f>
        <v>0</v>
      </c>
    </row>
    <row r="104" spans="2:5" x14ac:dyDescent="0.25">
      <c r="C104" s="7">
        <v>611</v>
      </c>
      <c r="D104" s="7" t="s">
        <v>454</v>
      </c>
      <c r="E104" s="12">
        <f>HLOOKUP($D$5,'Bourgeoisie investissement'!$E$4:$R$185,98,0)</f>
        <v>0</v>
      </c>
    </row>
    <row r="105" spans="2:5" x14ac:dyDescent="0.25">
      <c r="C105" s="7">
        <v>612</v>
      </c>
      <c r="D105" s="7" t="s">
        <v>455</v>
      </c>
      <c r="E105" s="12">
        <f>HLOOKUP($D$5,'Bourgeoisie investissement'!$E$4:$R$185,99,0)</f>
        <v>0</v>
      </c>
    </row>
    <row r="106" spans="2:5" x14ac:dyDescent="0.25">
      <c r="C106" s="7">
        <v>613</v>
      </c>
      <c r="D106" s="7" t="s">
        <v>456</v>
      </c>
      <c r="E106" s="12">
        <f>HLOOKUP($D$5,'Bourgeoisie investissement'!$E$4:$R$185,100,0)</f>
        <v>0</v>
      </c>
    </row>
    <row r="107" spans="2:5" x14ac:dyDescent="0.25">
      <c r="C107" s="7">
        <v>614</v>
      </c>
      <c r="D107" s="7" t="s">
        <v>457</v>
      </c>
      <c r="E107" s="12">
        <f>HLOOKUP($D$5,'Bourgeoisie investissement'!$E$4:$R$185,101,0)</f>
        <v>0</v>
      </c>
    </row>
    <row r="108" spans="2:5" x14ac:dyDescent="0.25">
      <c r="C108" s="7">
        <v>615</v>
      </c>
      <c r="D108" s="7" t="s">
        <v>458</v>
      </c>
      <c r="E108" s="12">
        <f>HLOOKUP($D$5,'Bourgeoisie investissement'!$E$4:$R$185,102,0)</f>
        <v>0</v>
      </c>
    </row>
    <row r="109" spans="2:5" x14ac:dyDescent="0.25">
      <c r="C109" s="7">
        <v>616</v>
      </c>
      <c r="D109" s="7" t="s">
        <v>459</v>
      </c>
      <c r="E109" s="12">
        <f>HLOOKUP($D$5,'Bourgeoisie investissement'!$E$4:$R$185,103,0)</f>
        <v>0</v>
      </c>
    </row>
    <row r="110" spans="2:5" x14ac:dyDescent="0.25">
      <c r="C110" s="7">
        <v>619</v>
      </c>
      <c r="D110" s="7" t="s">
        <v>460</v>
      </c>
      <c r="E110" s="12">
        <f>HLOOKUP($D$5,'Bourgeoisie investissement'!$E$4:$R$185,104,0)</f>
        <v>0</v>
      </c>
    </row>
    <row r="111" spans="2:5" x14ac:dyDescent="0.25">
      <c r="E111" s="12"/>
    </row>
    <row r="112" spans="2:5" x14ac:dyDescent="0.25">
      <c r="B112" s="128">
        <v>62</v>
      </c>
      <c r="C112" s="128"/>
      <c r="D112" s="128" t="s">
        <v>481</v>
      </c>
      <c r="E112" s="129">
        <f>HLOOKUP($D$5,'Bourgeoisie investissement'!$E$4:$R$185,106,0)</f>
        <v>0</v>
      </c>
    </row>
    <row r="113" spans="2:5" x14ac:dyDescent="0.25">
      <c r="C113" s="7">
        <v>620</v>
      </c>
      <c r="D113" s="7" t="s">
        <v>363</v>
      </c>
      <c r="E113" s="12">
        <f>HLOOKUP($D$5,'Bourgeoisie investissement'!$E$4:$R$185,107,0)</f>
        <v>0</v>
      </c>
    </row>
    <row r="114" spans="2:5" x14ac:dyDescent="0.25">
      <c r="C114" s="7">
        <v>621</v>
      </c>
      <c r="D114" s="7" t="s">
        <v>364</v>
      </c>
      <c r="E114" s="12">
        <f>HLOOKUP($D$5,'Bourgeoisie investissement'!$E$4:$R$185,108,0)</f>
        <v>0</v>
      </c>
    </row>
    <row r="115" spans="2:5" x14ac:dyDescent="0.25">
      <c r="C115" s="7">
        <v>629</v>
      </c>
      <c r="D115" s="7" t="s">
        <v>462</v>
      </c>
      <c r="E115" s="12">
        <f>HLOOKUP($D$5,'Bourgeoisie investissement'!$E$4:$R$185,109,0)</f>
        <v>0</v>
      </c>
    </row>
    <row r="116" spans="2:5" x14ac:dyDescent="0.25">
      <c r="E116" s="12"/>
    </row>
    <row r="117" spans="2:5" x14ac:dyDescent="0.25">
      <c r="B117" s="128">
        <v>63</v>
      </c>
      <c r="C117" s="128"/>
      <c r="D117" s="128" t="s">
        <v>482</v>
      </c>
      <c r="E117" s="129">
        <f>HLOOKUP($D$5,'Bourgeoisie investissement'!$E$4:$R$185,111,0)</f>
        <v>67509.850000000006</v>
      </c>
    </row>
    <row r="118" spans="2:5" x14ac:dyDescent="0.25">
      <c r="C118" s="7">
        <v>630</v>
      </c>
      <c r="D118" s="7" t="s">
        <v>463</v>
      </c>
      <c r="E118" s="12">
        <f>HLOOKUP($D$5,'Bourgeoisie investissement'!$E$4:$R$185,112,0)</f>
        <v>0</v>
      </c>
    </row>
    <row r="119" spans="2:5" x14ac:dyDescent="0.25">
      <c r="C119" s="7">
        <v>631</v>
      </c>
      <c r="D119" s="7" t="s">
        <v>464</v>
      </c>
      <c r="E119" s="12">
        <f>HLOOKUP($D$5,'Bourgeoisie investissement'!$E$4:$R$185,113,0)</f>
        <v>40000</v>
      </c>
    </row>
    <row r="120" spans="2:5" x14ac:dyDescent="0.25">
      <c r="C120" s="7">
        <v>632</v>
      </c>
      <c r="D120" s="7" t="s">
        <v>465</v>
      </c>
      <c r="E120" s="12">
        <f>HLOOKUP($D$5,'Bourgeoisie investissement'!$E$4:$R$185,114,0)</f>
        <v>0</v>
      </c>
    </row>
    <row r="121" spans="2:5" x14ac:dyDescent="0.25">
      <c r="C121" s="7">
        <v>633</v>
      </c>
      <c r="D121" s="7" t="s">
        <v>466</v>
      </c>
      <c r="E121" s="12">
        <f>HLOOKUP($D$5,'Bourgeoisie investissement'!$E$4:$R$185,115,0)</f>
        <v>0</v>
      </c>
    </row>
    <row r="122" spans="2:5" x14ac:dyDescent="0.25">
      <c r="C122" s="7">
        <v>634</v>
      </c>
      <c r="D122" s="7" t="s">
        <v>467</v>
      </c>
      <c r="E122" s="12">
        <f>HLOOKUP($D$5,'Bourgeoisie investissement'!$E$4:$R$185,116,0)</f>
        <v>0</v>
      </c>
    </row>
    <row r="123" spans="2:5" x14ac:dyDescent="0.25">
      <c r="C123" s="7">
        <v>635</v>
      </c>
      <c r="D123" s="7" t="s">
        <v>468</v>
      </c>
      <c r="E123" s="12">
        <f>HLOOKUP($D$5,'Bourgeoisie investissement'!$E$4:$R$185,117,0)</f>
        <v>27509.85</v>
      </c>
    </row>
    <row r="124" spans="2:5" x14ac:dyDescent="0.25">
      <c r="C124" s="7">
        <v>636</v>
      </c>
      <c r="D124" s="7" t="s">
        <v>469</v>
      </c>
      <c r="E124" s="12">
        <f>HLOOKUP($D$5,'Bourgeoisie investissement'!$E$4:$R$185,118,0)</f>
        <v>0</v>
      </c>
    </row>
    <row r="125" spans="2:5" x14ac:dyDescent="0.25">
      <c r="C125" s="7">
        <v>637</v>
      </c>
      <c r="D125" s="7" t="s">
        <v>470</v>
      </c>
      <c r="E125" s="12">
        <f>HLOOKUP($D$5,'Bourgeoisie investissement'!$E$4:$R$185,119,0)</f>
        <v>0</v>
      </c>
    </row>
    <row r="126" spans="2:5" x14ac:dyDescent="0.25">
      <c r="C126" s="7">
        <v>638</v>
      </c>
      <c r="D126" s="7" t="s">
        <v>471</v>
      </c>
      <c r="E126" s="12">
        <f>HLOOKUP($D$5,'Bourgeoisie investissement'!$E$4:$R$185,120,0)</f>
        <v>0</v>
      </c>
    </row>
    <row r="127" spans="2:5" x14ac:dyDescent="0.25">
      <c r="E127" s="12"/>
    </row>
    <row r="128" spans="2:5" x14ac:dyDescent="0.25">
      <c r="B128" s="128">
        <v>64</v>
      </c>
      <c r="C128" s="128"/>
      <c r="D128" s="128" t="s">
        <v>483</v>
      </c>
      <c r="E128" s="129">
        <f>HLOOKUP($D$5,'Bourgeoisie investissement'!$E$4:$R$185,122,0)</f>
        <v>0</v>
      </c>
    </row>
    <row r="129" spans="2:5" x14ac:dyDescent="0.25">
      <c r="C129" s="7">
        <v>640</v>
      </c>
      <c r="D129" s="7" t="s">
        <v>463</v>
      </c>
      <c r="E129" s="12">
        <f>HLOOKUP($D$5,'Bourgeoisie investissement'!$E$4:$R$185,123,0)</f>
        <v>0</v>
      </c>
    </row>
    <row r="130" spans="2:5" x14ac:dyDescent="0.25">
      <c r="C130" s="7">
        <v>641</v>
      </c>
      <c r="D130" s="7" t="s">
        <v>464</v>
      </c>
      <c r="E130" s="12">
        <f>HLOOKUP($D$5,'Bourgeoisie investissement'!$E$4:$R$185,124,0)</f>
        <v>0</v>
      </c>
    </row>
    <row r="131" spans="2:5" x14ac:dyDescent="0.25">
      <c r="C131" s="7">
        <v>642</v>
      </c>
      <c r="D131" s="7" t="s">
        <v>465</v>
      </c>
      <c r="E131" s="12">
        <f>HLOOKUP($D$5,'Bourgeoisie investissement'!$E$4:$R$185,125,0)</f>
        <v>0</v>
      </c>
    </row>
    <row r="132" spans="2:5" x14ac:dyDescent="0.25">
      <c r="C132" s="7">
        <v>643</v>
      </c>
      <c r="D132" s="7" t="s">
        <v>466</v>
      </c>
      <c r="E132" s="12">
        <f>HLOOKUP($D$5,'Bourgeoisie investissement'!$E$4:$R$185,126,0)</f>
        <v>0</v>
      </c>
    </row>
    <row r="133" spans="2:5" x14ac:dyDescent="0.25">
      <c r="C133" s="7">
        <v>644</v>
      </c>
      <c r="D133" s="7" t="s">
        <v>467</v>
      </c>
      <c r="E133" s="12">
        <f>HLOOKUP($D$5,'Bourgeoisie investissement'!$E$4:$R$185,127,0)</f>
        <v>0</v>
      </c>
    </row>
    <row r="134" spans="2:5" x14ac:dyDescent="0.25">
      <c r="C134" s="7">
        <v>645</v>
      </c>
      <c r="D134" s="7" t="s">
        <v>468</v>
      </c>
      <c r="E134" s="12">
        <f>HLOOKUP($D$5,'Bourgeoisie investissement'!$E$4:$R$185,128,0)</f>
        <v>0</v>
      </c>
    </row>
    <row r="135" spans="2:5" x14ac:dyDescent="0.25">
      <c r="C135" s="7">
        <v>646</v>
      </c>
      <c r="D135" s="7" t="s">
        <v>469</v>
      </c>
      <c r="E135" s="12">
        <f>HLOOKUP($D$5,'Bourgeoisie investissement'!$E$4:$R$185,129,0)</f>
        <v>0</v>
      </c>
    </row>
    <row r="136" spans="2:5" x14ac:dyDescent="0.25">
      <c r="C136" s="7">
        <v>647</v>
      </c>
      <c r="D136" s="7" t="s">
        <v>470</v>
      </c>
      <c r="E136" s="12">
        <f>HLOOKUP($D$5,'Bourgeoisie investissement'!$E$4:$R$185,130,0)</f>
        <v>0</v>
      </c>
    </row>
    <row r="137" spans="2:5" x14ac:dyDescent="0.25">
      <c r="C137" s="7">
        <v>648</v>
      </c>
      <c r="D137" s="7" t="s">
        <v>471</v>
      </c>
      <c r="E137" s="12">
        <f>HLOOKUP($D$5,'Bourgeoisie investissement'!$E$4:$R$185,131,0)</f>
        <v>0</v>
      </c>
    </row>
    <row r="138" spans="2:5" x14ac:dyDescent="0.25">
      <c r="E138" s="12"/>
    </row>
    <row r="139" spans="2:5" x14ac:dyDescent="0.25">
      <c r="B139" s="128">
        <v>65</v>
      </c>
      <c r="C139" s="128"/>
      <c r="D139" s="128" t="s">
        <v>484</v>
      </c>
      <c r="E139" s="129">
        <f>HLOOKUP($D$5,'Bourgeoisie investissement'!$E$4:$R$185,133,0)</f>
        <v>0</v>
      </c>
    </row>
    <row r="140" spans="2:5" x14ac:dyDescent="0.25">
      <c r="C140" s="7">
        <v>650</v>
      </c>
      <c r="D140" s="7" t="s">
        <v>463</v>
      </c>
      <c r="E140" s="12">
        <f>HLOOKUP($D$5,'Bourgeoisie investissement'!$E$4:$R$185,134,0)</f>
        <v>0</v>
      </c>
    </row>
    <row r="141" spans="2:5" x14ac:dyDescent="0.25">
      <c r="C141" s="7">
        <v>651</v>
      </c>
      <c r="D141" s="7" t="s">
        <v>464</v>
      </c>
      <c r="E141" s="12">
        <f>HLOOKUP($D$5,'Bourgeoisie investissement'!$E$4:$R$185,135,0)</f>
        <v>0</v>
      </c>
    </row>
    <row r="142" spans="2:5" x14ac:dyDescent="0.25">
      <c r="C142" s="7">
        <v>652</v>
      </c>
      <c r="D142" s="7" t="s">
        <v>465</v>
      </c>
      <c r="E142" s="12">
        <f>HLOOKUP($D$5,'Bourgeoisie investissement'!$E$4:$R$185,136,0)</f>
        <v>0</v>
      </c>
    </row>
    <row r="143" spans="2:5" x14ac:dyDescent="0.25">
      <c r="C143" s="7">
        <v>653</v>
      </c>
      <c r="D143" s="7" t="s">
        <v>466</v>
      </c>
      <c r="E143" s="12">
        <f>HLOOKUP($D$5,'Bourgeoisie investissement'!$E$4:$R$185,137,0)</f>
        <v>0</v>
      </c>
    </row>
    <row r="144" spans="2:5" x14ac:dyDescent="0.25">
      <c r="C144" s="7">
        <v>654</v>
      </c>
      <c r="D144" s="7" t="s">
        <v>467</v>
      </c>
      <c r="E144" s="12">
        <f>HLOOKUP($D$5,'Bourgeoisie investissement'!$E$4:$R$185,138,0)</f>
        <v>0</v>
      </c>
    </row>
    <row r="145" spans="2:5" x14ac:dyDescent="0.25">
      <c r="C145" s="7">
        <v>655</v>
      </c>
      <c r="D145" s="7" t="s">
        <v>468</v>
      </c>
      <c r="E145" s="12">
        <f>HLOOKUP($D$5,'Bourgeoisie investissement'!$E$4:$R$185,139,0)</f>
        <v>0</v>
      </c>
    </row>
    <row r="146" spans="2:5" x14ac:dyDescent="0.25">
      <c r="C146" s="7">
        <v>656</v>
      </c>
      <c r="D146" s="7" t="s">
        <v>469</v>
      </c>
      <c r="E146" s="12">
        <f>HLOOKUP($D$5,'Bourgeoisie investissement'!$E$4:$R$185,140,0)</f>
        <v>0</v>
      </c>
    </row>
    <row r="147" spans="2:5" x14ac:dyDescent="0.25">
      <c r="C147" s="7">
        <v>657</v>
      </c>
      <c r="D147" s="7" t="s">
        <v>470</v>
      </c>
      <c r="E147" s="12">
        <f>HLOOKUP($D$5,'Bourgeoisie investissement'!$E$4:$R$185,141,0)</f>
        <v>0</v>
      </c>
    </row>
    <row r="148" spans="2:5" x14ac:dyDescent="0.25">
      <c r="C148" s="7">
        <v>658</v>
      </c>
      <c r="D148" s="7" t="s">
        <v>471</v>
      </c>
      <c r="E148" s="12">
        <f>HLOOKUP($D$5,'Bourgeoisie investissement'!$E$4:$R$185,142,0)</f>
        <v>0</v>
      </c>
    </row>
    <row r="149" spans="2:5" x14ac:dyDescent="0.25">
      <c r="E149" s="12"/>
    </row>
    <row r="150" spans="2:5" x14ac:dyDescent="0.25">
      <c r="B150" s="128">
        <v>66</v>
      </c>
      <c r="C150" s="128"/>
      <c r="D150" s="128" t="s">
        <v>485</v>
      </c>
      <c r="E150" s="129">
        <f>HLOOKUP($D$5,'Bourgeoisie investissement'!$E$4:$R$185,144,0)</f>
        <v>0</v>
      </c>
    </row>
    <row r="151" spans="2:5" x14ac:dyDescent="0.25">
      <c r="C151" s="7">
        <v>660</v>
      </c>
      <c r="D151" s="7" t="s">
        <v>463</v>
      </c>
      <c r="E151" s="12">
        <f>HLOOKUP($D$5,'Bourgeoisie investissement'!$E$4:$R$185,145,0)</f>
        <v>0</v>
      </c>
    </row>
    <row r="152" spans="2:5" x14ac:dyDescent="0.25">
      <c r="C152" s="7">
        <v>661</v>
      </c>
      <c r="D152" s="7" t="s">
        <v>464</v>
      </c>
      <c r="E152" s="12">
        <f>HLOOKUP($D$5,'Bourgeoisie investissement'!$E$4:$R$185,146,0)</f>
        <v>0</v>
      </c>
    </row>
    <row r="153" spans="2:5" x14ac:dyDescent="0.25">
      <c r="C153" s="7">
        <v>662</v>
      </c>
      <c r="D153" s="7" t="s">
        <v>465</v>
      </c>
      <c r="E153" s="12">
        <f>HLOOKUP($D$5,'Bourgeoisie investissement'!$E$4:$R$185,147,0)</f>
        <v>0</v>
      </c>
    </row>
    <row r="154" spans="2:5" x14ac:dyDescent="0.25">
      <c r="C154" s="7">
        <v>663</v>
      </c>
      <c r="D154" s="7" t="s">
        <v>466</v>
      </c>
      <c r="E154" s="12">
        <f>HLOOKUP($D$5,'Bourgeoisie investissement'!$E$4:$R$185,148,0)</f>
        <v>0</v>
      </c>
    </row>
    <row r="155" spans="2:5" x14ac:dyDescent="0.25">
      <c r="C155" s="7">
        <v>664</v>
      </c>
      <c r="D155" s="7" t="s">
        <v>467</v>
      </c>
      <c r="E155" s="12">
        <f>HLOOKUP($D$5,'Bourgeoisie investissement'!$E$4:$R$185,149,0)</f>
        <v>0</v>
      </c>
    </row>
    <row r="156" spans="2:5" x14ac:dyDescent="0.25">
      <c r="C156" s="7">
        <v>665</v>
      </c>
      <c r="D156" s="7" t="s">
        <v>468</v>
      </c>
      <c r="E156" s="12">
        <f>HLOOKUP($D$5,'Bourgeoisie investissement'!$E$4:$R$185,150,0)</f>
        <v>0</v>
      </c>
    </row>
    <row r="157" spans="2:5" x14ac:dyDescent="0.25">
      <c r="C157" s="7">
        <v>666</v>
      </c>
      <c r="D157" s="7" t="s">
        <v>469</v>
      </c>
      <c r="E157" s="12">
        <f>HLOOKUP($D$5,'Bourgeoisie investissement'!$E$4:$R$185,151,0)</f>
        <v>0</v>
      </c>
    </row>
    <row r="158" spans="2:5" x14ac:dyDescent="0.25">
      <c r="C158" s="7">
        <v>667</v>
      </c>
      <c r="D158" s="7" t="s">
        <v>470</v>
      </c>
      <c r="E158" s="12">
        <f>HLOOKUP($D$5,'Bourgeoisie investissement'!$E$4:$R$185,152,0)</f>
        <v>0</v>
      </c>
    </row>
    <row r="159" spans="2:5" x14ac:dyDescent="0.25">
      <c r="C159" s="7">
        <v>668</v>
      </c>
      <c r="D159" s="7" t="s">
        <v>471</v>
      </c>
      <c r="E159" s="12">
        <f>HLOOKUP($D$5,'Bourgeoisie investissement'!$E$4:$R$185,153,0)</f>
        <v>0</v>
      </c>
    </row>
    <row r="160" spans="2:5" x14ac:dyDescent="0.25">
      <c r="E160" s="12"/>
    </row>
    <row r="161" spans="2:5" x14ac:dyDescent="0.25">
      <c r="B161" s="128">
        <v>67</v>
      </c>
      <c r="C161" s="128"/>
      <c r="D161" s="128" t="s">
        <v>473</v>
      </c>
      <c r="E161" s="129">
        <f>HLOOKUP($D$5,'Bourgeoisie investissement'!$E$4:$R$185,155,0)</f>
        <v>0</v>
      </c>
    </row>
    <row r="162" spans="2:5" x14ac:dyDescent="0.25">
      <c r="C162" s="7">
        <v>670</v>
      </c>
      <c r="D162" s="7" t="s">
        <v>463</v>
      </c>
      <c r="E162" s="12">
        <f>HLOOKUP($D$5,'Bourgeoisie investissement'!$E$4:$R$185,156,0)</f>
        <v>0</v>
      </c>
    </row>
    <row r="163" spans="2:5" x14ac:dyDescent="0.25">
      <c r="C163" s="7">
        <v>671</v>
      </c>
      <c r="D163" s="7" t="s">
        <v>464</v>
      </c>
      <c r="E163" s="12">
        <f>HLOOKUP($D$5,'Bourgeoisie investissement'!$E$4:$R$185,157,0)</f>
        <v>0</v>
      </c>
    </row>
    <row r="164" spans="2:5" x14ac:dyDescent="0.25">
      <c r="C164" s="7">
        <v>672</v>
      </c>
      <c r="D164" s="7" t="s">
        <v>465</v>
      </c>
      <c r="E164" s="12">
        <f>HLOOKUP($D$5,'Bourgeoisie investissement'!$E$4:$R$185,158,0)</f>
        <v>0</v>
      </c>
    </row>
    <row r="165" spans="2:5" x14ac:dyDescent="0.25">
      <c r="C165" s="7">
        <v>673</v>
      </c>
      <c r="D165" s="7" t="s">
        <v>466</v>
      </c>
      <c r="E165" s="12">
        <f>HLOOKUP($D$5,'Bourgeoisie investissement'!$E$4:$R$185,159,0)</f>
        <v>0</v>
      </c>
    </row>
    <row r="166" spans="2:5" x14ac:dyDescent="0.25">
      <c r="C166" s="7">
        <v>674</v>
      </c>
      <c r="D166" s="7" t="s">
        <v>467</v>
      </c>
      <c r="E166" s="12">
        <f>HLOOKUP($D$5,'Bourgeoisie investissement'!$E$4:$R$185,160,0)</f>
        <v>0</v>
      </c>
    </row>
    <row r="167" spans="2:5" x14ac:dyDescent="0.25">
      <c r="C167" s="7">
        <v>675</v>
      </c>
      <c r="D167" s="7" t="s">
        <v>468</v>
      </c>
      <c r="E167" s="12">
        <f>HLOOKUP($D$5,'Bourgeoisie investissement'!$E$4:$R$185,161,0)</f>
        <v>0</v>
      </c>
    </row>
    <row r="168" spans="2:5" x14ac:dyDescent="0.25">
      <c r="C168" s="7">
        <v>676</v>
      </c>
      <c r="D168" s="7" t="s">
        <v>469</v>
      </c>
      <c r="E168" s="12">
        <f>HLOOKUP($D$5,'Bourgeoisie investissement'!$E$4:$R$185,162,0)</f>
        <v>0</v>
      </c>
    </row>
    <row r="169" spans="2:5" x14ac:dyDescent="0.25">
      <c r="C169" s="7">
        <v>677</v>
      </c>
      <c r="D169" s="7" t="s">
        <v>470</v>
      </c>
      <c r="E169" s="12">
        <f>HLOOKUP($D$5,'Bourgeoisie investissement'!$E$4:$R$185,163,0)</f>
        <v>0</v>
      </c>
    </row>
    <row r="170" spans="2:5" x14ac:dyDescent="0.25">
      <c r="C170" s="7">
        <v>678</v>
      </c>
      <c r="D170" s="7" t="s">
        <v>471</v>
      </c>
      <c r="E170" s="12">
        <f>HLOOKUP($D$5,'Bourgeoisie investissement'!$E$4:$R$185,164,0)</f>
        <v>0</v>
      </c>
    </row>
    <row r="171" spans="2:5" x14ac:dyDescent="0.25">
      <c r="E171" s="12"/>
    </row>
    <row r="172" spans="2:5" x14ac:dyDescent="0.25">
      <c r="B172" s="128">
        <v>68</v>
      </c>
      <c r="C172" s="128"/>
      <c r="D172" s="128" t="s">
        <v>486</v>
      </c>
      <c r="E172" s="129">
        <f>HLOOKUP($D$5,'Bourgeoisie investissement'!$E$4:$R$185,166,0)</f>
        <v>0</v>
      </c>
    </row>
    <row r="173" spans="2:5" x14ac:dyDescent="0.25">
      <c r="C173" s="7">
        <v>680</v>
      </c>
      <c r="D173" s="7" t="s">
        <v>451</v>
      </c>
      <c r="E173" s="12">
        <f>HLOOKUP($D$5,'Bourgeoisie investissement'!$E$4:$R$185,167,0)</f>
        <v>0</v>
      </c>
    </row>
    <row r="174" spans="2:5" x14ac:dyDescent="0.25">
      <c r="C174" s="7">
        <v>682</v>
      </c>
      <c r="D174" s="7" t="s">
        <v>461</v>
      </c>
      <c r="E174" s="12">
        <f>HLOOKUP($D$5,'Bourgeoisie investissement'!$E$4:$R$185,168,0)</f>
        <v>0</v>
      </c>
    </row>
    <row r="175" spans="2:5" x14ac:dyDescent="0.25">
      <c r="C175" s="7">
        <v>683</v>
      </c>
      <c r="D175" s="7" t="s">
        <v>487</v>
      </c>
      <c r="E175" s="12">
        <f>HLOOKUP($D$5,'Bourgeoisie investissement'!$E$4:$R$185,169,0)</f>
        <v>0</v>
      </c>
    </row>
    <row r="176" spans="2:5" x14ac:dyDescent="0.25">
      <c r="C176" s="7">
        <v>684</v>
      </c>
      <c r="D176" s="7" t="s">
        <v>249</v>
      </c>
      <c r="E176" s="12">
        <f>HLOOKUP($D$5,'Bourgeoisie investissement'!$E$4:$R$185,170,0)</f>
        <v>0</v>
      </c>
    </row>
    <row r="177" spans="2:5" x14ac:dyDescent="0.25">
      <c r="C177" s="7">
        <v>685</v>
      </c>
      <c r="D177" s="7" t="s">
        <v>376</v>
      </c>
      <c r="E177" s="12">
        <f>HLOOKUP($D$5,'Bourgeoisie investissement'!$E$4:$R$185,171,0)</f>
        <v>0</v>
      </c>
    </row>
    <row r="178" spans="2:5" x14ac:dyDescent="0.25">
      <c r="C178" s="7">
        <v>686</v>
      </c>
      <c r="D178" s="7" t="s">
        <v>488</v>
      </c>
      <c r="E178" s="12">
        <f>HLOOKUP($D$5,'Bourgeoisie investissement'!$E$4:$R$185,172,0)</f>
        <v>0</v>
      </c>
    </row>
    <row r="179" spans="2:5" x14ac:dyDescent="0.25">
      <c r="C179" s="7">
        <v>689</v>
      </c>
      <c r="D179" s="7" t="s">
        <v>489</v>
      </c>
      <c r="E179" s="12">
        <f>HLOOKUP($D$5,'Bourgeoisie investissement'!$E$4:$R$185,173,0)</f>
        <v>0</v>
      </c>
    </row>
    <row r="180" spans="2:5" x14ac:dyDescent="0.25">
      <c r="E180" s="12"/>
    </row>
    <row r="181" spans="2:5" x14ac:dyDescent="0.25">
      <c r="B181" s="128">
        <v>69</v>
      </c>
      <c r="C181" s="128"/>
      <c r="D181" s="128" t="s">
        <v>490</v>
      </c>
      <c r="E181" s="129">
        <f>HLOOKUP($D$5,'Bourgeoisie investissement'!$E$4:$R$185,175,0)</f>
        <v>141259.65</v>
      </c>
    </row>
    <row r="182" spans="2:5" x14ac:dyDescent="0.25">
      <c r="C182" s="7">
        <v>690</v>
      </c>
      <c r="D182" s="7" t="s">
        <v>490</v>
      </c>
      <c r="E182" s="12">
        <f>HLOOKUP($D$5,'Bourgeoisie investissement'!$E$4:$R$185,176,0)</f>
        <v>141259.65</v>
      </c>
    </row>
    <row r="183" spans="2:5" x14ac:dyDescent="0.25">
      <c r="E183" s="12"/>
    </row>
    <row r="184" spans="2:5" x14ac:dyDescent="0.25">
      <c r="E184" s="12"/>
    </row>
    <row r="185" spans="2:5" x14ac:dyDescent="0.25">
      <c r="E185" s="12"/>
    </row>
    <row r="186" spans="2:5" ht="17.399999999999999" x14ac:dyDescent="0.3">
      <c r="D186" s="134" t="s">
        <v>220</v>
      </c>
      <c r="E186" s="135">
        <f>HLOOKUP($D$5,'Bourgeoisie investissement'!$E$4:$R$185,180,0)</f>
        <v>73749.799999999988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200-000000000000}">
          <x14:formula1>
            <xm:f>'Bourgeoisie investissement'!$E$4:$R$4</xm:f>
          </x14:formula1>
          <xm:sqref>D5</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FF0000"/>
  </sheetPr>
  <dimension ref="A2:AG170"/>
  <sheetViews>
    <sheetView zoomScaleNormal="100" workbookViewId="0">
      <pane xSplit="4" ySplit="4" topLeftCell="E5" activePane="bottomRight" state="frozen"/>
      <selection pane="topRight" activeCell="E1" sqref="E1"/>
      <selection pane="bottomLeft" activeCell="A4" sqref="A4"/>
      <selection pane="bottomRight" activeCell="E5" sqref="E5"/>
    </sheetView>
  </sheetViews>
  <sheetFormatPr baseColWidth="10" defaultColWidth="11.44140625" defaultRowHeight="13.8" x14ac:dyDescent="0.25"/>
  <cols>
    <col min="1" max="2" width="5.6640625" style="7" customWidth="1"/>
    <col min="3" max="3" width="9" style="7" customWidth="1"/>
    <col min="4" max="4" width="63.5546875" style="7" customWidth="1"/>
    <col min="5" max="32" width="16.33203125" style="7" customWidth="1"/>
    <col min="33" max="16384" width="11.44140625" style="7"/>
  </cols>
  <sheetData>
    <row r="2" spans="1:33" ht="21" x14ac:dyDescent="0.4">
      <c r="A2" s="79" t="s">
        <v>827</v>
      </c>
      <c r="B2" s="6"/>
      <c r="C2" s="6"/>
      <c r="D2" s="6"/>
    </row>
    <row r="3" spans="1:33" ht="21" x14ac:dyDescent="0.4">
      <c r="A3" s="79" t="s">
        <v>732</v>
      </c>
      <c r="E3" s="8">
        <v>1</v>
      </c>
      <c r="F3" s="8">
        <v>2</v>
      </c>
      <c r="G3" s="8">
        <v>3</v>
      </c>
      <c r="H3" s="8">
        <v>4</v>
      </c>
      <c r="I3" s="8">
        <v>5</v>
      </c>
      <c r="J3" s="8">
        <v>6</v>
      </c>
      <c r="K3" s="8">
        <v>7</v>
      </c>
      <c r="L3" s="8">
        <v>8</v>
      </c>
      <c r="M3" s="8">
        <v>9</v>
      </c>
      <c r="N3" s="8">
        <v>10</v>
      </c>
      <c r="O3" s="8">
        <v>11</v>
      </c>
      <c r="P3" s="8">
        <v>12</v>
      </c>
      <c r="Q3" s="8">
        <v>13</v>
      </c>
      <c r="R3" s="8">
        <v>14</v>
      </c>
      <c r="S3" s="8">
        <v>15</v>
      </c>
      <c r="T3" s="8">
        <v>16</v>
      </c>
      <c r="U3" s="8">
        <v>17</v>
      </c>
      <c r="V3" s="8">
        <v>18</v>
      </c>
      <c r="W3" s="8">
        <v>19</v>
      </c>
      <c r="X3" s="8">
        <v>20</v>
      </c>
      <c r="Y3" s="8">
        <v>21</v>
      </c>
      <c r="Z3" s="8">
        <v>22</v>
      </c>
      <c r="AA3" s="8">
        <v>23</v>
      </c>
      <c r="AB3" s="8">
        <v>24</v>
      </c>
      <c r="AC3" s="8">
        <v>25</v>
      </c>
      <c r="AD3" s="8">
        <v>26</v>
      </c>
      <c r="AE3" s="8">
        <v>27</v>
      </c>
      <c r="AF3" s="8"/>
    </row>
    <row r="4" spans="1:33" x14ac:dyDescent="0.25">
      <c r="E4" s="81" t="s">
        <v>786</v>
      </c>
      <c r="F4" s="81" t="s">
        <v>787</v>
      </c>
      <c r="G4" s="81" t="s">
        <v>788</v>
      </c>
      <c r="H4" s="81" t="s">
        <v>789</v>
      </c>
      <c r="I4" s="81" t="s">
        <v>790</v>
      </c>
      <c r="J4" s="81" t="s">
        <v>791</v>
      </c>
      <c r="K4" s="81" t="s">
        <v>792</v>
      </c>
      <c r="L4" s="81" t="s">
        <v>815</v>
      </c>
      <c r="M4" s="81" t="s">
        <v>793</v>
      </c>
      <c r="N4" s="81" t="s">
        <v>794</v>
      </c>
      <c r="O4" s="81" t="s">
        <v>795</v>
      </c>
      <c r="P4" s="81" t="s">
        <v>796</v>
      </c>
      <c r="Q4" s="81" t="s">
        <v>797</v>
      </c>
      <c r="R4" s="81" t="s">
        <v>798</v>
      </c>
      <c r="S4" s="81" t="s">
        <v>799</v>
      </c>
      <c r="T4" s="81" t="s">
        <v>800</v>
      </c>
      <c r="U4" s="81" t="s">
        <v>801</v>
      </c>
      <c r="V4" s="81" t="s">
        <v>802</v>
      </c>
      <c r="W4" s="81" t="s">
        <v>803</v>
      </c>
      <c r="X4" s="81" t="s">
        <v>804</v>
      </c>
      <c r="Y4" s="81" t="s">
        <v>805</v>
      </c>
      <c r="Z4" s="81" t="s">
        <v>806</v>
      </c>
      <c r="AA4" s="81" t="s">
        <v>807</v>
      </c>
      <c r="AB4" s="81" t="s">
        <v>808</v>
      </c>
      <c r="AC4" s="81" t="s">
        <v>809</v>
      </c>
      <c r="AD4" s="81" t="s">
        <v>810</v>
      </c>
      <c r="AE4" s="81" t="s">
        <v>811</v>
      </c>
      <c r="AF4" s="81" t="s">
        <v>65</v>
      </c>
      <c r="AG4" s="7">
        <v>1</v>
      </c>
    </row>
    <row r="5" spans="1:33" ht="21" x14ac:dyDescent="0.4">
      <c r="A5" s="10">
        <v>3</v>
      </c>
      <c r="B5" s="10"/>
      <c r="C5" s="10"/>
      <c r="D5" s="10" t="s">
        <v>60</v>
      </c>
      <c r="E5" s="11">
        <f>E6+E16+E28+E32+E40+E44+E54+E57+E65</f>
        <v>734928.75</v>
      </c>
      <c r="F5" s="11">
        <f t="shared" ref="F5:AF5" si="0">F6+F16+F28+F32+F40+F44+F54+F57+F65</f>
        <v>5822341.0700000003</v>
      </c>
      <c r="G5" s="11">
        <f t="shared" si="0"/>
        <v>50298.15</v>
      </c>
      <c r="H5" s="11">
        <f t="shared" si="0"/>
        <v>7982975.5200000005</v>
      </c>
      <c r="I5" s="11">
        <f t="shared" si="0"/>
        <v>0</v>
      </c>
      <c r="J5" s="11">
        <f t="shared" si="0"/>
        <v>1120976.3500000001</v>
      </c>
      <c r="K5" s="11">
        <f t="shared" si="0"/>
        <v>2285910.61</v>
      </c>
      <c r="L5" s="11">
        <f t="shared" si="0"/>
        <v>576522.29</v>
      </c>
      <c r="M5" s="11">
        <f t="shared" si="0"/>
        <v>330256.54000000004</v>
      </c>
      <c r="N5" s="11">
        <f t="shared" si="0"/>
        <v>270834.63</v>
      </c>
      <c r="O5" s="11">
        <f t="shared" si="0"/>
        <v>2340320.69</v>
      </c>
      <c r="P5" s="11">
        <f t="shared" si="0"/>
        <v>13120.85</v>
      </c>
      <c r="Q5" s="11">
        <f t="shared" si="0"/>
        <v>7715.36</v>
      </c>
      <c r="R5" s="11">
        <f t="shared" si="0"/>
        <v>52007.53</v>
      </c>
      <c r="S5" s="11">
        <f t="shared" si="0"/>
        <v>0</v>
      </c>
      <c r="T5" s="11">
        <f t="shared" si="0"/>
        <v>0</v>
      </c>
      <c r="U5" s="11">
        <f t="shared" si="0"/>
        <v>0</v>
      </c>
      <c r="V5" s="11">
        <f t="shared" si="0"/>
        <v>645199.47</v>
      </c>
      <c r="W5" s="11">
        <f t="shared" si="0"/>
        <v>0</v>
      </c>
      <c r="X5" s="11">
        <f t="shared" si="0"/>
        <v>822608.46</v>
      </c>
      <c r="Y5" s="11">
        <f t="shared" si="0"/>
        <v>5532844.9700000007</v>
      </c>
      <c r="Z5" s="11">
        <f t="shared" si="0"/>
        <v>352383.79</v>
      </c>
      <c r="AA5" s="11">
        <f t="shared" si="0"/>
        <v>1691547.51</v>
      </c>
      <c r="AB5" s="11">
        <f t="shared" si="0"/>
        <v>224938.55</v>
      </c>
      <c r="AC5" s="11">
        <f t="shared" si="0"/>
        <v>0</v>
      </c>
      <c r="AD5" s="11">
        <f t="shared" si="0"/>
        <v>3284618.4799999995</v>
      </c>
      <c r="AE5" s="11">
        <f t="shared" si="0"/>
        <v>223465.34999999998</v>
      </c>
      <c r="AF5" s="11">
        <f t="shared" si="0"/>
        <v>34365814.920000002</v>
      </c>
      <c r="AG5" s="7">
        <v>2</v>
      </c>
    </row>
    <row r="6" spans="1:33" x14ac:dyDescent="0.25">
      <c r="A6" s="66"/>
      <c r="B6" s="66">
        <v>30</v>
      </c>
      <c r="C6" s="66"/>
      <c r="D6" s="66" t="s">
        <v>61</v>
      </c>
      <c r="E6" s="67">
        <f>E7+E8+E9+E10+E11+E12+E13+E14</f>
        <v>208473.05</v>
      </c>
      <c r="F6" s="67">
        <f t="shared" ref="F6:AF6" si="1">F7+F8+F9+F10+F11+F12+F13+F14</f>
        <v>617078.85</v>
      </c>
      <c r="G6" s="67">
        <f t="shared" si="1"/>
        <v>14777.75</v>
      </c>
      <c r="H6" s="67">
        <f t="shared" si="1"/>
        <v>533481.20000000007</v>
      </c>
      <c r="I6" s="67">
        <f t="shared" si="1"/>
        <v>0</v>
      </c>
      <c r="J6" s="67">
        <f t="shared" si="1"/>
        <v>188328.90000000002</v>
      </c>
      <c r="K6" s="67">
        <f t="shared" si="1"/>
        <v>520506.05000000005</v>
      </c>
      <c r="L6" s="67">
        <f t="shared" si="1"/>
        <v>145496.09999999998</v>
      </c>
      <c r="M6" s="67">
        <f t="shared" si="1"/>
        <v>62479.05</v>
      </c>
      <c r="N6" s="67">
        <f t="shared" si="1"/>
        <v>12082.650000000001</v>
      </c>
      <c r="O6" s="67">
        <f t="shared" si="1"/>
        <v>550274.45000000007</v>
      </c>
      <c r="P6" s="67">
        <f t="shared" si="1"/>
        <v>1570</v>
      </c>
      <c r="Q6" s="67">
        <f t="shared" si="1"/>
        <v>2185</v>
      </c>
      <c r="R6" s="67">
        <f t="shared" si="1"/>
        <v>24723.35</v>
      </c>
      <c r="S6" s="67">
        <f t="shared" si="1"/>
        <v>0</v>
      </c>
      <c r="T6" s="67">
        <f t="shared" si="1"/>
        <v>0</v>
      </c>
      <c r="U6" s="67">
        <f t="shared" si="1"/>
        <v>0</v>
      </c>
      <c r="V6" s="67">
        <f t="shared" si="1"/>
        <v>104543.80000000002</v>
      </c>
      <c r="W6" s="67">
        <f t="shared" si="1"/>
        <v>0</v>
      </c>
      <c r="X6" s="67">
        <f t="shared" si="1"/>
        <v>90746.2</v>
      </c>
      <c r="Y6" s="67">
        <f t="shared" si="1"/>
        <v>1185665.52</v>
      </c>
      <c r="Z6" s="67">
        <f t="shared" si="1"/>
        <v>45065.950000000004</v>
      </c>
      <c r="AA6" s="67">
        <f t="shared" si="1"/>
        <v>381344.05</v>
      </c>
      <c r="AB6" s="67">
        <f t="shared" si="1"/>
        <v>42142.65</v>
      </c>
      <c r="AC6" s="67">
        <f t="shared" si="1"/>
        <v>0</v>
      </c>
      <c r="AD6" s="67">
        <f t="shared" si="1"/>
        <v>666546.39999999991</v>
      </c>
      <c r="AE6" s="67">
        <f t="shared" si="1"/>
        <v>30465.95</v>
      </c>
      <c r="AF6" s="67">
        <f t="shared" si="1"/>
        <v>5427976.9200000009</v>
      </c>
      <c r="AG6" s="7">
        <v>3</v>
      </c>
    </row>
    <row r="7" spans="1:33" x14ac:dyDescent="0.25">
      <c r="C7" s="7">
        <v>300</v>
      </c>
      <c r="D7" s="7" t="s">
        <v>80</v>
      </c>
      <c r="E7" s="12">
        <v>10160</v>
      </c>
      <c r="F7" s="12">
        <v>19200</v>
      </c>
      <c r="G7" s="12">
        <v>1250</v>
      </c>
      <c r="H7" s="12">
        <v>32910.5</v>
      </c>
      <c r="I7" s="12"/>
      <c r="J7" s="12">
        <v>5172</v>
      </c>
      <c r="K7" s="12">
        <v>10200</v>
      </c>
      <c r="L7" s="12">
        <v>15222.9</v>
      </c>
      <c r="M7" s="12">
        <v>5625</v>
      </c>
      <c r="N7" s="12">
        <v>10947.2</v>
      </c>
      <c r="O7" s="12">
        <v>6400</v>
      </c>
      <c r="P7" s="12">
        <v>1570</v>
      </c>
      <c r="Q7" s="12">
        <v>250</v>
      </c>
      <c r="R7" s="12">
        <v>510</v>
      </c>
      <c r="S7" s="12"/>
      <c r="T7" s="12"/>
      <c r="U7" s="12"/>
      <c r="V7" s="12">
        <v>2170</v>
      </c>
      <c r="W7" s="12"/>
      <c r="X7" s="12">
        <v>24561.599999999999</v>
      </c>
      <c r="Y7" s="12">
        <v>49020</v>
      </c>
      <c r="Z7" s="12">
        <v>9259</v>
      </c>
      <c r="AA7" s="12">
        <v>21724.1</v>
      </c>
      <c r="AB7" s="12">
        <v>9211.75</v>
      </c>
      <c r="AC7" s="12"/>
      <c r="AD7" s="12">
        <v>4866.6000000000004</v>
      </c>
      <c r="AE7" s="12">
        <v>1995</v>
      </c>
      <c r="AF7" s="12">
        <f t="shared" ref="AF7:AF14" si="2">SUM(E7:AE7)</f>
        <v>242225.65</v>
      </c>
      <c r="AG7" s="7">
        <v>4</v>
      </c>
    </row>
    <row r="8" spans="1:33" x14ac:dyDescent="0.25">
      <c r="C8" s="7">
        <v>301</v>
      </c>
      <c r="D8" s="7" t="s">
        <v>81</v>
      </c>
      <c r="E8" s="12">
        <v>159766.79999999999</v>
      </c>
      <c r="F8" s="12">
        <v>446234.4</v>
      </c>
      <c r="G8" s="12">
        <v>12700</v>
      </c>
      <c r="H8" s="12">
        <v>337658.15</v>
      </c>
      <c r="I8" s="12"/>
      <c r="J8" s="12">
        <v>158381.95000000001</v>
      </c>
      <c r="K8" s="12">
        <v>431178.2</v>
      </c>
      <c r="L8" s="12">
        <v>105721.2</v>
      </c>
      <c r="M8" s="12">
        <v>46330.8</v>
      </c>
      <c r="N8" s="12">
        <v>0</v>
      </c>
      <c r="O8" s="12">
        <v>439223.4</v>
      </c>
      <c r="P8" s="12">
        <v>0</v>
      </c>
      <c r="Q8" s="12">
        <v>1935</v>
      </c>
      <c r="R8" s="12">
        <v>21522</v>
      </c>
      <c r="S8" s="12"/>
      <c r="T8" s="12"/>
      <c r="U8" s="12"/>
      <c r="V8" s="12">
        <v>82141.850000000006</v>
      </c>
      <c r="W8" s="12"/>
      <c r="X8" s="12">
        <v>59900.6</v>
      </c>
      <c r="Y8" s="12">
        <v>928775.9</v>
      </c>
      <c r="Z8" s="12">
        <v>31900.400000000001</v>
      </c>
      <c r="AA8" s="12">
        <v>298856.65000000002</v>
      </c>
      <c r="AB8" s="12">
        <v>27953.5</v>
      </c>
      <c r="AC8" s="12"/>
      <c r="AD8" s="12">
        <v>525242.44999999995</v>
      </c>
      <c r="AE8" s="12">
        <v>23135</v>
      </c>
      <c r="AF8" s="12">
        <f t="shared" si="2"/>
        <v>4138558.25</v>
      </c>
      <c r="AG8" s="7">
        <v>5</v>
      </c>
    </row>
    <row r="9" spans="1:33" x14ac:dyDescent="0.25">
      <c r="C9" s="7">
        <v>302</v>
      </c>
      <c r="D9" s="7" t="s">
        <v>82</v>
      </c>
      <c r="E9" s="12">
        <v>0</v>
      </c>
      <c r="F9" s="12">
        <v>0</v>
      </c>
      <c r="G9" s="12">
        <v>0</v>
      </c>
      <c r="H9" s="12">
        <v>0</v>
      </c>
      <c r="I9" s="12"/>
      <c r="J9" s="12">
        <v>0</v>
      </c>
      <c r="K9" s="12">
        <v>0</v>
      </c>
      <c r="L9" s="12">
        <v>0</v>
      </c>
      <c r="M9" s="12">
        <v>0</v>
      </c>
      <c r="N9" s="12">
        <v>0</v>
      </c>
      <c r="O9" s="12">
        <v>0</v>
      </c>
      <c r="P9" s="12">
        <v>0</v>
      </c>
      <c r="Q9" s="12">
        <v>0</v>
      </c>
      <c r="R9" s="12">
        <v>0</v>
      </c>
      <c r="S9" s="12"/>
      <c r="T9" s="12"/>
      <c r="U9" s="12"/>
      <c r="V9" s="12">
        <v>0</v>
      </c>
      <c r="W9" s="12"/>
      <c r="X9" s="12">
        <v>0</v>
      </c>
      <c r="Y9" s="12">
        <v>0</v>
      </c>
      <c r="Z9" s="12">
        <v>0</v>
      </c>
      <c r="AA9" s="12">
        <v>0</v>
      </c>
      <c r="AB9" s="12">
        <v>0</v>
      </c>
      <c r="AC9" s="12"/>
      <c r="AD9" s="12">
        <v>0</v>
      </c>
      <c r="AE9" s="12">
        <v>0</v>
      </c>
      <c r="AF9" s="12">
        <f t="shared" si="2"/>
        <v>0</v>
      </c>
      <c r="AG9" s="7">
        <v>6</v>
      </c>
    </row>
    <row r="10" spans="1:33" x14ac:dyDescent="0.25">
      <c r="C10" s="7">
        <v>303</v>
      </c>
      <c r="D10" s="7" t="s">
        <v>83</v>
      </c>
      <c r="E10" s="12">
        <v>0</v>
      </c>
      <c r="F10" s="12">
        <v>0</v>
      </c>
      <c r="G10" s="12">
        <v>0</v>
      </c>
      <c r="H10" s="12">
        <v>54593.65</v>
      </c>
      <c r="I10" s="12"/>
      <c r="J10" s="12">
        <v>0</v>
      </c>
      <c r="K10" s="12">
        <v>0</v>
      </c>
      <c r="L10" s="12">
        <v>0</v>
      </c>
      <c r="M10" s="12">
        <v>0</v>
      </c>
      <c r="N10" s="12">
        <v>0</v>
      </c>
      <c r="O10" s="12">
        <v>0</v>
      </c>
      <c r="P10" s="12">
        <v>0</v>
      </c>
      <c r="Q10" s="12">
        <v>0</v>
      </c>
      <c r="R10" s="12">
        <v>0</v>
      </c>
      <c r="S10" s="12"/>
      <c r="T10" s="12"/>
      <c r="U10" s="12"/>
      <c r="V10" s="12">
        <v>0</v>
      </c>
      <c r="W10" s="12"/>
      <c r="X10" s="12">
        <v>0</v>
      </c>
      <c r="Y10" s="12">
        <v>0</v>
      </c>
      <c r="Z10" s="12">
        <v>0</v>
      </c>
      <c r="AA10" s="12">
        <v>0</v>
      </c>
      <c r="AB10" s="12">
        <v>0</v>
      </c>
      <c r="AC10" s="12"/>
      <c r="AD10" s="12">
        <v>0</v>
      </c>
      <c r="AE10" s="12">
        <v>0</v>
      </c>
      <c r="AF10" s="12">
        <f t="shared" si="2"/>
        <v>54593.65</v>
      </c>
      <c r="AG10" s="7">
        <v>7</v>
      </c>
    </row>
    <row r="11" spans="1:33" x14ac:dyDescent="0.25">
      <c r="C11" s="7">
        <v>304</v>
      </c>
      <c r="D11" s="7" t="s">
        <v>578</v>
      </c>
      <c r="E11" s="12">
        <v>0</v>
      </c>
      <c r="F11" s="12">
        <v>0</v>
      </c>
      <c r="G11" s="12">
        <v>0</v>
      </c>
      <c r="H11" s="12">
        <v>0</v>
      </c>
      <c r="I11" s="12"/>
      <c r="J11" s="12">
        <v>0</v>
      </c>
      <c r="K11" s="12">
        <v>0</v>
      </c>
      <c r="L11" s="12">
        <v>0</v>
      </c>
      <c r="M11" s="12">
        <v>0</v>
      </c>
      <c r="N11" s="12">
        <v>0</v>
      </c>
      <c r="O11" s="12">
        <v>9850</v>
      </c>
      <c r="P11" s="12">
        <v>0</v>
      </c>
      <c r="Q11" s="12">
        <v>0</v>
      </c>
      <c r="R11" s="12">
        <v>0</v>
      </c>
      <c r="S11" s="12"/>
      <c r="T11" s="12"/>
      <c r="U11" s="12"/>
      <c r="V11" s="12">
        <v>0</v>
      </c>
      <c r="W11" s="12"/>
      <c r="X11" s="12">
        <v>0</v>
      </c>
      <c r="Y11" s="12">
        <v>0</v>
      </c>
      <c r="Z11" s="12">
        <v>0</v>
      </c>
      <c r="AA11" s="12">
        <v>0</v>
      </c>
      <c r="AB11" s="12">
        <v>0</v>
      </c>
      <c r="AC11" s="12"/>
      <c r="AD11" s="12">
        <v>0</v>
      </c>
      <c r="AE11" s="12">
        <v>0</v>
      </c>
      <c r="AF11" s="12">
        <f t="shared" si="2"/>
        <v>9850</v>
      </c>
      <c r="AG11" s="7">
        <v>8</v>
      </c>
    </row>
    <row r="12" spans="1:33" x14ac:dyDescent="0.25">
      <c r="C12" s="7">
        <v>305</v>
      </c>
      <c r="D12" s="7" t="s">
        <v>84</v>
      </c>
      <c r="E12" s="12">
        <v>31681.1</v>
      </c>
      <c r="F12" s="12">
        <v>133698.54999999999</v>
      </c>
      <c r="G12" s="12">
        <v>374.6</v>
      </c>
      <c r="H12" s="12">
        <v>97139.15</v>
      </c>
      <c r="I12" s="12"/>
      <c r="J12" s="12">
        <v>22406.1</v>
      </c>
      <c r="K12" s="12">
        <v>79127.850000000006</v>
      </c>
      <c r="L12" s="12">
        <v>22990.85</v>
      </c>
      <c r="M12" s="12">
        <v>6571.7</v>
      </c>
      <c r="N12" s="12">
        <v>464.45</v>
      </c>
      <c r="O12" s="12">
        <v>92341.05</v>
      </c>
      <c r="P12" s="12">
        <v>0</v>
      </c>
      <c r="Q12" s="12">
        <v>0</v>
      </c>
      <c r="R12" s="12">
        <v>2691.35</v>
      </c>
      <c r="S12" s="12"/>
      <c r="T12" s="12"/>
      <c r="U12" s="12"/>
      <c r="V12" s="12">
        <v>19408.849999999999</v>
      </c>
      <c r="W12" s="12"/>
      <c r="X12" s="12">
        <v>6284</v>
      </c>
      <c r="Y12" s="12">
        <v>186849.22</v>
      </c>
      <c r="Z12" s="12">
        <v>2720.65</v>
      </c>
      <c r="AA12" s="12">
        <v>60583.3</v>
      </c>
      <c r="AB12" s="12">
        <v>4584.3999999999996</v>
      </c>
      <c r="AC12" s="12"/>
      <c r="AD12" s="12">
        <v>116000.35</v>
      </c>
      <c r="AE12" s="12">
        <v>3310.55</v>
      </c>
      <c r="AF12" s="12">
        <f t="shared" si="2"/>
        <v>889228.07000000007</v>
      </c>
      <c r="AG12" s="7">
        <v>9</v>
      </c>
    </row>
    <row r="13" spans="1:33" x14ac:dyDescent="0.25">
      <c r="C13" s="7">
        <v>306</v>
      </c>
      <c r="D13" s="7" t="s">
        <v>85</v>
      </c>
      <c r="E13" s="12">
        <v>0</v>
      </c>
      <c r="F13" s="12">
        <v>0</v>
      </c>
      <c r="G13" s="12">
        <v>0</v>
      </c>
      <c r="H13" s="12">
        <v>0</v>
      </c>
      <c r="I13" s="12"/>
      <c r="J13" s="12">
        <v>2368.85</v>
      </c>
      <c r="K13" s="12">
        <v>0</v>
      </c>
      <c r="L13" s="12">
        <v>0</v>
      </c>
      <c r="M13" s="12">
        <v>0</v>
      </c>
      <c r="N13" s="12">
        <v>0</v>
      </c>
      <c r="O13" s="12">
        <v>0</v>
      </c>
      <c r="P13" s="12">
        <v>0</v>
      </c>
      <c r="Q13" s="12">
        <v>0</v>
      </c>
      <c r="R13" s="12">
        <v>0</v>
      </c>
      <c r="S13" s="12"/>
      <c r="T13" s="12"/>
      <c r="U13" s="12"/>
      <c r="V13" s="12">
        <v>0</v>
      </c>
      <c r="W13" s="12"/>
      <c r="X13" s="12">
        <v>0</v>
      </c>
      <c r="Y13" s="12">
        <v>5490</v>
      </c>
      <c r="Z13" s="12">
        <v>0</v>
      </c>
      <c r="AA13" s="12">
        <v>0</v>
      </c>
      <c r="AB13" s="12">
        <v>0</v>
      </c>
      <c r="AC13" s="12"/>
      <c r="AD13" s="12">
        <v>0</v>
      </c>
      <c r="AE13" s="12">
        <v>0</v>
      </c>
      <c r="AF13" s="12">
        <f t="shared" si="2"/>
        <v>7858.85</v>
      </c>
      <c r="AG13" s="7">
        <v>10</v>
      </c>
    </row>
    <row r="14" spans="1:33" x14ac:dyDescent="0.25">
      <c r="C14" s="7">
        <v>309</v>
      </c>
      <c r="D14" s="7" t="s">
        <v>86</v>
      </c>
      <c r="E14" s="12">
        <v>6865.15</v>
      </c>
      <c r="F14" s="12">
        <v>17945.900000000001</v>
      </c>
      <c r="G14" s="12">
        <v>453.15</v>
      </c>
      <c r="H14" s="12">
        <v>11179.75</v>
      </c>
      <c r="I14" s="12"/>
      <c r="J14" s="12">
        <v>0</v>
      </c>
      <c r="K14" s="12">
        <v>0</v>
      </c>
      <c r="L14" s="12">
        <v>1561.15</v>
      </c>
      <c r="M14" s="12">
        <v>3951.55</v>
      </c>
      <c r="N14" s="12">
        <v>671</v>
      </c>
      <c r="O14" s="12">
        <v>2460</v>
      </c>
      <c r="P14" s="12">
        <v>0</v>
      </c>
      <c r="Q14" s="12">
        <v>0</v>
      </c>
      <c r="R14" s="12">
        <v>0</v>
      </c>
      <c r="S14" s="12"/>
      <c r="T14" s="12"/>
      <c r="U14" s="12"/>
      <c r="V14" s="12">
        <v>823.1</v>
      </c>
      <c r="W14" s="12"/>
      <c r="X14" s="12">
        <v>0</v>
      </c>
      <c r="Y14" s="12">
        <v>15530.4</v>
      </c>
      <c r="Z14" s="12">
        <v>1185.9000000000001</v>
      </c>
      <c r="AA14" s="12">
        <v>180</v>
      </c>
      <c r="AB14" s="12">
        <v>393</v>
      </c>
      <c r="AC14" s="12"/>
      <c r="AD14" s="12">
        <v>20437</v>
      </c>
      <c r="AE14" s="12">
        <v>2025.4</v>
      </c>
      <c r="AF14" s="12">
        <f t="shared" si="2"/>
        <v>85662.450000000012</v>
      </c>
      <c r="AG14" s="7">
        <v>11</v>
      </c>
    </row>
    <row r="15" spans="1:33" x14ac:dyDescent="0.25">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7">
        <v>12</v>
      </c>
    </row>
    <row r="16" spans="1:33" x14ac:dyDescent="0.25">
      <c r="B16" s="66">
        <v>31</v>
      </c>
      <c r="C16" s="66"/>
      <c r="D16" s="66" t="s">
        <v>87</v>
      </c>
      <c r="E16" s="67">
        <f>E17+E18+E19+E20+E21+E22+E23+E24+E25+E26</f>
        <v>447652.31</v>
      </c>
      <c r="F16" s="67">
        <f t="shared" ref="F16:AF16" si="3">F17+F18+F19+F20+F21+F22+F23+F24+F25+F26</f>
        <v>992520.62</v>
      </c>
      <c r="G16" s="67">
        <f t="shared" si="3"/>
        <v>15220.400000000001</v>
      </c>
      <c r="H16" s="67">
        <f t="shared" si="3"/>
        <v>3958047.3200000003</v>
      </c>
      <c r="I16" s="67">
        <f t="shared" si="3"/>
        <v>0</v>
      </c>
      <c r="J16" s="67">
        <f t="shared" si="3"/>
        <v>513084.61000000004</v>
      </c>
      <c r="K16" s="67">
        <f t="shared" si="3"/>
        <v>1158808.96</v>
      </c>
      <c r="L16" s="67">
        <f t="shared" si="3"/>
        <v>194126.88999999998</v>
      </c>
      <c r="M16" s="67">
        <f t="shared" si="3"/>
        <v>267532.29000000004</v>
      </c>
      <c r="N16" s="67">
        <f t="shared" si="3"/>
        <v>250751.98</v>
      </c>
      <c r="O16" s="67">
        <f t="shared" si="3"/>
        <v>1314393.3399999999</v>
      </c>
      <c r="P16" s="67">
        <f t="shared" si="3"/>
        <v>11550.85</v>
      </c>
      <c r="Q16" s="67">
        <f t="shared" si="3"/>
        <v>2619.6600000000003</v>
      </c>
      <c r="R16" s="67">
        <f t="shared" si="3"/>
        <v>27284.18</v>
      </c>
      <c r="S16" s="67">
        <f t="shared" si="3"/>
        <v>0</v>
      </c>
      <c r="T16" s="67">
        <f t="shared" si="3"/>
        <v>0</v>
      </c>
      <c r="U16" s="67">
        <f t="shared" si="3"/>
        <v>0</v>
      </c>
      <c r="V16" s="67">
        <f t="shared" si="3"/>
        <v>262216.98</v>
      </c>
      <c r="W16" s="67">
        <f t="shared" si="3"/>
        <v>0</v>
      </c>
      <c r="X16" s="67">
        <f t="shared" si="3"/>
        <v>353294.57</v>
      </c>
      <c r="Y16" s="67">
        <f t="shared" si="3"/>
        <v>3036959.2700000009</v>
      </c>
      <c r="Z16" s="67">
        <f t="shared" si="3"/>
        <v>181448.64</v>
      </c>
      <c r="AA16" s="67">
        <f t="shared" si="3"/>
        <v>550749.17000000004</v>
      </c>
      <c r="AB16" s="67">
        <f t="shared" si="3"/>
        <v>172265.9</v>
      </c>
      <c r="AC16" s="67">
        <f t="shared" si="3"/>
        <v>0</v>
      </c>
      <c r="AD16" s="67">
        <f t="shared" si="3"/>
        <v>2185189.2399999998</v>
      </c>
      <c r="AE16" s="67">
        <f t="shared" si="3"/>
        <v>94775.599999999991</v>
      </c>
      <c r="AF16" s="67">
        <f t="shared" si="3"/>
        <v>15990492.779999999</v>
      </c>
      <c r="AG16" s="7">
        <v>13</v>
      </c>
    </row>
    <row r="17" spans="2:33" x14ac:dyDescent="0.25">
      <c r="C17" s="7">
        <v>310</v>
      </c>
      <c r="D17" s="7" t="s">
        <v>88</v>
      </c>
      <c r="E17" s="12">
        <v>132603.70000000001</v>
      </c>
      <c r="F17" s="12">
        <v>321247</v>
      </c>
      <c r="G17" s="12">
        <v>233.95</v>
      </c>
      <c r="H17" s="12">
        <v>65434.05</v>
      </c>
      <c r="I17" s="12"/>
      <c r="J17" s="12">
        <v>139944.59</v>
      </c>
      <c r="K17" s="12">
        <v>332435.09999999998</v>
      </c>
      <c r="L17" s="12">
        <v>5893</v>
      </c>
      <c r="M17" s="12">
        <v>81149.14</v>
      </c>
      <c r="N17" s="12">
        <v>93</v>
      </c>
      <c r="O17" s="12">
        <v>102583.95</v>
      </c>
      <c r="P17" s="12">
        <v>0</v>
      </c>
      <c r="Q17" s="12">
        <v>544.96</v>
      </c>
      <c r="R17" s="12">
        <v>2566.98</v>
      </c>
      <c r="S17" s="12"/>
      <c r="T17" s="12"/>
      <c r="U17" s="12"/>
      <c r="V17" s="12">
        <v>55353.59</v>
      </c>
      <c r="W17" s="12"/>
      <c r="X17" s="12">
        <v>100043.97</v>
      </c>
      <c r="Y17" s="12">
        <v>270412.67</v>
      </c>
      <c r="Z17" s="12">
        <v>3071.34</v>
      </c>
      <c r="AA17" s="12">
        <v>150272.75</v>
      </c>
      <c r="AB17" s="12">
        <v>1766.6</v>
      </c>
      <c r="AC17" s="12"/>
      <c r="AD17" s="12">
        <v>316757.40999999997</v>
      </c>
      <c r="AE17" s="12">
        <v>5270.1</v>
      </c>
      <c r="AF17" s="12">
        <f t="shared" ref="AF17:AF26" si="4">SUM(E17:AE17)</f>
        <v>2087677.85</v>
      </c>
      <c r="AG17" s="7">
        <v>14</v>
      </c>
    </row>
    <row r="18" spans="2:33" x14ac:dyDescent="0.25">
      <c r="C18" s="7">
        <v>311</v>
      </c>
      <c r="D18" s="7" t="s">
        <v>449</v>
      </c>
      <c r="E18" s="12">
        <v>27491.95</v>
      </c>
      <c r="F18" s="12">
        <v>9736.6299999999992</v>
      </c>
      <c r="G18" s="12">
        <v>0</v>
      </c>
      <c r="H18" s="12">
        <v>10991.55</v>
      </c>
      <c r="I18" s="12"/>
      <c r="J18" s="12">
        <v>48751.6</v>
      </c>
      <c r="K18" s="12">
        <v>35000.449999999997</v>
      </c>
      <c r="L18" s="12">
        <v>22928.15</v>
      </c>
      <c r="M18" s="12">
        <v>9177.9</v>
      </c>
      <c r="N18" s="12">
        <v>0</v>
      </c>
      <c r="O18" s="12">
        <v>7424.85</v>
      </c>
      <c r="P18" s="12">
        <v>0</v>
      </c>
      <c r="Q18" s="12">
        <v>0</v>
      </c>
      <c r="R18" s="12">
        <v>0</v>
      </c>
      <c r="S18" s="12"/>
      <c r="T18" s="12"/>
      <c r="U18" s="12"/>
      <c r="V18" s="12">
        <v>12113</v>
      </c>
      <c r="W18" s="12"/>
      <c r="X18" s="12">
        <v>0</v>
      </c>
      <c r="Y18" s="12">
        <v>20829.150000000001</v>
      </c>
      <c r="Z18" s="12">
        <v>461.35</v>
      </c>
      <c r="AA18" s="12">
        <v>21026.52</v>
      </c>
      <c r="AB18" s="12">
        <v>51654</v>
      </c>
      <c r="AC18" s="12"/>
      <c r="AD18" s="12">
        <v>36446.92</v>
      </c>
      <c r="AE18" s="12">
        <v>1580</v>
      </c>
      <c r="AF18" s="12">
        <f t="shared" si="4"/>
        <v>315614.01999999996</v>
      </c>
      <c r="AG18" s="7">
        <v>15</v>
      </c>
    </row>
    <row r="19" spans="2:33" x14ac:dyDescent="0.25">
      <c r="C19" s="7">
        <v>312</v>
      </c>
      <c r="D19" s="7" t="s">
        <v>90</v>
      </c>
      <c r="E19" s="12">
        <v>35386</v>
      </c>
      <c r="F19" s="12">
        <v>158378.09</v>
      </c>
      <c r="G19" s="12">
        <v>0</v>
      </c>
      <c r="H19" s="12">
        <v>4108.1000000000004</v>
      </c>
      <c r="I19" s="12"/>
      <c r="J19" s="12">
        <v>87642.95</v>
      </c>
      <c r="K19" s="12">
        <v>119347.55</v>
      </c>
      <c r="L19" s="12">
        <v>27474.6</v>
      </c>
      <c r="M19" s="12">
        <v>0</v>
      </c>
      <c r="N19" s="12">
        <v>0</v>
      </c>
      <c r="O19" s="12">
        <v>911351.58</v>
      </c>
      <c r="P19" s="12">
        <v>0</v>
      </c>
      <c r="Q19" s="12">
        <v>576.54999999999995</v>
      </c>
      <c r="R19" s="12">
        <v>2234</v>
      </c>
      <c r="S19" s="12"/>
      <c r="T19" s="12"/>
      <c r="U19" s="12"/>
      <c r="V19" s="12">
        <v>52675.5</v>
      </c>
      <c r="W19" s="12"/>
      <c r="X19" s="12">
        <v>165530.1</v>
      </c>
      <c r="Y19" s="12">
        <v>708565.8</v>
      </c>
      <c r="Z19" s="12">
        <v>34655.800000000003</v>
      </c>
      <c r="AA19" s="12">
        <v>108837.67</v>
      </c>
      <c r="AB19" s="12">
        <v>23859.200000000001</v>
      </c>
      <c r="AC19" s="12"/>
      <c r="AD19" s="12">
        <v>189967.85</v>
      </c>
      <c r="AE19" s="12">
        <v>18957.599999999999</v>
      </c>
      <c r="AF19" s="12">
        <f t="shared" si="4"/>
        <v>2649548.9400000004</v>
      </c>
      <c r="AG19" s="7">
        <v>16</v>
      </c>
    </row>
    <row r="20" spans="2:33" x14ac:dyDescent="0.25">
      <c r="C20" s="7">
        <v>313</v>
      </c>
      <c r="D20" s="7" t="s">
        <v>91</v>
      </c>
      <c r="E20" s="12">
        <v>36443.25</v>
      </c>
      <c r="F20" s="12">
        <v>395909.58</v>
      </c>
      <c r="G20" s="12">
        <v>9593.5</v>
      </c>
      <c r="H20" s="12">
        <v>3252023.27</v>
      </c>
      <c r="I20" s="12"/>
      <c r="J20" s="12">
        <v>43034.8</v>
      </c>
      <c r="K20" s="12">
        <v>181268.61</v>
      </c>
      <c r="L20" s="12">
        <v>87593.73</v>
      </c>
      <c r="M20" s="12">
        <v>96764.85</v>
      </c>
      <c r="N20" s="12">
        <v>250658.98</v>
      </c>
      <c r="O20" s="12">
        <v>73051.31</v>
      </c>
      <c r="P20" s="12">
        <v>11550.85</v>
      </c>
      <c r="Q20" s="12">
        <v>1380</v>
      </c>
      <c r="R20" s="12">
        <v>8842.1</v>
      </c>
      <c r="S20" s="12"/>
      <c r="T20" s="12"/>
      <c r="U20" s="12"/>
      <c r="V20" s="12">
        <v>20891.95</v>
      </c>
      <c r="W20" s="12"/>
      <c r="X20" s="12">
        <v>74711.5</v>
      </c>
      <c r="Y20" s="12">
        <v>1720030.31</v>
      </c>
      <c r="Z20" s="12">
        <v>56735.85</v>
      </c>
      <c r="AA20" s="12">
        <v>139002.75</v>
      </c>
      <c r="AB20" s="12">
        <v>34929.199999999997</v>
      </c>
      <c r="AC20" s="12"/>
      <c r="AD20" s="12">
        <v>642327.76</v>
      </c>
      <c r="AE20" s="12">
        <v>56548.35</v>
      </c>
      <c r="AF20" s="12">
        <f t="shared" si="4"/>
        <v>7193292.4999999991</v>
      </c>
      <c r="AG20" s="7">
        <v>17</v>
      </c>
    </row>
    <row r="21" spans="2:33" x14ac:dyDescent="0.25">
      <c r="C21" s="7">
        <v>314</v>
      </c>
      <c r="D21" s="7" t="s">
        <v>841</v>
      </c>
      <c r="E21" s="12">
        <v>57237.47</v>
      </c>
      <c r="F21" s="12">
        <v>102182.1</v>
      </c>
      <c r="G21" s="12">
        <v>5392.95</v>
      </c>
      <c r="H21" s="12">
        <v>582291.9</v>
      </c>
      <c r="I21" s="12"/>
      <c r="J21" s="12">
        <v>64482</v>
      </c>
      <c r="K21" s="12">
        <v>93470.05</v>
      </c>
      <c r="L21" s="12">
        <v>49661.760000000002</v>
      </c>
      <c r="M21" s="12">
        <v>0</v>
      </c>
      <c r="N21" s="12">
        <v>0</v>
      </c>
      <c r="O21" s="12">
        <v>142441.75</v>
      </c>
      <c r="P21" s="12">
        <v>0</v>
      </c>
      <c r="Q21" s="12">
        <v>118.15</v>
      </c>
      <c r="R21" s="12">
        <v>13641.1</v>
      </c>
      <c r="S21" s="12"/>
      <c r="T21" s="12"/>
      <c r="U21" s="12"/>
      <c r="V21" s="12">
        <v>51652.14</v>
      </c>
      <c r="W21" s="12"/>
      <c r="X21" s="12">
        <v>4392.3999999999996</v>
      </c>
      <c r="Y21" s="12">
        <v>139137.85</v>
      </c>
      <c r="Z21" s="12">
        <v>81798.55</v>
      </c>
      <c r="AA21" s="12">
        <v>77154.23</v>
      </c>
      <c r="AB21" s="12">
        <v>60056.9</v>
      </c>
      <c r="AC21" s="12"/>
      <c r="AD21" s="12">
        <v>87147.14</v>
      </c>
      <c r="AE21" s="12">
        <v>7170.25</v>
      </c>
      <c r="AF21" s="12">
        <f t="shared" si="4"/>
        <v>1619428.6899999997</v>
      </c>
      <c r="AG21" s="7">
        <v>18</v>
      </c>
    </row>
    <row r="22" spans="2:33" x14ac:dyDescent="0.25">
      <c r="C22" s="7">
        <v>315</v>
      </c>
      <c r="D22" s="7" t="s">
        <v>92</v>
      </c>
      <c r="E22" s="12">
        <v>2908.3</v>
      </c>
      <c r="F22" s="12">
        <v>5067.22</v>
      </c>
      <c r="G22" s="12">
        <v>0</v>
      </c>
      <c r="H22" s="12">
        <v>26800.7</v>
      </c>
      <c r="I22" s="12"/>
      <c r="J22" s="12">
        <v>16957.07</v>
      </c>
      <c r="K22" s="12">
        <v>7245.55</v>
      </c>
      <c r="L22" s="12">
        <v>116.05</v>
      </c>
      <c r="M22" s="12">
        <v>4836.05</v>
      </c>
      <c r="N22" s="12">
        <v>0</v>
      </c>
      <c r="O22" s="12">
        <v>20635.900000000001</v>
      </c>
      <c r="P22" s="12">
        <v>0</v>
      </c>
      <c r="Q22" s="12">
        <v>0</v>
      </c>
      <c r="R22" s="12">
        <v>0</v>
      </c>
      <c r="S22" s="12"/>
      <c r="T22" s="12"/>
      <c r="U22" s="12"/>
      <c r="V22" s="12">
        <v>3321.5</v>
      </c>
      <c r="W22" s="12"/>
      <c r="X22" s="12">
        <v>-22855.4</v>
      </c>
      <c r="Y22" s="12">
        <v>103078.95</v>
      </c>
      <c r="Z22" s="12">
        <v>890</v>
      </c>
      <c r="AA22" s="12">
        <v>51786.83</v>
      </c>
      <c r="AB22" s="12">
        <v>0</v>
      </c>
      <c r="AC22" s="12"/>
      <c r="AD22" s="12">
        <v>40061.15</v>
      </c>
      <c r="AE22" s="12">
        <v>5249.3</v>
      </c>
      <c r="AF22" s="12">
        <f t="shared" si="4"/>
        <v>266099.17000000004</v>
      </c>
      <c r="AG22" s="7">
        <v>19</v>
      </c>
    </row>
    <row r="23" spans="2:33" x14ac:dyDescent="0.25">
      <c r="C23" s="7">
        <v>316</v>
      </c>
      <c r="D23" s="7" t="s">
        <v>93</v>
      </c>
      <c r="E23" s="12">
        <v>45365.95</v>
      </c>
      <c r="F23" s="12">
        <v>0</v>
      </c>
      <c r="G23" s="12">
        <v>0</v>
      </c>
      <c r="H23" s="12">
        <v>7303</v>
      </c>
      <c r="I23" s="12"/>
      <c r="J23" s="12">
        <v>17738.400000000001</v>
      </c>
      <c r="K23" s="12">
        <v>207761.6</v>
      </c>
      <c r="L23" s="12">
        <v>0</v>
      </c>
      <c r="M23" s="12">
        <v>12368.2</v>
      </c>
      <c r="N23" s="12">
        <v>0</v>
      </c>
      <c r="O23" s="12">
        <v>0</v>
      </c>
      <c r="P23" s="12">
        <v>0</v>
      </c>
      <c r="Q23" s="12">
        <v>0</v>
      </c>
      <c r="R23" s="12">
        <v>0</v>
      </c>
      <c r="S23" s="12"/>
      <c r="T23" s="12"/>
      <c r="U23" s="12"/>
      <c r="V23" s="12">
        <v>41200</v>
      </c>
      <c r="W23" s="12"/>
      <c r="X23" s="12">
        <v>0</v>
      </c>
      <c r="Y23" s="12">
        <v>49930.7</v>
      </c>
      <c r="Z23" s="12">
        <v>3835.75</v>
      </c>
      <c r="AA23" s="12">
        <v>0</v>
      </c>
      <c r="AB23" s="12">
        <v>0</v>
      </c>
      <c r="AC23" s="12"/>
      <c r="AD23" s="12">
        <v>418569.24</v>
      </c>
      <c r="AE23" s="12">
        <v>0</v>
      </c>
      <c r="AF23" s="12">
        <f t="shared" si="4"/>
        <v>804072.84000000008</v>
      </c>
      <c r="AG23" s="7">
        <v>20</v>
      </c>
    </row>
    <row r="24" spans="2:33" x14ac:dyDescent="0.25">
      <c r="C24" s="7">
        <v>317</v>
      </c>
      <c r="D24" s="7" t="s">
        <v>94</v>
      </c>
      <c r="E24" s="12">
        <v>107117.75</v>
      </c>
      <c r="F24" s="12">
        <v>0</v>
      </c>
      <c r="G24" s="12">
        <v>0</v>
      </c>
      <c r="H24" s="12">
        <v>7762.15</v>
      </c>
      <c r="I24" s="12"/>
      <c r="J24" s="12">
        <v>94317.2</v>
      </c>
      <c r="K24" s="12">
        <v>182280.05</v>
      </c>
      <c r="L24" s="12">
        <v>459.6</v>
      </c>
      <c r="M24" s="12">
        <v>63236.15</v>
      </c>
      <c r="N24" s="12">
        <v>0</v>
      </c>
      <c r="O24" s="12">
        <v>10344</v>
      </c>
      <c r="P24" s="12">
        <v>0</v>
      </c>
      <c r="Q24" s="12">
        <v>0</v>
      </c>
      <c r="R24" s="12">
        <v>0</v>
      </c>
      <c r="S24" s="12"/>
      <c r="T24" s="12"/>
      <c r="U24" s="12"/>
      <c r="V24" s="12">
        <v>25009.3</v>
      </c>
      <c r="W24" s="12"/>
      <c r="X24" s="12">
        <v>0</v>
      </c>
      <c r="Y24" s="12">
        <v>23610.95</v>
      </c>
      <c r="Z24" s="12">
        <v>0</v>
      </c>
      <c r="AA24" s="12">
        <v>2619.79</v>
      </c>
      <c r="AB24" s="12">
        <v>0</v>
      </c>
      <c r="AC24" s="12"/>
      <c r="AD24" s="12">
        <v>453911.77</v>
      </c>
      <c r="AE24" s="12">
        <v>0</v>
      </c>
      <c r="AF24" s="12">
        <f t="shared" si="4"/>
        <v>970668.71</v>
      </c>
      <c r="AG24" s="7">
        <v>21</v>
      </c>
    </row>
    <row r="25" spans="2:33" x14ac:dyDescent="0.25">
      <c r="C25" s="7">
        <v>318</v>
      </c>
      <c r="D25" s="7" t="s">
        <v>95</v>
      </c>
      <c r="E25" s="12">
        <v>0</v>
      </c>
      <c r="F25" s="12">
        <v>0</v>
      </c>
      <c r="G25" s="12">
        <v>0</v>
      </c>
      <c r="H25" s="12">
        <v>1332.6</v>
      </c>
      <c r="I25" s="12"/>
      <c r="J25" s="12">
        <v>0</v>
      </c>
      <c r="K25" s="12">
        <v>0</v>
      </c>
      <c r="L25" s="12">
        <v>0</v>
      </c>
      <c r="M25" s="12">
        <v>0</v>
      </c>
      <c r="N25" s="12">
        <v>0</v>
      </c>
      <c r="O25" s="12">
        <v>0</v>
      </c>
      <c r="P25" s="12">
        <v>0</v>
      </c>
      <c r="Q25" s="12">
        <v>0</v>
      </c>
      <c r="R25" s="12">
        <v>0</v>
      </c>
      <c r="S25" s="12"/>
      <c r="T25" s="12"/>
      <c r="U25" s="12"/>
      <c r="V25" s="12">
        <v>0</v>
      </c>
      <c r="W25" s="12"/>
      <c r="X25" s="12">
        <v>0</v>
      </c>
      <c r="Y25" s="12">
        <v>1362.89</v>
      </c>
      <c r="Z25" s="12">
        <v>0</v>
      </c>
      <c r="AA25" s="12">
        <v>-216.9</v>
      </c>
      <c r="AB25" s="12">
        <v>0</v>
      </c>
      <c r="AC25" s="12"/>
      <c r="AD25" s="12">
        <v>0</v>
      </c>
      <c r="AE25" s="12">
        <v>0</v>
      </c>
      <c r="AF25" s="12">
        <f t="shared" si="4"/>
        <v>2478.5899999999997</v>
      </c>
      <c r="AG25" s="7">
        <v>22</v>
      </c>
    </row>
    <row r="26" spans="2:33" x14ac:dyDescent="0.25">
      <c r="C26" s="7">
        <v>319</v>
      </c>
      <c r="D26" s="7" t="s">
        <v>96</v>
      </c>
      <c r="E26" s="12">
        <v>3097.94</v>
      </c>
      <c r="F26" s="12">
        <v>0</v>
      </c>
      <c r="G26" s="12">
        <v>0</v>
      </c>
      <c r="H26" s="12">
        <v>0</v>
      </c>
      <c r="I26" s="12"/>
      <c r="J26" s="12">
        <v>216</v>
      </c>
      <c r="K26" s="12">
        <v>0</v>
      </c>
      <c r="L26" s="12">
        <v>0</v>
      </c>
      <c r="M26" s="12">
        <v>0</v>
      </c>
      <c r="N26" s="12">
        <v>0</v>
      </c>
      <c r="O26" s="12">
        <v>46560</v>
      </c>
      <c r="P26" s="12">
        <v>0</v>
      </c>
      <c r="Q26" s="12">
        <v>0</v>
      </c>
      <c r="R26" s="12">
        <v>0</v>
      </c>
      <c r="S26" s="12"/>
      <c r="T26" s="12"/>
      <c r="U26" s="12"/>
      <c r="V26" s="12">
        <v>0</v>
      </c>
      <c r="W26" s="12"/>
      <c r="X26" s="12">
        <v>31472</v>
      </c>
      <c r="Y26" s="12">
        <v>0</v>
      </c>
      <c r="Z26" s="12">
        <v>0</v>
      </c>
      <c r="AA26" s="12">
        <v>265.52999999999997</v>
      </c>
      <c r="AB26" s="12">
        <v>0</v>
      </c>
      <c r="AC26" s="12"/>
      <c r="AD26" s="12">
        <v>0</v>
      </c>
      <c r="AE26" s="12">
        <v>0</v>
      </c>
      <c r="AF26" s="12">
        <f t="shared" si="4"/>
        <v>81611.47</v>
      </c>
      <c r="AG26" s="7">
        <v>23</v>
      </c>
    </row>
    <row r="27" spans="2:33" x14ac:dyDescent="0.25">
      <c r="E27" s="12"/>
      <c r="F27" s="12"/>
      <c r="G27" s="12"/>
      <c r="H27" s="12"/>
      <c r="I27" s="12"/>
      <c r="J27" s="12"/>
      <c r="K27" s="12"/>
      <c r="L27" s="12"/>
      <c r="M27" s="12"/>
      <c r="N27" s="12"/>
      <c r="O27" s="12"/>
      <c r="P27" s="12"/>
      <c r="Q27" s="12"/>
      <c r="R27" s="12"/>
      <c r="S27" s="12"/>
      <c r="T27" s="12"/>
      <c r="U27" s="12"/>
      <c r="V27" s="12"/>
      <c r="W27" s="12"/>
      <c r="X27" s="12"/>
      <c r="Y27" s="12"/>
      <c r="Z27" s="12">
        <v>0</v>
      </c>
      <c r="AA27" s="12"/>
      <c r="AB27" s="12"/>
      <c r="AC27" s="12"/>
      <c r="AD27" s="12"/>
      <c r="AE27" s="12"/>
      <c r="AF27" s="12"/>
      <c r="AG27" s="7">
        <v>24</v>
      </c>
    </row>
    <row r="28" spans="2:33" x14ac:dyDescent="0.25">
      <c r="B28" s="66">
        <v>33</v>
      </c>
      <c r="C28" s="66"/>
      <c r="D28" s="66" t="s">
        <v>97</v>
      </c>
      <c r="E28" s="67">
        <f>E29+E30</f>
        <v>66900</v>
      </c>
      <c r="F28" s="67">
        <f t="shared" ref="F28:AF28" si="5">F29+F30</f>
        <v>3129668.98</v>
      </c>
      <c r="G28" s="67">
        <f t="shared" si="5"/>
        <v>20300</v>
      </c>
      <c r="H28" s="67">
        <f t="shared" si="5"/>
        <v>280400</v>
      </c>
      <c r="I28" s="67">
        <f t="shared" si="5"/>
        <v>0</v>
      </c>
      <c r="J28" s="67">
        <f t="shared" si="5"/>
        <v>390487.49</v>
      </c>
      <c r="K28" s="67">
        <f t="shared" si="5"/>
        <v>502884.6</v>
      </c>
      <c r="L28" s="67">
        <f t="shared" si="5"/>
        <v>184129.25</v>
      </c>
      <c r="M28" s="67">
        <f t="shared" si="5"/>
        <v>0</v>
      </c>
      <c r="N28" s="67">
        <f t="shared" si="5"/>
        <v>0</v>
      </c>
      <c r="O28" s="67">
        <f t="shared" si="5"/>
        <v>5652.9</v>
      </c>
      <c r="P28" s="67">
        <f t="shared" si="5"/>
        <v>0</v>
      </c>
      <c r="Q28" s="67">
        <f t="shared" si="5"/>
        <v>2800</v>
      </c>
      <c r="R28" s="67">
        <f t="shared" si="5"/>
        <v>0</v>
      </c>
      <c r="S28" s="67">
        <f t="shared" si="5"/>
        <v>0</v>
      </c>
      <c r="T28" s="67">
        <f t="shared" si="5"/>
        <v>0</v>
      </c>
      <c r="U28" s="67">
        <f t="shared" si="5"/>
        <v>0</v>
      </c>
      <c r="V28" s="67">
        <f t="shared" si="5"/>
        <v>63285</v>
      </c>
      <c r="W28" s="67">
        <f t="shared" si="5"/>
        <v>0</v>
      </c>
      <c r="X28" s="67">
        <f t="shared" si="5"/>
        <v>96104.7</v>
      </c>
      <c r="Y28" s="67">
        <f t="shared" si="5"/>
        <v>650232.67000000004</v>
      </c>
      <c r="Z28" s="67">
        <f t="shared" si="5"/>
        <v>95000</v>
      </c>
      <c r="AA28" s="67">
        <f t="shared" si="5"/>
        <v>153387.85</v>
      </c>
      <c r="AB28" s="67">
        <f t="shared" si="5"/>
        <v>0</v>
      </c>
      <c r="AC28" s="67">
        <f t="shared" si="5"/>
        <v>0</v>
      </c>
      <c r="AD28" s="67">
        <f t="shared" si="5"/>
        <v>361171.4</v>
      </c>
      <c r="AE28" s="67">
        <f t="shared" si="5"/>
        <v>647.79999999999995</v>
      </c>
      <c r="AF28" s="67">
        <f t="shared" si="5"/>
        <v>6003052.6399999997</v>
      </c>
      <c r="AG28" s="7">
        <v>25</v>
      </c>
    </row>
    <row r="29" spans="2:33" x14ac:dyDescent="0.25">
      <c r="C29" s="7">
        <v>330</v>
      </c>
      <c r="D29" s="7" t="s">
        <v>99</v>
      </c>
      <c r="E29" s="12">
        <v>66900</v>
      </c>
      <c r="F29" s="12">
        <v>3112537.13</v>
      </c>
      <c r="G29" s="12">
        <v>20300</v>
      </c>
      <c r="H29" s="12">
        <v>280400</v>
      </c>
      <c r="I29" s="12"/>
      <c r="J29" s="12">
        <v>390487.49</v>
      </c>
      <c r="K29" s="12">
        <v>502884.6</v>
      </c>
      <c r="L29" s="12">
        <v>184129.25</v>
      </c>
      <c r="M29" s="12">
        <v>0</v>
      </c>
      <c r="N29" s="12">
        <v>0</v>
      </c>
      <c r="O29" s="12">
        <v>1602.9</v>
      </c>
      <c r="P29" s="12">
        <v>0</v>
      </c>
      <c r="Q29" s="12">
        <v>2800</v>
      </c>
      <c r="R29" s="12">
        <v>0</v>
      </c>
      <c r="S29" s="12"/>
      <c r="T29" s="12"/>
      <c r="U29" s="12"/>
      <c r="V29" s="12">
        <v>63285</v>
      </c>
      <c r="W29" s="12"/>
      <c r="X29" s="12">
        <v>96104.7</v>
      </c>
      <c r="Y29" s="12">
        <v>650232.67000000004</v>
      </c>
      <c r="Z29" s="12">
        <v>95000</v>
      </c>
      <c r="AA29" s="12">
        <v>153387.85</v>
      </c>
      <c r="AB29" s="12">
        <v>0</v>
      </c>
      <c r="AC29" s="12"/>
      <c r="AD29" s="12">
        <v>361171.4</v>
      </c>
      <c r="AE29" s="12">
        <v>647.79999999999995</v>
      </c>
      <c r="AF29" s="12">
        <f>SUM(E29:AE29)</f>
        <v>5981870.79</v>
      </c>
      <c r="AG29" s="7">
        <v>26</v>
      </c>
    </row>
    <row r="30" spans="2:33" x14ac:dyDescent="0.25">
      <c r="C30" s="7">
        <v>332</v>
      </c>
      <c r="D30" s="7" t="s">
        <v>98</v>
      </c>
      <c r="E30" s="12">
        <v>0</v>
      </c>
      <c r="F30" s="12">
        <v>17131.849999999999</v>
      </c>
      <c r="G30" s="12">
        <v>0</v>
      </c>
      <c r="H30" s="12">
        <v>0</v>
      </c>
      <c r="I30" s="12"/>
      <c r="J30" s="12">
        <v>0</v>
      </c>
      <c r="K30" s="12">
        <v>0</v>
      </c>
      <c r="L30" s="12">
        <v>0</v>
      </c>
      <c r="M30" s="12">
        <v>0</v>
      </c>
      <c r="N30" s="12">
        <v>0</v>
      </c>
      <c r="O30" s="12">
        <v>4050</v>
      </c>
      <c r="P30" s="12">
        <v>0</v>
      </c>
      <c r="Q30" s="12">
        <v>0</v>
      </c>
      <c r="R30" s="12">
        <v>0</v>
      </c>
      <c r="S30" s="12"/>
      <c r="T30" s="12"/>
      <c r="U30" s="12"/>
      <c r="V30" s="12">
        <v>0</v>
      </c>
      <c r="W30" s="12"/>
      <c r="X30" s="12">
        <v>0</v>
      </c>
      <c r="Y30" s="12">
        <v>0</v>
      </c>
      <c r="Z30" s="12">
        <v>0</v>
      </c>
      <c r="AA30" s="12">
        <v>0</v>
      </c>
      <c r="AB30" s="12">
        <v>0</v>
      </c>
      <c r="AC30" s="12"/>
      <c r="AD30" s="12">
        <v>0</v>
      </c>
      <c r="AE30" s="12">
        <v>0</v>
      </c>
      <c r="AF30" s="12">
        <f>SUM(E30:AE30)</f>
        <v>21181.85</v>
      </c>
      <c r="AG30" s="7">
        <v>27</v>
      </c>
    </row>
    <row r="31" spans="2:33" x14ac:dyDescent="0.25">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7">
        <v>28</v>
      </c>
    </row>
    <row r="32" spans="2:33" x14ac:dyDescent="0.25">
      <c r="B32" s="66">
        <v>34</v>
      </c>
      <c r="C32" s="66"/>
      <c r="D32" s="66" t="s">
        <v>100</v>
      </c>
      <c r="E32" s="67">
        <f>E33+E34+E35+E36+E37+E38</f>
        <v>11667.39</v>
      </c>
      <c r="F32" s="67">
        <f t="shared" ref="F32:AF32" si="6">F33+F34+F35+F36+F37+F38</f>
        <v>-729.38</v>
      </c>
      <c r="G32" s="67">
        <f t="shared" si="6"/>
        <v>0</v>
      </c>
      <c r="H32" s="67">
        <f t="shared" si="6"/>
        <v>11461.45</v>
      </c>
      <c r="I32" s="67">
        <f t="shared" si="6"/>
        <v>0</v>
      </c>
      <c r="J32" s="67">
        <f t="shared" si="6"/>
        <v>29075.35</v>
      </c>
      <c r="K32" s="67">
        <f t="shared" si="6"/>
        <v>103711</v>
      </c>
      <c r="L32" s="67">
        <f t="shared" si="6"/>
        <v>52770.05</v>
      </c>
      <c r="M32" s="67">
        <f t="shared" si="6"/>
        <v>245.2</v>
      </c>
      <c r="N32" s="67">
        <f t="shared" si="6"/>
        <v>0</v>
      </c>
      <c r="O32" s="67">
        <f t="shared" si="6"/>
        <v>0</v>
      </c>
      <c r="P32" s="67">
        <f t="shared" si="6"/>
        <v>0</v>
      </c>
      <c r="Q32" s="67">
        <f t="shared" si="6"/>
        <v>110.7</v>
      </c>
      <c r="R32" s="67">
        <f t="shared" si="6"/>
        <v>0</v>
      </c>
      <c r="S32" s="67">
        <f t="shared" si="6"/>
        <v>0</v>
      </c>
      <c r="T32" s="67">
        <f t="shared" si="6"/>
        <v>0</v>
      </c>
      <c r="U32" s="67">
        <f t="shared" si="6"/>
        <v>0</v>
      </c>
      <c r="V32" s="67">
        <f t="shared" si="6"/>
        <v>11936.05</v>
      </c>
      <c r="W32" s="67">
        <f t="shared" si="6"/>
        <v>0</v>
      </c>
      <c r="X32" s="67">
        <f t="shared" si="6"/>
        <v>5462.99</v>
      </c>
      <c r="Y32" s="67">
        <f t="shared" si="6"/>
        <v>243522.14</v>
      </c>
      <c r="Z32" s="67">
        <f t="shared" si="6"/>
        <v>15434.6</v>
      </c>
      <c r="AA32" s="67">
        <f t="shared" si="6"/>
        <v>24306.44</v>
      </c>
      <c r="AB32" s="67">
        <f t="shared" si="6"/>
        <v>0</v>
      </c>
      <c r="AC32" s="67">
        <f t="shared" si="6"/>
        <v>0</v>
      </c>
      <c r="AD32" s="67">
        <f t="shared" si="6"/>
        <v>71711.44</v>
      </c>
      <c r="AE32" s="67">
        <f t="shared" si="6"/>
        <v>0</v>
      </c>
      <c r="AF32" s="67">
        <f t="shared" si="6"/>
        <v>580685.42000000004</v>
      </c>
      <c r="AG32" s="7">
        <v>29</v>
      </c>
    </row>
    <row r="33" spans="2:33" x14ac:dyDescent="0.25">
      <c r="C33" s="7">
        <v>340</v>
      </c>
      <c r="D33" s="7" t="s">
        <v>101</v>
      </c>
      <c r="E33" s="12">
        <v>11667.39</v>
      </c>
      <c r="F33" s="12">
        <v>181.77</v>
      </c>
      <c r="G33" s="12">
        <v>0</v>
      </c>
      <c r="H33" s="12">
        <v>0</v>
      </c>
      <c r="I33" s="12"/>
      <c r="J33" s="12">
        <v>29075.35</v>
      </c>
      <c r="K33" s="12">
        <v>103711</v>
      </c>
      <c r="L33" s="12">
        <v>52770.05</v>
      </c>
      <c r="M33" s="12">
        <v>245.2</v>
      </c>
      <c r="N33" s="12">
        <v>0</v>
      </c>
      <c r="O33" s="12">
        <v>0</v>
      </c>
      <c r="P33" s="12">
        <v>0</v>
      </c>
      <c r="Q33" s="12">
        <v>110.7</v>
      </c>
      <c r="R33" s="12">
        <v>0</v>
      </c>
      <c r="S33" s="12"/>
      <c r="T33" s="12"/>
      <c r="U33" s="12"/>
      <c r="V33" s="12">
        <v>11936.05</v>
      </c>
      <c r="W33" s="12"/>
      <c r="X33" s="12">
        <v>5462.99</v>
      </c>
      <c r="Y33" s="12">
        <v>243522.14</v>
      </c>
      <c r="Z33" s="12">
        <v>15434.6</v>
      </c>
      <c r="AA33" s="12">
        <v>24306.44</v>
      </c>
      <c r="AB33" s="12">
        <v>0</v>
      </c>
      <c r="AC33" s="12"/>
      <c r="AD33" s="12">
        <v>71711.44</v>
      </c>
      <c r="AE33" s="12">
        <v>0</v>
      </c>
      <c r="AF33" s="12">
        <f t="shared" ref="AF33:AF38" si="7">SUM(E33:AE33)</f>
        <v>570135.12</v>
      </c>
      <c r="AG33" s="7">
        <v>30</v>
      </c>
    </row>
    <row r="34" spans="2:33" x14ac:dyDescent="0.25">
      <c r="C34" s="7">
        <v>341</v>
      </c>
      <c r="D34" s="7" t="s">
        <v>102</v>
      </c>
      <c r="E34" s="12">
        <v>0</v>
      </c>
      <c r="F34" s="12">
        <v>0</v>
      </c>
      <c r="G34" s="12">
        <v>0</v>
      </c>
      <c r="H34" s="12">
        <v>0</v>
      </c>
      <c r="I34" s="12"/>
      <c r="J34" s="12">
        <v>0</v>
      </c>
      <c r="K34" s="12">
        <v>0</v>
      </c>
      <c r="L34" s="12">
        <v>0</v>
      </c>
      <c r="M34" s="12">
        <v>0</v>
      </c>
      <c r="N34" s="12">
        <v>0</v>
      </c>
      <c r="O34" s="12">
        <v>0</v>
      </c>
      <c r="P34" s="12">
        <v>0</v>
      </c>
      <c r="Q34" s="12">
        <v>0</v>
      </c>
      <c r="R34" s="12">
        <v>0</v>
      </c>
      <c r="S34" s="12"/>
      <c r="T34" s="12"/>
      <c r="U34" s="12"/>
      <c r="V34" s="12">
        <v>0</v>
      </c>
      <c r="W34" s="12"/>
      <c r="X34" s="12">
        <v>0</v>
      </c>
      <c r="Y34" s="12">
        <v>0</v>
      </c>
      <c r="Z34" s="12">
        <v>0</v>
      </c>
      <c r="AA34" s="12">
        <v>0</v>
      </c>
      <c r="AB34" s="12">
        <v>0</v>
      </c>
      <c r="AC34" s="12"/>
      <c r="AD34" s="12">
        <v>0</v>
      </c>
      <c r="AE34" s="12">
        <v>0</v>
      </c>
      <c r="AF34" s="12">
        <f t="shared" si="7"/>
        <v>0</v>
      </c>
      <c r="AG34" s="7">
        <v>31</v>
      </c>
    </row>
    <row r="35" spans="2:33" x14ac:dyDescent="0.25">
      <c r="C35" s="7">
        <v>342</v>
      </c>
      <c r="D35" s="7" t="s">
        <v>103</v>
      </c>
      <c r="E35" s="12">
        <v>0</v>
      </c>
      <c r="F35" s="12">
        <v>0</v>
      </c>
      <c r="G35" s="12">
        <v>0</v>
      </c>
      <c r="H35" s="12">
        <v>0</v>
      </c>
      <c r="I35" s="12"/>
      <c r="J35" s="12">
        <v>0</v>
      </c>
      <c r="K35" s="12">
        <v>0</v>
      </c>
      <c r="L35" s="12">
        <v>0</v>
      </c>
      <c r="M35" s="12">
        <v>0</v>
      </c>
      <c r="N35" s="12">
        <v>0</v>
      </c>
      <c r="O35" s="12">
        <v>0</v>
      </c>
      <c r="P35" s="12">
        <v>0</v>
      </c>
      <c r="Q35" s="12">
        <v>0</v>
      </c>
      <c r="R35" s="12">
        <v>0</v>
      </c>
      <c r="S35" s="12"/>
      <c r="T35" s="12"/>
      <c r="U35" s="12"/>
      <c r="V35" s="12">
        <v>0</v>
      </c>
      <c r="W35" s="12"/>
      <c r="X35" s="12">
        <v>0</v>
      </c>
      <c r="Y35" s="12">
        <v>0</v>
      </c>
      <c r="Z35" s="12">
        <v>0</v>
      </c>
      <c r="AA35" s="12">
        <v>0</v>
      </c>
      <c r="AB35" s="12">
        <v>0</v>
      </c>
      <c r="AC35" s="12"/>
      <c r="AD35" s="12">
        <v>0</v>
      </c>
      <c r="AE35" s="12">
        <v>0</v>
      </c>
      <c r="AF35" s="12">
        <f t="shared" si="7"/>
        <v>0</v>
      </c>
      <c r="AG35" s="7">
        <v>32</v>
      </c>
    </row>
    <row r="36" spans="2:33" x14ac:dyDescent="0.25">
      <c r="C36" s="7">
        <v>343</v>
      </c>
      <c r="D36" s="7" t="s">
        <v>104</v>
      </c>
      <c r="E36" s="12">
        <v>0</v>
      </c>
      <c r="F36" s="12">
        <v>0</v>
      </c>
      <c r="G36" s="12">
        <v>0</v>
      </c>
      <c r="H36" s="12">
        <v>0</v>
      </c>
      <c r="I36" s="12"/>
      <c r="J36" s="12">
        <v>0</v>
      </c>
      <c r="K36" s="12">
        <v>0</v>
      </c>
      <c r="L36" s="12">
        <v>0</v>
      </c>
      <c r="M36" s="12">
        <v>0</v>
      </c>
      <c r="N36" s="12">
        <v>0</v>
      </c>
      <c r="O36" s="12">
        <v>0</v>
      </c>
      <c r="P36" s="12">
        <v>0</v>
      </c>
      <c r="Q36" s="12">
        <v>0</v>
      </c>
      <c r="R36" s="12">
        <v>0</v>
      </c>
      <c r="S36" s="12"/>
      <c r="T36" s="12"/>
      <c r="U36" s="12"/>
      <c r="V36" s="12">
        <v>0</v>
      </c>
      <c r="W36" s="12"/>
      <c r="X36" s="12">
        <v>0</v>
      </c>
      <c r="Y36" s="12">
        <v>0</v>
      </c>
      <c r="Z36" s="12">
        <v>0</v>
      </c>
      <c r="AA36" s="12">
        <v>0</v>
      </c>
      <c r="AB36" s="12">
        <v>0</v>
      </c>
      <c r="AC36" s="12"/>
      <c r="AD36" s="12">
        <v>0</v>
      </c>
      <c r="AE36" s="12">
        <v>0</v>
      </c>
      <c r="AF36" s="12">
        <f t="shared" si="7"/>
        <v>0</v>
      </c>
      <c r="AG36" s="7">
        <v>33</v>
      </c>
    </row>
    <row r="37" spans="2:33" x14ac:dyDescent="0.25">
      <c r="C37" s="7">
        <v>344</v>
      </c>
      <c r="D37" s="7" t="s">
        <v>105</v>
      </c>
      <c r="E37" s="12">
        <v>0</v>
      </c>
      <c r="F37" s="12">
        <v>0</v>
      </c>
      <c r="G37" s="12">
        <v>0</v>
      </c>
      <c r="H37" s="12">
        <v>0</v>
      </c>
      <c r="I37" s="12"/>
      <c r="J37" s="12">
        <v>0</v>
      </c>
      <c r="K37" s="12">
        <v>0</v>
      </c>
      <c r="L37" s="12">
        <v>0</v>
      </c>
      <c r="M37" s="12">
        <v>0</v>
      </c>
      <c r="N37" s="12">
        <v>0</v>
      </c>
      <c r="O37" s="12">
        <v>0</v>
      </c>
      <c r="P37" s="12">
        <v>0</v>
      </c>
      <c r="Q37" s="12">
        <v>0</v>
      </c>
      <c r="R37" s="12">
        <v>0</v>
      </c>
      <c r="S37" s="12"/>
      <c r="T37" s="12"/>
      <c r="U37" s="12"/>
      <c r="V37" s="12">
        <v>0</v>
      </c>
      <c r="W37" s="12"/>
      <c r="X37" s="12">
        <v>0</v>
      </c>
      <c r="Y37" s="12">
        <v>0</v>
      </c>
      <c r="Z37" s="12">
        <v>0</v>
      </c>
      <c r="AA37" s="12">
        <v>0</v>
      </c>
      <c r="AB37" s="12">
        <v>0</v>
      </c>
      <c r="AC37" s="12"/>
      <c r="AD37" s="12">
        <v>0</v>
      </c>
      <c r="AE37" s="12">
        <v>0</v>
      </c>
      <c r="AF37" s="12">
        <f t="shared" si="7"/>
        <v>0</v>
      </c>
      <c r="AG37" s="7">
        <v>34</v>
      </c>
    </row>
    <row r="38" spans="2:33" x14ac:dyDescent="0.25">
      <c r="C38" s="7">
        <v>349</v>
      </c>
      <c r="D38" s="7" t="s">
        <v>106</v>
      </c>
      <c r="E38" s="12">
        <v>0</v>
      </c>
      <c r="F38" s="12">
        <v>-911.15</v>
      </c>
      <c r="G38" s="12">
        <v>0</v>
      </c>
      <c r="H38" s="12">
        <v>11461.45</v>
      </c>
      <c r="I38" s="12"/>
      <c r="J38" s="12">
        <v>0</v>
      </c>
      <c r="K38" s="12">
        <v>0</v>
      </c>
      <c r="L38" s="12">
        <v>0</v>
      </c>
      <c r="M38" s="12">
        <v>0</v>
      </c>
      <c r="N38" s="12">
        <v>0</v>
      </c>
      <c r="O38" s="12">
        <v>0</v>
      </c>
      <c r="P38" s="12">
        <v>0</v>
      </c>
      <c r="Q38" s="12">
        <v>0</v>
      </c>
      <c r="R38" s="12">
        <v>0</v>
      </c>
      <c r="S38" s="12"/>
      <c r="T38" s="12"/>
      <c r="U38" s="12"/>
      <c r="V38" s="12">
        <v>0</v>
      </c>
      <c r="W38" s="12"/>
      <c r="X38" s="12">
        <v>0</v>
      </c>
      <c r="Y38" s="12">
        <v>0</v>
      </c>
      <c r="Z38" s="12">
        <v>0</v>
      </c>
      <c r="AA38" s="12">
        <v>0</v>
      </c>
      <c r="AB38" s="12">
        <v>0</v>
      </c>
      <c r="AC38" s="12"/>
      <c r="AD38" s="12">
        <v>0</v>
      </c>
      <c r="AE38" s="12">
        <v>0</v>
      </c>
      <c r="AF38" s="12">
        <f t="shared" si="7"/>
        <v>10550.300000000001</v>
      </c>
      <c r="AG38" s="7">
        <v>35</v>
      </c>
    </row>
    <row r="39" spans="2:33" x14ac:dyDescent="0.25">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7">
        <v>36</v>
      </c>
    </row>
    <row r="40" spans="2:33" x14ac:dyDescent="0.25">
      <c r="B40" s="66">
        <v>35</v>
      </c>
      <c r="C40" s="66"/>
      <c r="D40" s="66" t="s">
        <v>108</v>
      </c>
      <c r="E40" s="67">
        <f>E41+E42</f>
        <v>0</v>
      </c>
      <c r="F40" s="67">
        <f t="shared" ref="F40:AF40" si="8">F41+F42</f>
        <v>750000</v>
      </c>
      <c r="G40" s="67">
        <f t="shared" si="8"/>
        <v>0</v>
      </c>
      <c r="H40" s="67">
        <f t="shared" si="8"/>
        <v>200000</v>
      </c>
      <c r="I40" s="67">
        <f t="shared" si="8"/>
        <v>0</v>
      </c>
      <c r="J40" s="67">
        <f t="shared" si="8"/>
        <v>0</v>
      </c>
      <c r="K40" s="67">
        <f t="shared" si="8"/>
        <v>0</v>
      </c>
      <c r="L40" s="67">
        <f t="shared" si="8"/>
        <v>0</v>
      </c>
      <c r="M40" s="67">
        <f t="shared" si="8"/>
        <v>0</v>
      </c>
      <c r="N40" s="67">
        <f t="shared" si="8"/>
        <v>0</v>
      </c>
      <c r="O40" s="67">
        <f t="shared" si="8"/>
        <v>470000</v>
      </c>
      <c r="P40" s="67">
        <f t="shared" si="8"/>
        <v>0</v>
      </c>
      <c r="Q40" s="67">
        <f t="shared" si="8"/>
        <v>0</v>
      </c>
      <c r="R40" s="67">
        <f t="shared" si="8"/>
        <v>0</v>
      </c>
      <c r="S40" s="67">
        <f t="shared" si="8"/>
        <v>0</v>
      </c>
      <c r="T40" s="67">
        <f t="shared" si="8"/>
        <v>0</v>
      </c>
      <c r="U40" s="67">
        <f t="shared" si="8"/>
        <v>0</v>
      </c>
      <c r="V40" s="67">
        <f t="shared" si="8"/>
        <v>0</v>
      </c>
      <c r="W40" s="67">
        <f t="shared" si="8"/>
        <v>0</v>
      </c>
      <c r="X40" s="67">
        <f t="shared" si="8"/>
        <v>0</v>
      </c>
      <c r="Y40" s="67">
        <f t="shared" si="8"/>
        <v>0</v>
      </c>
      <c r="Z40" s="67">
        <f t="shared" si="8"/>
        <v>0</v>
      </c>
      <c r="AA40" s="67">
        <f t="shared" si="8"/>
        <v>581760</v>
      </c>
      <c r="AB40" s="67">
        <f t="shared" si="8"/>
        <v>0</v>
      </c>
      <c r="AC40" s="67">
        <f t="shared" si="8"/>
        <v>0</v>
      </c>
      <c r="AD40" s="67">
        <f t="shared" si="8"/>
        <v>0</v>
      </c>
      <c r="AE40" s="67">
        <f t="shared" si="8"/>
        <v>88000</v>
      </c>
      <c r="AF40" s="67">
        <f t="shared" si="8"/>
        <v>2089760</v>
      </c>
      <c r="AG40" s="7">
        <v>37</v>
      </c>
    </row>
    <row r="41" spans="2:33" x14ac:dyDescent="0.25">
      <c r="C41" s="7">
        <v>350</v>
      </c>
      <c r="D41" s="7" t="s">
        <v>108</v>
      </c>
      <c r="E41" s="12">
        <v>0</v>
      </c>
      <c r="F41" s="12">
        <v>0</v>
      </c>
      <c r="G41" s="12">
        <v>0</v>
      </c>
      <c r="H41" s="12">
        <v>200000</v>
      </c>
      <c r="I41" s="12"/>
      <c r="J41" s="12">
        <v>0</v>
      </c>
      <c r="K41" s="12">
        <v>0</v>
      </c>
      <c r="L41" s="12">
        <v>0</v>
      </c>
      <c r="M41" s="12">
        <v>0</v>
      </c>
      <c r="N41" s="12">
        <v>0</v>
      </c>
      <c r="O41" s="12">
        <v>0</v>
      </c>
      <c r="P41" s="12">
        <v>0</v>
      </c>
      <c r="Q41" s="12">
        <v>0</v>
      </c>
      <c r="R41" s="12">
        <v>0</v>
      </c>
      <c r="S41" s="12"/>
      <c r="T41" s="12"/>
      <c r="U41" s="12"/>
      <c r="V41" s="12">
        <v>0</v>
      </c>
      <c r="W41" s="12"/>
      <c r="X41" s="12">
        <v>0</v>
      </c>
      <c r="Y41" s="12">
        <v>0</v>
      </c>
      <c r="Z41" s="12">
        <v>0</v>
      </c>
      <c r="AA41" s="12">
        <v>0</v>
      </c>
      <c r="AB41" s="12">
        <v>0</v>
      </c>
      <c r="AC41" s="12"/>
      <c r="AD41" s="12">
        <v>0</v>
      </c>
      <c r="AE41" s="12">
        <v>0</v>
      </c>
      <c r="AF41" s="12">
        <f t="shared" ref="AF41:AF42" si="9">SUM(E41:AE41)</f>
        <v>200000</v>
      </c>
      <c r="AG41" s="7">
        <v>38</v>
      </c>
    </row>
    <row r="42" spans="2:33" x14ac:dyDescent="0.25">
      <c r="C42" s="7">
        <v>351</v>
      </c>
      <c r="D42" s="7" t="s">
        <v>107</v>
      </c>
      <c r="E42" s="12">
        <v>0</v>
      </c>
      <c r="F42" s="12">
        <v>750000</v>
      </c>
      <c r="G42" s="12">
        <v>0</v>
      </c>
      <c r="H42" s="12">
        <v>0</v>
      </c>
      <c r="I42" s="12"/>
      <c r="J42" s="12">
        <v>0</v>
      </c>
      <c r="K42" s="12">
        <v>0</v>
      </c>
      <c r="L42" s="12">
        <v>0</v>
      </c>
      <c r="M42" s="12">
        <v>0</v>
      </c>
      <c r="N42" s="12">
        <v>0</v>
      </c>
      <c r="O42" s="12">
        <v>470000</v>
      </c>
      <c r="P42" s="12">
        <v>0</v>
      </c>
      <c r="Q42" s="12">
        <v>0</v>
      </c>
      <c r="R42" s="12">
        <v>0</v>
      </c>
      <c r="S42" s="12"/>
      <c r="T42" s="12"/>
      <c r="U42" s="12"/>
      <c r="V42" s="12">
        <v>0</v>
      </c>
      <c r="W42" s="12"/>
      <c r="X42" s="12">
        <v>0</v>
      </c>
      <c r="Y42" s="12">
        <v>0</v>
      </c>
      <c r="Z42" s="12">
        <v>0</v>
      </c>
      <c r="AA42" s="12">
        <v>581760</v>
      </c>
      <c r="AB42" s="12">
        <v>0</v>
      </c>
      <c r="AC42" s="12"/>
      <c r="AD42" s="12">
        <v>0</v>
      </c>
      <c r="AE42" s="12">
        <v>88000</v>
      </c>
      <c r="AF42" s="12">
        <f t="shared" si="9"/>
        <v>1889760</v>
      </c>
      <c r="AG42" s="7">
        <v>39</v>
      </c>
    </row>
    <row r="43" spans="2:33" x14ac:dyDescent="0.25">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7">
        <v>40</v>
      </c>
    </row>
    <row r="44" spans="2:33" x14ac:dyDescent="0.25">
      <c r="B44" s="66">
        <v>36</v>
      </c>
      <c r="C44" s="66"/>
      <c r="D44" s="66" t="s">
        <v>109</v>
      </c>
      <c r="E44" s="67">
        <f>E45+E46+E47+E48+E49+E50+E51+E52</f>
        <v>236</v>
      </c>
      <c r="F44" s="67">
        <f t="shared" ref="F44:AF44" si="10">F45+F46+F47+F48+F49+F50+F51+F52</f>
        <v>333802</v>
      </c>
      <c r="G44" s="67">
        <f t="shared" si="10"/>
        <v>0</v>
      </c>
      <c r="H44" s="67">
        <f t="shared" si="10"/>
        <v>999585.55</v>
      </c>
      <c r="I44" s="67">
        <f t="shared" si="10"/>
        <v>0</v>
      </c>
      <c r="J44" s="67">
        <f t="shared" si="10"/>
        <v>0</v>
      </c>
      <c r="K44" s="67">
        <f t="shared" si="10"/>
        <v>0</v>
      </c>
      <c r="L44" s="67">
        <f t="shared" si="10"/>
        <v>0</v>
      </c>
      <c r="M44" s="67">
        <f t="shared" si="10"/>
        <v>0</v>
      </c>
      <c r="N44" s="67">
        <f t="shared" si="10"/>
        <v>8000</v>
      </c>
      <c r="O44" s="67">
        <f t="shared" si="10"/>
        <v>0</v>
      </c>
      <c r="P44" s="67">
        <f t="shared" si="10"/>
        <v>0</v>
      </c>
      <c r="Q44" s="67">
        <f t="shared" si="10"/>
        <v>0</v>
      </c>
      <c r="R44" s="67">
        <f t="shared" si="10"/>
        <v>0</v>
      </c>
      <c r="S44" s="67">
        <f t="shared" si="10"/>
        <v>0</v>
      </c>
      <c r="T44" s="67">
        <f t="shared" si="10"/>
        <v>0</v>
      </c>
      <c r="U44" s="67">
        <f t="shared" si="10"/>
        <v>0</v>
      </c>
      <c r="V44" s="67">
        <f t="shared" si="10"/>
        <v>19871.95</v>
      </c>
      <c r="W44" s="67">
        <f t="shared" si="10"/>
        <v>0</v>
      </c>
      <c r="X44" s="67">
        <f t="shared" si="10"/>
        <v>0</v>
      </c>
      <c r="Y44" s="67">
        <f t="shared" si="10"/>
        <v>416465.37</v>
      </c>
      <c r="Z44" s="67">
        <f t="shared" si="10"/>
        <v>0</v>
      </c>
      <c r="AA44" s="67">
        <f t="shared" si="10"/>
        <v>0</v>
      </c>
      <c r="AB44" s="67">
        <f t="shared" si="10"/>
        <v>10530</v>
      </c>
      <c r="AC44" s="67">
        <f t="shared" si="10"/>
        <v>0</v>
      </c>
      <c r="AD44" s="67">
        <f t="shared" si="10"/>
        <v>0</v>
      </c>
      <c r="AE44" s="67">
        <f t="shared" si="10"/>
        <v>9576</v>
      </c>
      <c r="AF44" s="67">
        <f t="shared" si="10"/>
        <v>1798066.87</v>
      </c>
      <c r="AG44" s="7">
        <v>41</v>
      </c>
    </row>
    <row r="45" spans="2:33" x14ac:dyDescent="0.25">
      <c r="C45" s="7">
        <v>360</v>
      </c>
      <c r="D45" s="7" t="s">
        <v>110</v>
      </c>
      <c r="E45" s="12">
        <v>236</v>
      </c>
      <c r="F45" s="12">
        <v>0</v>
      </c>
      <c r="G45" s="12">
        <v>0</v>
      </c>
      <c r="H45" s="12">
        <v>390320</v>
      </c>
      <c r="I45" s="12"/>
      <c r="J45" s="12">
        <v>0</v>
      </c>
      <c r="K45" s="12">
        <v>0</v>
      </c>
      <c r="L45" s="12">
        <v>0</v>
      </c>
      <c r="M45" s="12">
        <v>0</v>
      </c>
      <c r="N45" s="12">
        <v>0</v>
      </c>
      <c r="O45" s="12">
        <v>0</v>
      </c>
      <c r="P45" s="12">
        <v>0</v>
      </c>
      <c r="Q45" s="12">
        <v>0</v>
      </c>
      <c r="R45" s="12">
        <v>0</v>
      </c>
      <c r="S45" s="12"/>
      <c r="T45" s="12"/>
      <c r="U45" s="12"/>
      <c r="V45" s="12">
        <v>0</v>
      </c>
      <c r="W45" s="12"/>
      <c r="X45" s="12">
        <v>0</v>
      </c>
      <c r="Y45" s="12">
        <v>0</v>
      </c>
      <c r="Z45" s="12">
        <v>0</v>
      </c>
      <c r="AA45" s="12">
        <v>0</v>
      </c>
      <c r="AB45" s="12">
        <v>0</v>
      </c>
      <c r="AC45" s="12"/>
      <c r="AD45" s="12">
        <v>0</v>
      </c>
      <c r="AE45" s="12">
        <v>0</v>
      </c>
      <c r="AF45" s="12">
        <f t="shared" ref="AF45:AF52" si="11">SUM(E45:AE45)</f>
        <v>390556</v>
      </c>
      <c r="AG45" s="7">
        <v>42</v>
      </c>
    </row>
    <row r="46" spans="2:33" x14ac:dyDescent="0.25">
      <c r="C46" s="7">
        <v>361</v>
      </c>
      <c r="D46" s="7" t="s">
        <v>111</v>
      </c>
      <c r="E46" s="12">
        <v>0</v>
      </c>
      <c r="F46" s="12">
        <v>0</v>
      </c>
      <c r="G46" s="12">
        <v>0</v>
      </c>
      <c r="H46" s="12">
        <v>609109.80000000005</v>
      </c>
      <c r="I46" s="12"/>
      <c r="J46" s="12">
        <v>0</v>
      </c>
      <c r="K46" s="12">
        <v>0</v>
      </c>
      <c r="L46" s="12">
        <v>0</v>
      </c>
      <c r="M46" s="12">
        <v>0</v>
      </c>
      <c r="N46" s="12">
        <v>0</v>
      </c>
      <c r="O46" s="12">
        <v>0</v>
      </c>
      <c r="P46" s="12">
        <v>0</v>
      </c>
      <c r="Q46" s="12">
        <v>0</v>
      </c>
      <c r="R46" s="12">
        <v>0</v>
      </c>
      <c r="S46" s="12"/>
      <c r="T46" s="12"/>
      <c r="U46" s="12"/>
      <c r="V46" s="12">
        <v>19871.95</v>
      </c>
      <c r="W46" s="12"/>
      <c r="X46" s="12">
        <v>0</v>
      </c>
      <c r="Y46" s="12">
        <v>376465.37</v>
      </c>
      <c r="Z46" s="12">
        <v>0</v>
      </c>
      <c r="AA46" s="12">
        <v>0</v>
      </c>
      <c r="AB46" s="12">
        <v>0</v>
      </c>
      <c r="AC46" s="12"/>
      <c r="AD46" s="12">
        <v>0</v>
      </c>
      <c r="AE46" s="12">
        <v>0</v>
      </c>
      <c r="AF46" s="12">
        <f t="shared" si="11"/>
        <v>1005447.12</v>
      </c>
      <c r="AG46" s="7">
        <v>43</v>
      </c>
    </row>
    <row r="47" spans="2:33" x14ac:dyDescent="0.25">
      <c r="C47" s="7">
        <v>362</v>
      </c>
      <c r="D47" s="7" t="s">
        <v>112</v>
      </c>
      <c r="E47" s="12">
        <v>0</v>
      </c>
      <c r="F47" s="12">
        <v>0</v>
      </c>
      <c r="G47" s="12">
        <v>0</v>
      </c>
      <c r="H47" s="12">
        <v>155.75</v>
      </c>
      <c r="I47" s="12"/>
      <c r="J47" s="12">
        <v>0</v>
      </c>
      <c r="K47" s="12">
        <v>0</v>
      </c>
      <c r="L47" s="12">
        <v>0</v>
      </c>
      <c r="M47" s="12">
        <v>0</v>
      </c>
      <c r="N47" s="12">
        <v>0</v>
      </c>
      <c r="O47" s="12">
        <v>0</v>
      </c>
      <c r="P47" s="12">
        <v>0</v>
      </c>
      <c r="Q47" s="12">
        <v>0</v>
      </c>
      <c r="R47" s="12">
        <v>0</v>
      </c>
      <c r="S47" s="12"/>
      <c r="T47" s="12"/>
      <c r="U47" s="12"/>
      <c r="V47" s="12">
        <v>0</v>
      </c>
      <c r="W47" s="12"/>
      <c r="X47" s="12">
        <v>0</v>
      </c>
      <c r="Y47" s="12">
        <v>0</v>
      </c>
      <c r="Z47" s="12">
        <v>0</v>
      </c>
      <c r="AA47" s="12">
        <v>0</v>
      </c>
      <c r="AB47" s="12">
        <v>0</v>
      </c>
      <c r="AC47" s="12"/>
      <c r="AD47" s="12">
        <v>0</v>
      </c>
      <c r="AE47" s="12">
        <v>0</v>
      </c>
      <c r="AF47" s="12">
        <f t="shared" si="11"/>
        <v>155.75</v>
      </c>
      <c r="AG47" s="7">
        <v>44</v>
      </c>
    </row>
    <row r="48" spans="2:33" x14ac:dyDescent="0.25">
      <c r="C48" s="7">
        <v>363</v>
      </c>
      <c r="D48" s="7" t="s">
        <v>113</v>
      </c>
      <c r="E48" s="12">
        <v>0</v>
      </c>
      <c r="F48" s="12">
        <v>3250</v>
      </c>
      <c r="G48" s="12">
        <v>0</v>
      </c>
      <c r="H48" s="12">
        <v>0</v>
      </c>
      <c r="I48" s="12"/>
      <c r="J48" s="12">
        <v>0</v>
      </c>
      <c r="K48" s="12">
        <v>0</v>
      </c>
      <c r="L48" s="12">
        <v>0</v>
      </c>
      <c r="M48" s="12">
        <v>0</v>
      </c>
      <c r="N48" s="12">
        <v>8000</v>
      </c>
      <c r="O48" s="12">
        <v>0</v>
      </c>
      <c r="P48" s="12">
        <v>0</v>
      </c>
      <c r="Q48" s="12">
        <v>0</v>
      </c>
      <c r="R48" s="12">
        <v>0</v>
      </c>
      <c r="S48" s="12"/>
      <c r="T48" s="12"/>
      <c r="U48" s="12"/>
      <c r="V48" s="12">
        <v>0</v>
      </c>
      <c r="W48" s="12"/>
      <c r="X48" s="12">
        <v>0</v>
      </c>
      <c r="Y48" s="12">
        <v>40000</v>
      </c>
      <c r="Z48" s="12">
        <v>0</v>
      </c>
      <c r="AA48" s="12">
        <v>0</v>
      </c>
      <c r="AB48" s="12">
        <v>0</v>
      </c>
      <c r="AC48" s="12"/>
      <c r="AD48" s="12">
        <v>0</v>
      </c>
      <c r="AE48" s="12">
        <v>0</v>
      </c>
      <c r="AF48" s="12">
        <f t="shared" si="11"/>
        <v>51250</v>
      </c>
      <c r="AG48" s="7">
        <v>45</v>
      </c>
    </row>
    <row r="49" spans="2:33" x14ac:dyDescent="0.25">
      <c r="C49" s="7">
        <v>364</v>
      </c>
      <c r="D49" s="7" t="s">
        <v>114</v>
      </c>
      <c r="E49" s="12">
        <v>0</v>
      </c>
      <c r="F49" s="12">
        <v>0</v>
      </c>
      <c r="G49" s="12">
        <v>0</v>
      </c>
      <c r="H49" s="12">
        <v>0</v>
      </c>
      <c r="I49" s="12"/>
      <c r="J49" s="12">
        <v>0</v>
      </c>
      <c r="K49" s="12">
        <v>0</v>
      </c>
      <c r="L49" s="12">
        <v>0</v>
      </c>
      <c r="M49" s="12">
        <v>0</v>
      </c>
      <c r="N49" s="12">
        <v>0</v>
      </c>
      <c r="O49" s="12">
        <v>0</v>
      </c>
      <c r="P49" s="12">
        <v>0</v>
      </c>
      <c r="Q49" s="12">
        <v>0</v>
      </c>
      <c r="R49" s="12">
        <v>0</v>
      </c>
      <c r="S49" s="12"/>
      <c r="T49" s="12"/>
      <c r="U49" s="12"/>
      <c r="V49" s="12">
        <v>0</v>
      </c>
      <c r="W49" s="12"/>
      <c r="X49" s="12">
        <v>0</v>
      </c>
      <c r="Y49" s="12">
        <v>0</v>
      </c>
      <c r="Z49" s="12">
        <v>0</v>
      </c>
      <c r="AA49" s="12">
        <v>0</v>
      </c>
      <c r="AB49" s="12">
        <v>0</v>
      </c>
      <c r="AC49" s="12"/>
      <c r="AD49" s="12">
        <v>0</v>
      </c>
      <c r="AE49" s="12">
        <v>0</v>
      </c>
      <c r="AF49" s="12">
        <f t="shared" si="11"/>
        <v>0</v>
      </c>
      <c r="AG49" s="7">
        <v>46</v>
      </c>
    </row>
    <row r="50" spans="2:33" x14ac:dyDescent="0.25">
      <c r="C50" s="7">
        <v>365</v>
      </c>
      <c r="D50" s="7" t="s">
        <v>115</v>
      </c>
      <c r="E50" s="12">
        <v>0</v>
      </c>
      <c r="F50" s="12">
        <v>0</v>
      </c>
      <c r="G50" s="12">
        <v>0</v>
      </c>
      <c r="H50" s="12">
        <v>0</v>
      </c>
      <c r="I50" s="12"/>
      <c r="J50" s="12">
        <v>0</v>
      </c>
      <c r="K50" s="12">
        <v>0</v>
      </c>
      <c r="L50" s="12">
        <v>0</v>
      </c>
      <c r="M50" s="12">
        <v>0</v>
      </c>
      <c r="N50" s="12">
        <v>0</v>
      </c>
      <c r="O50" s="12">
        <v>0</v>
      </c>
      <c r="P50" s="12">
        <v>0</v>
      </c>
      <c r="Q50" s="12">
        <v>0</v>
      </c>
      <c r="R50" s="12">
        <v>0</v>
      </c>
      <c r="S50" s="12"/>
      <c r="T50" s="12"/>
      <c r="U50" s="12"/>
      <c r="V50" s="12">
        <v>0</v>
      </c>
      <c r="W50" s="12"/>
      <c r="X50" s="12">
        <v>0</v>
      </c>
      <c r="Y50" s="12">
        <v>0</v>
      </c>
      <c r="Z50" s="12">
        <v>0</v>
      </c>
      <c r="AA50" s="12">
        <v>0</v>
      </c>
      <c r="AB50" s="12">
        <v>0</v>
      </c>
      <c r="AC50" s="12"/>
      <c r="AD50" s="12">
        <v>0</v>
      </c>
      <c r="AE50" s="12">
        <v>0</v>
      </c>
      <c r="AF50" s="12">
        <f t="shared" si="11"/>
        <v>0</v>
      </c>
      <c r="AG50" s="7">
        <v>47</v>
      </c>
    </row>
    <row r="51" spans="2:33" x14ac:dyDescent="0.25">
      <c r="C51" s="7">
        <v>366</v>
      </c>
      <c r="D51" s="7" t="s">
        <v>116</v>
      </c>
      <c r="E51" s="12">
        <v>0</v>
      </c>
      <c r="F51" s="12">
        <v>0</v>
      </c>
      <c r="G51" s="12">
        <v>0</v>
      </c>
      <c r="H51" s="12">
        <v>0</v>
      </c>
      <c r="I51" s="12"/>
      <c r="J51" s="12">
        <v>0</v>
      </c>
      <c r="K51" s="12">
        <v>0</v>
      </c>
      <c r="L51" s="12">
        <v>0</v>
      </c>
      <c r="M51" s="12">
        <v>0</v>
      </c>
      <c r="N51" s="12">
        <v>0</v>
      </c>
      <c r="O51" s="12">
        <v>0</v>
      </c>
      <c r="P51" s="12">
        <v>0</v>
      </c>
      <c r="Q51" s="12">
        <v>0</v>
      </c>
      <c r="R51" s="12">
        <v>0</v>
      </c>
      <c r="S51" s="12"/>
      <c r="T51" s="12"/>
      <c r="U51" s="12"/>
      <c r="V51" s="12">
        <v>0</v>
      </c>
      <c r="W51" s="12"/>
      <c r="X51" s="12">
        <v>0</v>
      </c>
      <c r="Y51" s="12">
        <v>0</v>
      </c>
      <c r="Z51" s="12">
        <v>0</v>
      </c>
      <c r="AA51" s="12">
        <v>0</v>
      </c>
      <c r="AB51" s="12">
        <v>0</v>
      </c>
      <c r="AC51" s="12"/>
      <c r="AD51" s="12">
        <v>0</v>
      </c>
      <c r="AE51" s="12">
        <v>0</v>
      </c>
      <c r="AF51" s="12">
        <f t="shared" si="11"/>
        <v>0</v>
      </c>
      <c r="AG51" s="7">
        <v>48</v>
      </c>
    </row>
    <row r="52" spans="2:33" x14ac:dyDescent="0.25">
      <c r="C52" s="7">
        <v>369</v>
      </c>
      <c r="D52" s="7" t="s">
        <v>117</v>
      </c>
      <c r="E52" s="12">
        <v>0</v>
      </c>
      <c r="F52" s="12">
        <v>330552</v>
      </c>
      <c r="G52" s="12">
        <v>0</v>
      </c>
      <c r="H52" s="12">
        <v>0</v>
      </c>
      <c r="I52" s="12"/>
      <c r="J52" s="12">
        <v>0</v>
      </c>
      <c r="K52" s="12">
        <v>0</v>
      </c>
      <c r="L52" s="12">
        <v>0</v>
      </c>
      <c r="M52" s="12">
        <v>0</v>
      </c>
      <c r="N52" s="12">
        <v>0</v>
      </c>
      <c r="O52" s="12">
        <v>0</v>
      </c>
      <c r="P52" s="12">
        <v>0</v>
      </c>
      <c r="Q52" s="12">
        <v>0</v>
      </c>
      <c r="R52" s="12">
        <v>0</v>
      </c>
      <c r="S52" s="12"/>
      <c r="T52" s="12"/>
      <c r="U52" s="12"/>
      <c r="V52" s="12">
        <v>0</v>
      </c>
      <c r="W52" s="12"/>
      <c r="X52" s="12">
        <v>0</v>
      </c>
      <c r="Y52" s="12">
        <v>0</v>
      </c>
      <c r="Z52" s="12">
        <v>0</v>
      </c>
      <c r="AA52" s="12">
        <v>0</v>
      </c>
      <c r="AB52" s="12">
        <v>10530</v>
      </c>
      <c r="AC52" s="12"/>
      <c r="AD52" s="12">
        <v>0</v>
      </c>
      <c r="AE52" s="12">
        <v>9576</v>
      </c>
      <c r="AF52" s="12">
        <f t="shared" si="11"/>
        <v>350658</v>
      </c>
      <c r="AG52" s="7">
        <v>49</v>
      </c>
    </row>
    <row r="53" spans="2:33" x14ac:dyDescent="0.25">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7">
        <v>50</v>
      </c>
    </row>
    <row r="54" spans="2:33" x14ac:dyDescent="0.25">
      <c r="B54" s="66">
        <v>37</v>
      </c>
      <c r="C54" s="66"/>
      <c r="D54" s="66" t="s">
        <v>118</v>
      </c>
      <c r="E54" s="67">
        <f>E55</f>
        <v>0</v>
      </c>
      <c r="F54" s="67">
        <f t="shared" ref="F54:AF54" si="12">F55</f>
        <v>0</v>
      </c>
      <c r="G54" s="67">
        <f t="shared" si="12"/>
        <v>0</v>
      </c>
      <c r="H54" s="67">
        <f t="shared" si="12"/>
        <v>0</v>
      </c>
      <c r="I54" s="67">
        <f t="shared" si="12"/>
        <v>0</v>
      </c>
      <c r="J54" s="67">
        <f t="shared" si="12"/>
        <v>0</v>
      </c>
      <c r="K54" s="67">
        <f t="shared" si="12"/>
        <v>0</v>
      </c>
      <c r="L54" s="67">
        <f t="shared" si="12"/>
        <v>0</v>
      </c>
      <c r="M54" s="67">
        <f t="shared" si="12"/>
        <v>0</v>
      </c>
      <c r="N54" s="67">
        <f t="shared" si="12"/>
        <v>0</v>
      </c>
      <c r="O54" s="67">
        <f t="shared" si="12"/>
        <v>0</v>
      </c>
      <c r="P54" s="67">
        <f t="shared" si="12"/>
        <v>0</v>
      </c>
      <c r="Q54" s="67">
        <f t="shared" si="12"/>
        <v>0</v>
      </c>
      <c r="R54" s="67">
        <f t="shared" si="12"/>
        <v>0</v>
      </c>
      <c r="S54" s="67">
        <f t="shared" si="12"/>
        <v>0</v>
      </c>
      <c r="T54" s="67">
        <f t="shared" si="12"/>
        <v>0</v>
      </c>
      <c r="U54" s="67">
        <f t="shared" si="12"/>
        <v>0</v>
      </c>
      <c r="V54" s="67">
        <f t="shared" si="12"/>
        <v>0</v>
      </c>
      <c r="W54" s="67">
        <f t="shared" si="12"/>
        <v>0</v>
      </c>
      <c r="X54" s="67">
        <f t="shared" si="12"/>
        <v>0</v>
      </c>
      <c r="Y54" s="67">
        <f t="shared" si="12"/>
        <v>0</v>
      </c>
      <c r="Z54" s="67">
        <f t="shared" si="12"/>
        <v>0</v>
      </c>
      <c r="AA54" s="67">
        <f t="shared" si="12"/>
        <v>0</v>
      </c>
      <c r="AB54" s="67">
        <f t="shared" si="12"/>
        <v>0</v>
      </c>
      <c r="AC54" s="67">
        <f t="shared" si="12"/>
        <v>0</v>
      </c>
      <c r="AD54" s="67">
        <f t="shared" si="12"/>
        <v>0</v>
      </c>
      <c r="AE54" s="67">
        <f t="shared" si="12"/>
        <v>0</v>
      </c>
      <c r="AF54" s="67">
        <f t="shared" si="12"/>
        <v>0</v>
      </c>
      <c r="AG54" s="7">
        <v>51</v>
      </c>
    </row>
    <row r="55" spans="2:33" x14ac:dyDescent="0.25">
      <c r="C55" s="7">
        <v>370</v>
      </c>
      <c r="D55" s="7" t="s">
        <v>119</v>
      </c>
      <c r="E55" s="12">
        <v>0</v>
      </c>
      <c r="F55" s="12">
        <v>0</v>
      </c>
      <c r="G55" s="12">
        <v>0</v>
      </c>
      <c r="H55" s="12">
        <v>0</v>
      </c>
      <c r="I55" s="12"/>
      <c r="J55" s="12">
        <v>0</v>
      </c>
      <c r="K55" s="12"/>
      <c r="L55" s="12">
        <v>0</v>
      </c>
      <c r="M55" s="12">
        <v>0</v>
      </c>
      <c r="N55" s="12">
        <v>0</v>
      </c>
      <c r="O55" s="12">
        <v>0</v>
      </c>
      <c r="P55" s="12">
        <v>0</v>
      </c>
      <c r="Q55" s="12">
        <v>0</v>
      </c>
      <c r="R55" s="12">
        <v>0</v>
      </c>
      <c r="S55" s="12"/>
      <c r="T55" s="12"/>
      <c r="U55" s="12"/>
      <c r="V55" s="12">
        <v>0</v>
      </c>
      <c r="W55" s="12"/>
      <c r="X55" s="12">
        <v>0</v>
      </c>
      <c r="Y55" s="12">
        <v>0</v>
      </c>
      <c r="Z55" s="12">
        <v>0</v>
      </c>
      <c r="AA55" s="12">
        <v>0</v>
      </c>
      <c r="AB55" s="12">
        <v>0</v>
      </c>
      <c r="AC55" s="12"/>
      <c r="AD55" s="12">
        <v>0</v>
      </c>
      <c r="AE55" s="12">
        <v>0</v>
      </c>
      <c r="AF55" s="12">
        <f>SUM(E55:AE55)</f>
        <v>0</v>
      </c>
      <c r="AG55" s="7">
        <v>52</v>
      </c>
    </row>
    <row r="56" spans="2:33" x14ac:dyDescent="0.25">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7">
        <v>53</v>
      </c>
    </row>
    <row r="57" spans="2:33" x14ac:dyDescent="0.25">
      <c r="B57" s="66">
        <v>38</v>
      </c>
      <c r="C57" s="66"/>
      <c r="D57" s="66" t="s">
        <v>120</v>
      </c>
      <c r="E57" s="67">
        <f>E58+E59+E60+E61+E62+E63</f>
        <v>0</v>
      </c>
      <c r="F57" s="67">
        <f t="shared" ref="F57:AF57" si="13">F58+F59+F60+F61+F62+F63</f>
        <v>0</v>
      </c>
      <c r="G57" s="67">
        <f t="shared" si="13"/>
        <v>0</v>
      </c>
      <c r="H57" s="67">
        <f t="shared" si="13"/>
        <v>2000000</v>
      </c>
      <c r="I57" s="67">
        <f t="shared" si="13"/>
        <v>0</v>
      </c>
      <c r="J57" s="67">
        <f t="shared" si="13"/>
        <v>0</v>
      </c>
      <c r="K57" s="67">
        <f t="shared" si="13"/>
        <v>0</v>
      </c>
      <c r="L57" s="67">
        <f t="shared" si="13"/>
        <v>0</v>
      </c>
      <c r="M57" s="67">
        <f t="shared" si="13"/>
        <v>0</v>
      </c>
      <c r="N57" s="67">
        <f t="shared" si="13"/>
        <v>0</v>
      </c>
      <c r="O57" s="67">
        <f t="shared" si="13"/>
        <v>0</v>
      </c>
      <c r="P57" s="67">
        <f t="shared" si="13"/>
        <v>0</v>
      </c>
      <c r="Q57" s="67">
        <f t="shared" si="13"/>
        <v>0</v>
      </c>
      <c r="R57" s="67">
        <f t="shared" si="13"/>
        <v>0</v>
      </c>
      <c r="S57" s="67">
        <f t="shared" si="13"/>
        <v>0</v>
      </c>
      <c r="T57" s="67">
        <f t="shared" si="13"/>
        <v>0</v>
      </c>
      <c r="U57" s="67">
        <f t="shared" si="13"/>
        <v>0</v>
      </c>
      <c r="V57" s="67">
        <f t="shared" si="13"/>
        <v>0</v>
      </c>
      <c r="W57" s="67">
        <f t="shared" si="13"/>
        <v>0</v>
      </c>
      <c r="X57" s="67">
        <f t="shared" si="13"/>
        <v>277000</v>
      </c>
      <c r="Y57" s="67">
        <f t="shared" si="13"/>
        <v>0</v>
      </c>
      <c r="Z57" s="67">
        <f t="shared" si="13"/>
        <v>0</v>
      </c>
      <c r="AA57" s="67">
        <f t="shared" si="13"/>
        <v>0</v>
      </c>
      <c r="AB57" s="67">
        <f t="shared" si="13"/>
        <v>0</v>
      </c>
      <c r="AC57" s="67">
        <f t="shared" si="13"/>
        <v>0</v>
      </c>
      <c r="AD57" s="67">
        <f t="shared" si="13"/>
        <v>0</v>
      </c>
      <c r="AE57" s="67">
        <f t="shared" si="13"/>
        <v>0</v>
      </c>
      <c r="AF57" s="67">
        <f t="shared" si="13"/>
        <v>2277000</v>
      </c>
      <c r="AG57" s="7">
        <v>54</v>
      </c>
    </row>
    <row r="58" spans="2:33" x14ac:dyDescent="0.25">
      <c r="C58" s="7">
        <v>380</v>
      </c>
      <c r="D58" s="7" t="s">
        <v>121</v>
      </c>
      <c r="E58" s="12">
        <v>0</v>
      </c>
      <c r="F58" s="12">
        <v>0</v>
      </c>
      <c r="G58" s="12">
        <v>0</v>
      </c>
      <c r="H58" s="12">
        <v>0</v>
      </c>
      <c r="I58" s="12"/>
      <c r="J58" s="12">
        <v>0</v>
      </c>
      <c r="K58" s="12">
        <v>0</v>
      </c>
      <c r="L58" s="12">
        <v>0</v>
      </c>
      <c r="M58" s="12">
        <v>0</v>
      </c>
      <c r="N58" s="12">
        <v>0</v>
      </c>
      <c r="O58" s="12">
        <v>0</v>
      </c>
      <c r="P58" s="12">
        <v>0</v>
      </c>
      <c r="Q58" s="12">
        <v>0</v>
      </c>
      <c r="R58" s="12">
        <v>0</v>
      </c>
      <c r="S58" s="12"/>
      <c r="T58" s="12"/>
      <c r="U58" s="12"/>
      <c r="V58" s="12">
        <v>0</v>
      </c>
      <c r="W58" s="12"/>
      <c r="X58" s="12">
        <v>0</v>
      </c>
      <c r="Y58" s="12">
        <v>0</v>
      </c>
      <c r="Z58" s="12">
        <v>0</v>
      </c>
      <c r="AA58" s="12">
        <v>0</v>
      </c>
      <c r="AB58" s="12">
        <v>0</v>
      </c>
      <c r="AC58" s="12"/>
      <c r="AD58" s="12">
        <v>0</v>
      </c>
      <c r="AE58" s="12">
        <v>0</v>
      </c>
      <c r="AF58" s="12">
        <f t="shared" ref="AF58:AF63" si="14">SUM(E58:AE58)</f>
        <v>0</v>
      </c>
      <c r="AG58" s="7">
        <v>55</v>
      </c>
    </row>
    <row r="59" spans="2:33" x14ac:dyDescent="0.25">
      <c r="C59" s="7">
        <v>381</v>
      </c>
      <c r="D59" s="7" t="s">
        <v>122</v>
      </c>
      <c r="E59" s="12">
        <v>0</v>
      </c>
      <c r="F59" s="12">
        <v>0</v>
      </c>
      <c r="G59" s="12">
        <v>0</v>
      </c>
      <c r="H59" s="12">
        <v>0</v>
      </c>
      <c r="I59" s="12"/>
      <c r="J59" s="12">
        <v>0</v>
      </c>
      <c r="K59" s="12">
        <v>0</v>
      </c>
      <c r="L59" s="12">
        <v>0</v>
      </c>
      <c r="M59" s="12">
        <v>0</v>
      </c>
      <c r="N59" s="12">
        <v>0</v>
      </c>
      <c r="O59" s="12">
        <v>0</v>
      </c>
      <c r="P59" s="12">
        <v>0</v>
      </c>
      <c r="Q59" s="12">
        <v>0</v>
      </c>
      <c r="R59" s="12">
        <v>0</v>
      </c>
      <c r="S59" s="12"/>
      <c r="T59" s="12"/>
      <c r="U59" s="12"/>
      <c r="V59" s="12">
        <v>0</v>
      </c>
      <c r="W59" s="12"/>
      <c r="X59" s="12">
        <v>0</v>
      </c>
      <c r="Y59" s="12">
        <v>0</v>
      </c>
      <c r="Z59" s="12">
        <v>0</v>
      </c>
      <c r="AA59" s="12">
        <v>0</v>
      </c>
      <c r="AB59" s="12">
        <v>0</v>
      </c>
      <c r="AC59" s="12"/>
      <c r="AD59" s="12">
        <v>0</v>
      </c>
      <c r="AE59" s="12">
        <v>0</v>
      </c>
      <c r="AF59" s="12">
        <f t="shared" si="14"/>
        <v>0</v>
      </c>
      <c r="AG59" s="7">
        <v>56</v>
      </c>
    </row>
    <row r="60" spans="2:33" x14ac:dyDescent="0.25">
      <c r="C60" s="7">
        <v>384</v>
      </c>
      <c r="D60" s="7" t="s">
        <v>123</v>
      </c>
      <c r="E60" s="12">
        <v>0</v>
      </c>
      <c r="F60" s="12">
        <v>0</v>
      </c>
      <c r="G60" s="12">
        <v>0</v>
      </c>
      <c r="H60" s="12">
        <v>0</v>
      </c>
      <c r="I60" s="12"/>
      <c r="J60" s="12">
        <v>0</v>
      </c>
      <c r="K60" s="12">
        <v>0</v>
      </c>
      <c r="L60" s="12">
        <v>0</v>
      </c>
      <c r="M60" s="12">
        <v>0</v>
      </c>
      <c r="N60" s="12">
        <v>0</v>
      </c>
      <c r="O60" s="12">
        <v>0</v>
      </c>
      <c r="P60" s="12">
        <v>0</v>
      </c>
      <c r="Q60" s="12">
        <v>0</v>
      </c>
      <c r="R60" s="12">
        <v>0</v>
      </c>
      <c r="S60" s="12"/>
      <c r="T60" s="12"/>
      <c r="U60" s="12"/>
      <c r="V60" s="12">
        <v>0</v>
      </c>
      <c r="W60" s="12"/>
      <c r="X60" s="12">
        <v>0</v>
      </c>
      <c r="Y60" s="12">
        <v>0</v>
      </c>
      <c r="Z60" s="12">
        <v>0</v>
      </c>
      <c r="AA60" s="12">
        <v>0</v>
      </c>
      <c r="AB60" s="12">
        <v>0</v>
      </c>
      <c r="AC60" s="12"/>
      <c r="AD60" s="12">
        <v>0</v>
      </c>
      <c r="AE60" s="12">
        <v>0</v>
      </c>
      <c r="AF60" s="12">
        <f t="shared" si="14"/>
        <v>0</v>
      </c>
      <c r="AG60" s="7">
        <v>57</v>
      </c>
    </row>
    <row r="61" spans="2:33" x14ac:dyDescent="0.25">
      <c r="C61" s="7">
        <v>385</v>
      </c>
      <c r="D61" s="7" t="s">
        <v>124</v>
      </c>
      <c r="E61" s="12">
        <v>0</v>
      </c>
      <c r="F61" s="12">
        <v>0</v>
      </c>
      <c r="G61" s="12">
        <v>0</v>
      </c>
      <c r="H61" s="12">
        <v>0</v>
      </c>
      <c r="I61" s="12"/>
      <c r="J61" s="12">
        <v>0</v>
      </c>
      <c r="K61" s="12">
        <v>0</v>
      </c>
      <c r="L61" s="12">
        <v>0</v>
      </c>
      <c r="M61" s="12">
        <v>0</v>
      </c>
      <c r="N61" s="12">
        <v>0</v>
      </c>
      <c r="O61" s="12">
        <v>0</v>
      </c>
      <c r="P61" s="12">
        <v>0</v>
      </c>
      <c r="Q61" s="12">
        <v>0</v>
      </c>
      <c r="R61" s="12">
        <v>0</v>
      </c>
      <c r="S61" s="12"/>
      <c r="T61" s="12"/>
      <c r="U61" s="12"/>
      <c r="V61" s="12">
        <v>0</v>
      </c>
      <c r="W61" s="12"/>
      <c r="X61" s="12">
        <v>0</v>
      </c>
      <c r="Y61" s="12">
        <v>0</v>
      </c>
      <c r="Z61" s="12">
        <v>0</v>
      </c>
      <c r="AA61" s="12">
        <v>0</v>
      </c>
      <c r="AB61" s="12">
        <v>0</v>
      </c>
      <c r="AC61" s="12"/>
      <c r="AD61" s="12">
        <v>0</v>
      </c>
      <c r="AE61" s="12">
        <v>0</v>
      </c>
      <c r="AF61" s="12">
        <f t="shared" si="14"/>
        <v>0</v>
      </c>
      <c r="AG61" s="7">
        <v>58</v>
      </c>
    </row>
    <row r="62" spans="2:33" x14ac:dyDescent="0.25">
      <c r="C62" s="7">
        <v>386</v>
      </c>
      <c r="D62" s="7" t="s">
        <v>125</v>
      </c>
      <c r="E62" s="12">
        <v>0</v>
      </c>
      <c r="F62" s="12">
        <v>0</v>
      </c>
      <c r="G62" s="12">
        <v>0</v>
      </c>
      <c r="H62" s="12">
        <v>0</v>
      </c>
      <c r="I62" s="12"/>
      <c r="J62" s="12">
        <v>0</v>
      </c>
      <c r="K62" s="12">
        <v>0</v>
      </c>
      <c r="L62" s="12">
        <v>0</v>
      </c>
      <c r="M62" s="12">
        <v>0</v>
      </c>
      <c r="N62" s="12">
        <v>0</v>
      </c>
      <c r="O62" s="12">
        <v>0</v>
      </c>
      <c r="P62" s="12">
        <v>0</v>
      </c>
      <c r="Q62" s="12">
        <v>0</v>
      </c>
      <c r="R62" s="12">
        <v>0</v>
      </c>
      <c r="S62" s="12"/>
      <c r="T62" s="12"/>
      <c r="U62" s="12"/>
      <c r="V62" s="12">
        <v>0</v>
      </c>
      <c r="W62" s="12"/>
      <c r="X62" s="12">
        <v>0</v>
      </c>
      <c r="Y62" s="12">
        <v>0</v>
      </c>
      <c r="Z62" s="12">
        <v>0</v>
      </c>
      <c r="AA62" s="12">
        <v>0</v>
      </c>
      <c r="AB62" s="12">
        <v>0</v>
      </c>
      <c r="AC62" s="12"/>
      <c r="AD62" s="12">
        <v>0</v>
      </c>
      <c r="AE62" s="12">
        <v>0</v>
      </c>
      <c r="AF62" s="12">
        <f t="shared" si="14"/>
        <v>0</v>
      </c>
      <c r="AG62" s="7">
        <v>59</v>
      </c>
    </row>
    <row r="63" spans="2:33" x14ac:dyDescent="0.25">
      <c r="C63" s="7">
        <v>389</v>
      </c>
      <c r="D63" s="7" t="s">
        <v>289</v>
      </c>
      <c r="E63" s="12">
        <v>0</v>
      </c>
      <c r="F63" s="12">
        <v>0</v>
      </c>
      <c r="G63" s="12">
        <v>0</v>
      </c>
      <c r="H63" s="12">
        <v>2000000</v>
      </c>
      <c r="I63" s="12"/>
      <c r="J63" s="12">
        <v>0</v>
      </c>
      <c r="K63" s="12">
        <v>0</v>
      </c>
      <c r="L63" s="12">
        <v>0</v>
      </c>
      <c r="M63" s="12">
        <v>0</v>
      </c>
      <c r="N63" s="12">
        <v>0</v>
      </c>
      <c r="O63" s="12">
        <v>0</v>
      </c>
      <c r="P63" s="12">
        <v>0</v>
      </c>
      <c r="Q63" s="12">
        <v>0</v>
      </c>
      <c r="R63" s="12">
        <v>0</v>
      </c>
      <c r="S63" s="12"/>
      <c r="T63" s="12"/>
      <c r="U63" s="12"/>
      <c r="V63" s="12">
        <v>0</v>
      </c>
      <c r="W63" s="12"/>
      <c r="X63" s="12">
        <v>277000</v>
      </c>
      <c r="Y63" s="12">
        <v>0</v>
      </c>
      <c r="Z63" s="12">
        <v>0</v>
      </c>
      <c r="AA63" s="12">
        <v>0</v>
      </c>
      <c r="AB63" s="12">
        <v>0</v>
      </c>
      <c r="AC63" s="12"/>
      <c r="AD63" s="12">
        <v>0</v>
      </c>
      <c r="AE63" s="12">
        <v>0</v>
      </c>
      <c r="AF63" s="12">
        <f t="shared" si="14"/>
        <v>2277000</v>
      </c>
      <c r="AG63" s="7">
        <v>60</v>
      </c>
    </row>
    <row r="64" spans="2:33" x14ac:dyDescent="0.25">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7">
        <v>61</v>
      </c>
    </row>
    <row r="65" spans="1:33" x14ac:dyDescent="0.25">
      <c r="B65" s="66">
        <v>39</v>
      </c>
      <c r="C65" s="66"/>
      <c r="D65" s="66" t="s">
        <v>127</v>
      </c>
      <c r="E65" s="67">
        <f>E66+E67+E68+E69+E70+E71+E72+E73</f>
        <v>0</v>
      </c>
      <c r="F65" s="67">
        <f t="shared" ref="F65:AF65" si="15">F66+F67+F68+F69+F70+F71+F72+F73</f>
        <v>0</v>
      </c>
      <c r="G65" s="67">
        <f t="shared" si="15"/>
        <v>0</v>
      </c>
      <c r="H65" s="67">
        <f t="shared" si="15"/>
        <v>0</v>
      </c>
      <c r="I65" s="67">
        <f t="shared" si="15"/>
        <v>0</v>
      </c>
      <c r="J65" s="67">
        <f t="shared" si="15"/>
        <v>0</v>
      </c>
      <c r="K65" s="67">
        <f t="shared" si="15"/>
        <v>0</v>
      </c>
      <c r="L65" s="67">
        <f t="shared" si="15"/>
        <v>0</v>
      </c>
      <c r="M65" s="67">
        <f t="shared" si="15"/>
        <v>0</v>
      </c>
      <c r="N65" s="67">
        <f t="shared" si="15"/>
        <v>0</v>
      </c>
      <c r="O65" s="67">
        <f t="shared" si="15"/>
        <v>0</v>
      </c>
      <c r="P65" s="67">
        <f t="shared" si="15"/>
        <v>0</v>
      </c>
      <c r="Q65" s="67">
        <f t="shared" si="15"/>
        <v>0</v>
      </c>
      <c r="R65" s="67">
        <f t="shared" si="15"/>
        <v>0</v>
      </c>
      <c r="S65" s="67">
        <f t="shared" si="15"/>
        <v>0</v>
      </c>
      <c r="T65" s="67">
        <f t="shared" si="15"/>
        <v>0</v>
      </c>
      <c r="U65" s="67">
        <f t="shared" si="15"/>
        <v>0</v>
      </c>
      <c r="V65" s="67">
        <f t="shared" si="15"/>
        <v>183345.69</v>
      </c>
      <c r="W65" s="67">
        <f t="shared" si="15"/>
        <v>0</v>
      </c>
      <c r="X65" s="67">
        <f t="shared" si="15"/>
        <v>0</v>
      </c>
      <c r="Y65" s="67">
        <f t="shared" si="15"/>
        <v>0</v>
      </c>
      <c r="Z65" s="67">
        <f t="shared" si="15"/>
        <v>15434.6</v>
      </c>
      <c r="AA65" s="67">
        <f t="shared" si="15"/>
        <v>0</v>
      </c>
      <c r="AB65" s="67">
        <f t="shared" si="15"/>
        <v>0</v>
      </c>
      <c r="AC65" s="67">
        <f t="shared" si="15"/>
        <v>0</v>
      </c>
      <c r="AD65" s="67">
        <f t="shared" si="15"/>
        <v>0</v>
      </c>
      <c r="AE65" s="67">
        <f t="shared" si="15"/>
        <v>0</v>
      </c>
      <c r="AF65" s="67">
        <f t="shared" si="15"/>
        <v>198780.29</v>
      </c>
      <c r="AG65" s="7">
        <v>62</v>
      </c>
    </row>
    <row r="66" spans="1:33" x14ac:dyDescent="0.25">
      <c r="C66" s="7">
        <v>390</v>
      </c>
      <c r="D66" s="7" t="s">
        <v>128</v>
      </c>
      <c r="E66" s="12">
        <v>0</v>
      </c>
      <c r="F66" s="12">
        <v>0</v>
      </c>
      <c r="G66" s="12">
        <v>0</v>
      </c>
      <c r="H66" s="12">
        <v>0</v>
      </c>
      <c r="I66" s="12"/>
      <c r="J66" s="12">
        <v>0</v>
      </c>
      <c r="K66" s="12">
        <v>0</v>
      </c>
      <c r="L66" s="12">
        <v>0</v>
      </c>
      <c r="M66" s="12">
        <v>0</v>
      </c>
      <c r="N66" s="12">
        <v>0</v>
      </c>
      <c r="O66" s="12">
        <v>0</v>
      </c>
      <c r="P66" s="12">
        <v>0</v>
      </c>
      <c r="Q66" s="12">
        <v>0</v>
      </c>
      <c r="R66" s="12">
        <v>0</v>
      </c>
      <c r="S66" s="12"/>
      <c r="T66" s="12"/>
      <c r="U66" s="12"/>
      <c r="V66" s="12">
        <v>0</v>
      </c>
      <c r="W66" s="12"/>
      <c r="X66" s="12">
        <v>0</v>
      </c>
      <c r="Y66" s="12">
        <v>0</v>
      </c>
      <c r="Z66" s="12">
        <v>0</v>
      </c>
      <c r="AA66" s="12">
        <v>0</v>
      </c>
      <c r="AB66" s="12">
        <v>0</v>
      </c>
      <c r="AC66" s="12"/>
      <c r="AD66" s="12">
        <v>0</v>
      </c>
      <c r="AE66" s="12">
        <v>0</v>
      </c>
      <c r="AF66" s="12">
        <f t="shared" ref="AF66:AF73" si="16">SUM(E66:AE66)</f>
        <v>0</v>
      </c>
      <c r="AG66" s="7">
        <v>63</v>
      </c>
    </row>
    <row r="67" spans="1:33" x14ac:dyDescent="0.25">
      <c r="C67" s="7">
        <v>391</v>
      </c>
      <c r="D67" s="7" t="s">
        <v>129</v>
      </c>
      <c r="E67" s="12">
        <v>0</v>
      </c>
      <c r="F67" s="12">
        <v>0</v>
      </c>
      <c r="G67" s="12">
        <v>0</v>
      </c>
      <c r="H67" s="12">
        <v>0</v>
      </c>
      <c r="I67" s="12"/>
      <c r="J67" s="12">
        <v>0</v>
      </c>
      <c r="K67" s="12">
        <v>0</v>
      </c>
      <c r="L67" s="12">
        <v>0</v>
      </c>
      <c r="M67" s="12">
        <v>0</v>
      </c>
      <c r="N67" s="12">
        <v>0</v>
      </c>
      <c r="O67" s="12">
        <v>0</v>
      </c>
      <c r="P67" s="12">
        <v>0</v>
      </c>
      <c r="Q67" s="12">
        <v>0</v>
      </c>
      <c r="R67" s="12">
        <v>0</v>
      </c>
      <c r="S67" s="12"/>
      <c r="T67" s="12"/>
      <c r="U67" s="12"/>
      <c r="V67" s="12">
        <v>0</v>
      </c>
      <c r="W67" s="12"/>
      <c r="X67" s="12">
        <v>0</v>
      </c>
      <c r="Y67" s="12">
        <v>0</v>
      </c>
      <c r="Z67" s="12">
        <v>0</v>
      </c>
      <c r="AA67" s="12">
        <v>0</v>
      </c>
      <c r="AB67" s="12">
        <v>0</v>
      </c>
      <c r="AC67" s="12"/>
      <c r="AD67" s="12">
        <v>0</v>
      </c>
      <c r="AE67" s="12">
        <v>0</v>
      </c>
      <c r="AF67" s="12">
        <f t="shared" si="16"/>
        <v>0</v>
      </c>
      <c r="AG67" s="7">
        <v>64</v>
      </c>
    </row>
    <row r="68" spans="1:33" x14ac:dyDescent="0.25">
      <c r="C68" s="7">
        <v>392</v>
      </c>
      <c r="D68" s="7" t="s">
        <v>130</v>
      </c>
      <c r="E68" s="12">
        <v>0</v>
      </c>
      <c r="F68" s="12">
        <v>0</v>
      </c>
      <c r="G68" s="12">
        <v>0</v>
      </c>
      <c r="H68" s="12">
        <v>0</v>
      </c>
      <c r="I68" s="12"/>
      <c r="J68" s="12">
        <v>0</v>
      </c>
      <c r="K68" s="12">
        <v>0</v>
      </c>
      <c r="L68" s="12">
        <v>0</v>
      </c>
      <c r="M68" s="12">
        <v>0</v>
      </c>
      <c r="N68" s="12">
        <v>0</v>
      </c>
      <c r="O68" s="12">
        <v>0</v>
      </c>
      <c r="P68" s="12">
        <v>0</v>
      </c>
      <c r="Q68" s="12">
        <v>0</v>
      </c>
      <c r="R68" s="12">
        <v>0</v>
      </c>
      <c r="S68" s="12"/>
      <c r="T68" s="12"/>
      <c r="U68" s="12"/>
      <c r="V68" s="12">
        <v>0</v>
      </c>
      <c r="W68" s="12"/>
      <c r="X68" s="12">
        <v>0</v>
      </c>
      <c r="Y68" s="12">
        <v>0</v>
      </c>
      <c r="Z68" s="12">
        <v>0</v>
      </c>
      <c r="AA68" s="12">
        <v>0</v>
      </c>
      <c r="AB68" s="12">
        <v>0</v>
      </c>
      <c r="AC68" s="12"/>
      <c r="AD68" s="12">
        <v>0</v>
      </c>
      <c r="AE68" s="12">
        <v>0</v>
      </c>
      <c r="AF68" s="12">
        <f t="shared" si="16"/>
        <v>0</v>
      </c>
      <c r="AG68" s="7">
        <v>65</v>
      </c>
    </row>
    <row r="69" spans="1:33" x14ac:dyDescent="0.25">
      <c r="C69" s="7">
        <v>393</v>
      </c>
      <c r="D69" s="7" t="s">
        <v>131</v>
      </c>
      <c r="E69" s="12">
        <v>0</v>
      </c>
      <c r="F69" s="12">
        <v>0</v>
      </c>
      <c r="G69" s="12">
        <v>0</v>
      </c>
      <c r="H69" s="12">
        <v>0</v>
      </c>
      <c r="I69" s="12"/>
      <c r="J69" s="12">
        <v>0</v>
      </c>
      <c r="K69" s="12">
        <v>0</v>
      </c>
      <c r="L69" s="12">
        <v>0</v>
      </c>
      <c r="M69" s="12">
        <v>0</v>
      </c>
      <c r="N69" s="12">
        <v>0</v>
      </c>
      <c r="O69" s="12">
        <v>0</v>
      </c>
      <c r="P69" s="12">
        <v>0</v>
      </c>
      <c r="Q69" s="12">
        <v>0</v>
      </c>
      <c r="R69" s="12">
        <v>0</v>
      </c>
      <c r="S69" s="12"/>
      <c r="T69" s="12"/>
      <c r="U69" s="12"/>
      <c r="V69" s="12">
        <v>0</v>
      </c>
      <c r="W69" s="12"/>
      <c r="X69" s="12">
        <v>0</v>
      </c>
      <c r="Y69" s="12">
        <v>0</v>
      </c>
      <c r="Z69" s="12">
        <v>0</v>
      </c>
      <c r="AA69" s="12">
        <v>0</v>
      </c>
      <c r="AB69" s="12">
        <v>0</v>
      </c>
      <c r="AC69" s="12"/>
      <c r="AD69" s="12">
        <v>0</v>
      </c>
      <c r="AE69" s="12">
        <v>0</v>
      </c>
      <c r="AF69" s="12">
        <f t="shared" si="16"/>
        <v>0</v>
      </c>
      <c r="AG69" s="7">
        <v>66</v>
      </c>
    </row>
    <row r="70" spans="1:33" x14ac:dyDescent="0.25">
      <c r="C70" s="7">
        <v>394</v>
      </c>
      <c r="D70" s="7" t="s">
        <v>132</v>
      </c>
      <c r="E70" s="12">
        <v>0</v>
      </c>
      <c r="F70" s="12">
        <v>0</v>
      </c>
      <c r="G70" s="12">
        <v>0</v>
      </c>
      <c r="H70" s="12">
        <v>0</v>
      </c>
      <c r="I70" s="12"/>
      <c r="J70" s="12">
        <v>0</v>
      </c>
      <c r="K70" s="12">
        <v>0</v>
      </c>
      <c r="L70" s="12">
        <v>0</v>
      </c>
      <c r="M70" s="12">
        <v>0</v>
      </c>
      <c r="N70" s="12">
        <v>0</v>
      </c>
      <c r="O70" s="12">
        <v>0</v>
      </c>
      <c r="P70" s="12">
        <v>0</v>
      </c>
      <c r="Q70" s="12">
        <v>0</v>
      </c>
      <c r="R70" s="12">
        <v>0</v>
      </c>
      <c r="S70" s="12"/>
      <c r="T70" s="12"/>
      <c r="U70" s="12"/>
      <c r="V70" s="12">
        <v>0</v>
      </c>
      <c r="W70" s="12"/>
      <c r="X70" s="12">
        <v>0</v>
      </c>
      <c r="Y70" s="12">
        <v>0</v>
      </c>
      <c r="Z70" s="12">
        <v>15434.6</v>
      </c>
      <c r="AA70" s="12">
        <v>0</v>
      </c>
      <c r="AB70" s="12">
        <v>0</v>
      </c>
      <c r="AC70" s="12"/>
      <c r="AD70" s="12">
        <v>0</v>
      </c>
      <c r="AE70" s="12">
        <v>0</v>
      </c>
      <c r="AF70" s="12">
        <f t="shared" si="16"/>
        <v>15434.6</v>
      </c>
      <c r="AG70" s="7">
        <v>67</v>
      </c>
    </row>
    <row r="71" spans="1:33" x14ac:dyDescent="0.25">
      <c r="C71" s="7">
        <v>395</v>
      </c>
      <c r="D71" s="7" t="s">
        <v>133</v>
      </c>
      <c r="E71" s="12">
        <v>0</v>
      </c>
      <c r="F71" s="12">
        <v>0</v>
      </c>
      <c r="G71" s="12">
        <v>0</v>
      </c>
      <c r="H71" s="12">
        <v>0</v>
      </c>
      <c r="I71" s="12"/>
      <c r="J71" s="12">
        <v>0</v>
      </c>
      <c r="K71" s="12">
        <v>0</v>
      </c>
      <c r="L71" s="12">
        <v>0</v>
      </c>
      <c r="M71" s="12">
        <v>0</v>
      </c>
      <c r="N71" s="12">
        <v>0</v>
      </c>
      <c r="O71" s="12">
        <v>0</v>
      </c>
      <c r="P71" s="12">
        <v>0</v>
      </c>
      <c r="Q71" s="12">
        <v>0</v>
      </c>
      <c r="R71" s="12">
        <v>0</v>
      </c>
      <c r="S71" s="12"/>
      <c r="T71" s="12"/>
      <c r="U71" s="12"/>
      <c r="V71" s="12">
        <v>0</v>
      </c>
      <c r="W71" s="12"/>
      <c r="X71" s="12">
        <v>0</v>
      </c>
      <c r="Y71" s="12">
        <v>0</v>
      </c>
      <c r="Z71" s="12">
        <v>0</v>
      </c>
      <c r="AA71" s="12">
        <v>0</v>
      </c>
      <c r="AB71" s="12">
        <v>0</v>
      </c>
      <c r="AC71" s="12"/>
      <c r="AD71" s="12">
        <v>0</v>
      </c>
      <c r="AE71" s="12">
        <v>0</v>
      </c>
      <c r="AF71" s="12">
        <f t="shared" si="16"/>
        <v>0</v>
      </c>
      <c r="AG71" s="7">
        <v>68</v>
      </c>
    </row>
    <row r="72" spans="1:33" x14ac:dyDescent="0.25">
      <c r="C72" s="7">
        <v>398</v>
      </c>
      <c r="D72" s="7" t="s">
        <v>134</v>
      </c>
      <c r="E72" s="12">
        <v>0</v>
      </c>
      <c r="F72" s="12">
        <v>0</v>
      </c>
      <c r="G72" s="12">
        <v>0</v>
      </c>
      <c r="H72" s="12">
        <v>0</v>
      </c>
      <c r="I72" s="12"/>
      <c r="J72" s="12">
        <v>0</v>
      </c>
      <c r="K72" s="12">
        <v>0</v>
      </c>
      <c r="L72" s="12">
        <v>0</v>
      </c>
      <c r="M72" s="12">
        <v>0</v>
      </c>
      <c r="N72" s="12">
        <v>0</v>
      </c>
      <c r="O72" s="12">
        <v>0</v>
      </c>
      <c r="P72" s="12">
        <v>0</v>
      </c>
      <c r="Q72" s="12">
        <v>0</v>
      </c>
      <c r="R72" s="12">
        <v>0</v>
      </c>
      <c r="S72" s="12"/>
      <c r="T72" s="12"/>
      <c r="U72" s="12"/>
      <c r="V72" s="12">
        <v>183345.69</v>
      </c>
      <c r="W72" s="12"/>
      <c r="X72" s="12">
        <v>0</v>
      </c>
      <c r="Y72" s="12">
        <v>0</v>
      </c>
      <c r="Z72" s="12">
        <v>0</v>
      </c>
      <c r="AA72" s="12">
        <v>0</v>
      </c>
      <c r="AB72" s="12">
        <v>0</v>
      </c>
      <c r="AC72" s="12"/>
      <c r="AD72" s="12">
        <v>0</v>
      </c>
      <c r="AE72" s="12">
        <v>0</v>
      </c>
      <c r="AF72" s="12">
        <f t="shared" si="16"/>
        <v>183345.69</v>
      </c>
      <c r="AG72" s="7">
        <v>69</v>
      </c>
    </row>
    <row r="73" spans="1:33" x14ac:dyDescent="0.25">
      <c r="C73" s="7">
        <v>399</v>
      </c>
      <c r="D73" s="7" t="s">
        <v>135</v>
      </c>
      <c r="E73" s="12">
        <v>0</v>
      </c>
      <c r="F73" s="12">
        <v>0</v>
      </c>
      <c r="G73" s="12">
        <v>0</v>
      </c>
      <c r="H73" s="12">
        <v>0</v>
      </c>
      <c r="I73" s="12"/>
      <c r="J73" s="12">
        <v>0</v>
      </c>
      <c r="K73" s="12">
        <v>0</v>
      </c>
      <c r="L73" s="12">
        <v>0</v>
      </c>
      <c r="M73" s="12">
        <v>0</v>
      </c>
      <c r="N73" s="12">
        <v>0</v>
      </c>
      <c r="O73" s="12">
        <v>0</v>
      </c>
      <c r="P73" s="12">
        <v>0</v>
      </c>
      <c r="Q73" s="12">
        <v>0</v>
      </c>
      <c r="R73" s="12">
        <v>0</v>
      </c>
      <c r="S73" s="12"/>
      <c r="T73" s="12"/>
      <c r="U73" s="12"/>
      <c r="V73" s="12">
        <v>0</v>
      </c>
      <c r="W73" s="12"/>
      <c r="X73" s="12">
        <v>0</v>
      </c>
      <c r="Y73" s="12">
        <v>0</v>
      </c>
      <c r="Z73" s="12">
        <v>0</v>
      </c>
      <c r="AA73" s="12">
        <v>0</v>
      </c>
      <c r="AB73" s="12">
        <v>0</v>
      </c>
      <c r="AC73" s="12"/>
      <c r="AD73" s="12">
        <v>0</v>
      </c>
      <c r="AE73" s="12">
        <v>0</v>
      </c>
      <c r="AF73" s="12">
        <f t="shared" si="16"/>
        <v>0</v>
      </c>
      <c r="AG73" s="7">
        <v>70</v>
      </c>
    </row>
    <row r="74" spans="1:33" x14ac:dyDescent="0.25">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7">
        <v>71</v>
      </c>
    </row>
    <row r="75" spans="1:33" x14ac:dyDescent="0.25">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7">
        <v>72</v>
      </c>
    </row>
    <row r="76" spans="1:33" ht="21" x14ac:dyDescent="0.4">
      <c r="A76" s="13">
        <v>4</v>
      </c>
      <c r="B76" s="13"/>
      <c r="C76" s="13"/>
      <c r="D76" s="13" t="s">
        <v>136</v>
      </c>
      <c r="E76" s="14">
        <f>E77+E83+E89+E100+E106+E118+E122+E129+E132+E141</f>
        <v>734928.75</v>
      </c>
      <c r="F76" s="14">
        <f t="shared" ref="F76:AF76" si="17">F77+F83+F89+F100+F106+F118+F122+F129+F132+F141</f>
        <v>5822341.0700000003</v>
      </c>
      <c r="G76" s="14">
        <f t="shared" si="17"/>
        <v>64540</v>
      </c>
      <c r="H76" s="14">
        <f t="shared" si="17"/>
        <v>8027381.1099999994</v>
      </c>
      <c r="I76" s="14">
        <f t="shared" si="17"/>
        <v>0</v>
      </c>
      <c r="J76" s="14">
        <f t="shared" si="17"/>
        <v>1120976.3500000001</v>
      </c>
      <c r="K76" s="14">
        <f t="shared" si="17"/>
        <v>2285910.61</v>
      </c>
      <c r="L76" s="14">
        <f t="shared" si="17"/>
        <v>691709.14</v>
      </c>
      <c r="M76" s="14">
        <f t="shared" si="17"/>
        <v>330256.54000000004</v>
      </c>
      <c r="N76" s="14">
        <f t="shared" si="17"/>
        <v>270834.63</v>
      </c>
      <c r="O76" s="14">
        <f t="shared" si="17"/>
        <v>2609018.2999999998</v>
      </c>
      <c r="P76" s="14">
        <f t="shared" si="17"/>
        <v>20619.5</v>
      </c>
      <c r="Q76" s="14">
        <f t="shared" si="17"/>
        <v>7715.36</v>
      </c>
      <c r="R76" s="14">
        <f t="shared" si="17"/>
        <v>52954.75</v>
      </c>
      <c r="S76" s="14">
        <f t="shared" si="17"/>
        <v>0</v>
      </c>
      <c r="T76" s="14">
        <f t="shared" si="17"/>
        <v>0</v>
      </c>
      <c r="U76" s="14">
        <f t="shared" si="17"/>
        <v>0</v>
      </c>
      <c r="V76" s="14">
        <f t="shared" si="17"/>
        <v>645199.47</v>
      </c>
      <c r="W76" s="14">
        <f t="shared" si="17"/>
        <v>0</v>
      </c>
      <c r="X76" s="14">
        <f t="shared" si="17"/>
        <v>831825.72000000009</v>
      </c>
      <c r="Y76" s="14">
        <f t="shared" si="17"/>
        <v>5528842.8699999992</v>
      </c>
      <c r="Z76" s="14">
        <f t="shared" si="17"/>
        <v>387372.72999999992</v>
      </c>
      <c r="AA76" s="14">
        <f t="shared" si="17"/>
        <v>1691547.51</v>
      </c>
      <c r="AB76" s="14">
        <f t="shared" si="17"/>
        <v>209130</v>
      </c>
      <c r="AC76" s="14">
        <f t="shared" si="17"/>
        <v>0</v>
      </c>
      <c r="AD76" s="14">
        <f t="shared" si="17"/>
        <v>3381908.12</v>
      </c>
      <c r="AE76" s="14">
        <f t="shared" si="17"/>
        <v>236744.85</v>
      </c>
      <c r="AF76" s="14">
        <f t="shared" si="17"/>
        <v>34951757.380000003</v>
      </c>
      <c r="AG76" s="7">
        <v>73</v>
      </c>
    </row>
    <row r="77" spans="1:33" x14ac:dyDescent="0.25">
      <c r="A77" s="6"/>
      <c r="B77" s="68">
        <v>40</v>
      </c>
      <c r="C77" s="68"/>
      <c r="D77" s="68" t="s">
        <v>79</v>
      </c>
      <c r="E77" s="69">
        <f>E78+E79+E80+E81</f>
        <v>0</v>
      </c>
      <c r="F77" s="69">
        <f t="shared" ref="F77:AF77" si="18">F78+F79+F80+F81</f>
        <v>0</v>
      </c>
      <c r="G77" s="69">
        <f t="shared" si="18"/>
        <v>0</v>
      </c>
      <c r="H77" s="69">
        <f t="shared" si="18"/>
        <v>0</v>
      </c>
      <c r="I77" s="69">
        <f t="shared" si="18"/>
        <v>0</v>
      </c>
      <c r="J77" s="69">
        <f t="shared" si="18"/>
        <v>0</v>
      </c>
      <c r="K77" s="69">
        <f t="shared" si="18"/>
        <v>0</v>
      </c>
      <c r="L77" s="69">
        <f t="shared" si="18"/>
        <v>0</v>
      </c>
      <c r="M77" s="69">
        <f t="shared" si="18"/>
        <v>0</v>
      </c>
      <c r="N77" s="69">
        <f t="shared" si="18"/>
        <v>0</v>
      </c>
      <c r="O77" s="69">
        <f t="shared" si="18"/>
        <v>0</v>
      </c>
      <c r="P77" s="69">
        <f t="shared" si="18"/>
        <v>0</v>
      </c>
      <c r="Q77" s="69">
        <f t="shared" si="18"/>
        <v>0</v>
      </c>
      <c r="R77" s="69">
        <f t="shared" si="18"/>
        <v>0</v>
      </c>
      <c r="S77" s="69">
        <f t="shared" si="18"/>
        <v>0</v>
      </c>
      <c r="T77" s="69">
        <f t="shared" si="18"/>
        <v>0</v>
      </c>
      <c r="U77" s="69">
        <f t="shared" si="18"/>
        <v>0</v>
      </c>
      <c r="V77" s="69">
        <f t="shared" si="18"/>
        <v>0</v>
      </c>
      <c r="W77" s="69">
        <f t="shared" si="18"/>
        <v>0</v>
      </c>
      <c r="X77" s="69">
        <f t="shared" si="18"/>
        <v>0</v>
      </c>
      <c r="Y77" s="69">
        <f t="shared" si="18"/>
        <v>0</v>
      </c>
      <c r="Z77" s="69">
        <f t="shared" si="18"/>
        <v>0</v>
      </c>
      <c r="AA77" s="69">
        <f t="shared" si="18"/>
        <v>0</v>
      </c>
      <c r="AB77" s="69">
        <f t="shared" si="18"/>
        <v>0</v>
      </c>
      <c r="AC77" s="69">
        <f t="shared" si="18"/>
        <v>0</v>
      </c>
      <c r="AD77" s="69">
        <f t="shared" si="18"/>
        <v>0</v>
      </c>
      <c r="AE77" s="69">
        <f t="shared" si="18"/>
        <v>0</v>
      </c>
      <c r="AF77" s="69">
        <f t="shared" si="18"/>
        <v>0</v>
      </c>
      <c r="AG77" s="7">
        <v>74</v>
      </c>
    </row>
    <row r="78" spans="1:33" x14ac:dyDescent="0.25">
      <c r="C78" s="7">
        <v>400</v>
      </c>
      <c r="D78" s="7" t="s">
        <v>137</v>
      </c>
      <c r="E78" s="12">
        <v>0</v>
      </c>
      <c r="F78" s="12">
        <v>0</v>
      </c>
      <c r="G78" s="12">
        <v>0</v>
      </c>
      <c r="H78" s="12">
        <v>0</v>
      </c>
      <c r="I78" s="12"/>
      <c r="J78" s="12">
        <v>0</v>
      </c>
      <c r="K78" s="12">
        <v>0</v>
      </c>
      <c r="L78" s="12">
        <v>0</v>
      </c>
      <c r="M78" s="12">
        <v>0</v>
      </c>
      <c r="N78" s="12">
        <v>0</v>
      </c>
      <c r="O78" s="12">
        <v>0</v>
      </c>
      <c r="P78" s="12">
        <v>0</v>
      </c>
      <c r="Q78" s="12">
        <v>0</v>
      </c>
      <c r="R78" s="12">
        <v>0</v>
      </c>
      <c r="S78" s="12"/>
      <c r="T78" s="12"/>
      <c r="U78" s="12"/>
      <c r="V78" s="12">
        <v>0</v>
      </c>
      <c r="W78" s="12"/>
      <c r="X78" s="12">
        <v>0</v>
      </c>
      <c r="Y78" s="12">
        <v>0</v>
      </c>
      <c r="Z78" s="12">
        <v>0</v>
      </c>
      <c r="AA78" s="12">
        <v>0</v>
      </c>
      <c r="AB78" s="12">
        <v>0</v>
      </c>
      <c r="AC78" s="12"/>
      <c r="AD78" s="12">
        <v>0</v>
      </c>
      <c r="AE78" s="12">
        <v>0</v>
      </c>
      <c r="AF78" s="12">
        <f>SUM(E78:AE78)</f>
        <v>0</v>
      </c>
      <c r="AG78" s="7">
        <v>75</v>
      </c>
    </row>
    <row r="79" spans="1:33" x14ac:dyDescent="0.25">
      <c r="C79" s="7">
        <v>401</v>
      </c>
      <c r="D79" s="7" t="s">
        <v>138</v>
      </c>
      <c r="E79" s="12">
        <v>0</v>
      </c>
      <c r="F79" s="12">
        <v>0</v>
      </c>
      <c r="G79" s="12">
        <v>0</v>
      </c>
      <c r="H79" s="12">
        <v>0</v>
      </c>
      <c r="I79" s="12"/>
      <c r="J79" s="12">
        <v>0</v>
      </c>
      <c r="K79" s="12">
        <v>0</v>
      </c>
      <c r="L79" s="12">
        <v>0</v>
      </c>
      <c r="M79" s="12">
        <v>0</v>
      </c>
      <c r="N79" s="12">
        <v>0</v>
      </c>
      <c r="O79" s="12">
        <v>0</v>
      </c>
      <c r="P79" s="12">
        <v>0</v>
      </c>
      <c r="Q79" s="12">
        <v>0</v>
      </c>
      <c r="R79" s="12">
        <v>0</v>
      </c>
      <c r="S79" s="12"/>
      <c r="T79" s="12"/>
      <c r="U79" s="12"/>
      <c r="V79" s="12">
        <v>0</v>
      </c>
      <c r="W79" s="12"/>
      <c r="X79" s="12">
        <v>0</v>
      </c>
      <c r="Y79" s="12">
        <v>0</v>
      </c>
      <c r="Z79" s="12">
        <v>0</v>
      </c>
      <c r="AA79" s="12">
        <v>0</v>
      </c>
      <c r="AB79" s="12">
        <v>0</v>
      </c>
      <c r="AC79" s="12"/>
      <c r="AD79" s="12">
        <v>0</v>
      </c>
      <c r="AE79" s="12">
        <v>0</v>
      </c>
      <c r="AF79" s="12">
        <f>SUM(E79:AE79)</f>
        <v>0</v>
      </c>
      <c r="AG79" s="7">
        <v>76</v>
      </c>
    </row>
    <row r="80" spans="1:33" x14ac:dyDescent="0.25">
      <c r="C80" s="7">
        <v>402</v>
      </c>
      <c r="D80" s="7" t="s">
        <v>139</v>
      </c>
      <c r="E80" s="12">
        <v>0</v>
      </c>
      <c r="F80" s="12">
        <v>0</v>
      </c>
      <c r="G80" s="12">
        <v>0</v>
      </c>
      <c r="H80" s="12">
        <v>0</v>
      </c>
      <c r="I80" s="12"/>
      <c r="J80" s="12">
        <v>0</v>
      </c>
      <c r="K80" s="12">
        <v>0</v>
      </c>
      <c r="L80" s="12">
        <v>0</v>
      </c>
      <c r="M80" s="12">
        <v>0</v>
      </c>
      <c r="N80" s="12">
        <v>0</v>
      </c>
      <c r="O80" s="12">
        <v>0</v>
      </c>
      <c r="P80" s="12">
        <v>0</v>
      </c>
      <c r="Q80" s="12">
        <v>0</v>
      </c>
      <c r="R80" s="12">
        <v>0</v>
      </c>
      <c r="S80" s="12"/>
      <c r="T80" s="12"/>
      <c r="U80" s="12"/>
      <c r="V80" s="12">
        <v>0</v>
      </c>
      <c r="W80" s="12"/>
      <c r="X80" s="12">
        <v>0</v>
      </c>
      <c r="Y80" s="12">
        <v>0</v>
      </c>
      <c r="Z80" s="12">
        <v>0</v>
      </c>
      <c r="AA80" s="12">
        <v>0</v>
      </c>
      <c r="AB80" s="12">
        <v>0</v>
      </c>
      <c r="AC80" s="12"/>
      <c r="AD80" s="12">
        <v>0</v>
      </c>
      <c r="AE80" s="12">
        <v>0</v>
      </c>
      <c r="AF80" s="12">
        <f>SUM(E80:AE80)</f>
        <v>0</v>
      </c>
      <c r="AG80" s="7">
        <v>77</v>
      </c>
    </row>
    <row r="81" spans="2:33" x14ac:dyDescent="0.25">
      <c r="C81" s="7">
        <v>403</v>
      </c>
      <c r="D81" s="7" t="s">
        <v>140</v>
      </c>
      <c r="E81" s="12">
        <v>0</v>
      </c>
      <c r="F81" s="12">
        <v>0</v>
      </c>
      <c r="G81" s="12">
        <v>0</v>
      </c>
      <c r="H81" s="12">
        <v>0</v>
      </c>
      <c r="I81" s="12"/>
      <c r="J81" s="12">
        <v>0</v>
      </c>
      <c r="K81" s="12">
        <v>0</v>
      </c>
      <c r="L81" s="12">
        <v>0</v>
      </c>
      <c r="M81" s="12">
        <v>0</v>
      </c>
      <c r="N81" s="12">
        <v>0</v>
      </c>
      <c r="O81" s="12">
        <v>0</v>
      </c>
      <c r="P81" s="12">
        <v>0</v>
      </c>
      <c r="Q81" s="12">
        <v>0</v>
      </c>
      <c r="R81" s="12">
        <v>0</v>
      </c>
      <c r="S81" s="12"/>
      <c r="T81" s="12"/>
      <c r="U81" s="12"/>
      <c r="V81" s="12">
        <v>0</v>
      </c>
      <c r="W81" s="12"/>
      <c r="X81" s="12">
        <v>0</v>
      </c>
      <c r="Y81" s="12">
        <v>0</v>
      </c>
      <c r="Z81" s="12">
        <v>0</v>
      </c>
      <c r="AA81" s="12">
        <v>0</v>
      </c>
      <c r="AB81" s="12">
        <v>0</v>
      </c>
      <c r="AC81" s="12"/>
      <c r="AD81" s="12">
        <v>0</v>
      </c>
      <c r="AE81" s="12">
        <v>0</v>
      </c>
      <c r="AF81" s="12">
        <f>SUM(E81:AE81)</f>
        <v>0</v>
      </c>
      <c r="AG81" s="7">
        <v>78</v>
      </c>
    </row>
    <row r="82" spans="2:33" x14ac:dyDescent="0.25">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7">
        <v>79</v>
      </c>
    </row>
    <row r="83" spans="2:33" x14ac:dyDescent="0.25">
      <c r="B83" s="68">
        <v>41</v>
      </c>
      <c r="C83" s="68"/>
      <c r="D83" s="68" t="s">
        <v>141</v>
      </c>
      <c r="E83" s="69">
        <f>E84+E85+E86+E87</f>
        <v>0</v>
      </c>
      <c r="F83" s="69">
        <f t="shared" ref="F83:AF83" si="19">F84+F85+F86+F87</f>
        <v>0</v>
      </c>
      <c r="G83" s="69">
        <f t="shared" si="19"/>
        <v>0</v>
      </c>
      <c r="H83" s="69">
        <f t="shared" si="19"/>
        <v>0</v>
      </c>
      <c r="I83" s="69">
        <f t="shared" si="19"/>
        <v>0</v>
      </c>
      <c r="J83" s="69">
        <f t="shared" si="19"/>
        <v>0</v>
      </c>
      <c r="K83" s="69">
        <f t="shared" si="19"/>
        <v>0</v>
      </c>
      <c r="L83" s="69">
        <f t="shared" si="19"/>
        <v>0</v>
      </c>
      <c r="M83" s="69">
        <f t="shared" si="19"/>
        <v>0</v>
      </c>
      <c r="N83" s="69">
        <f t="shared" si="19"/>
        <v>0</v>
      </c>
      <c r="O83" s="69">
        <f t="shared" si="19"/>
        <v>0</v>
      </c>
      <c r="P83" s="69">
        <f t="shared" si="19"/>
        <v>0</v>
      </c>
      <c r="Q83" s="69">
        <f t="shared" si="19"/>
        <v>0</v>
      </c>
      <c r="R83" s="69">
        <f t="shared" si="19"/>
        <v>0</v>
      </c>
      <c r="S83" s="69">
        <f t="shared" si="19"/>
        <v>0</v>
      </c>
      <c r="T83" s="69">
        <f t="shared" si="19"/>
        <v>0</v>
      </c>
      <c r="U83" s="69">
        <f t="shared" si="19"/>
        <v>0</v>
      </c>
      <c r="V83" s="69">
        <f t="shared" si="19"/>
        <v>0</v>
      </c>
      <c r="W83" s="69">
        <f t="shared" si="19"/>
        <v>0</v>
      </c>
      <c r="X83" s="69">
        <f t="shared" si="19"/>
        <v>0</v>
      </c>
      <c r="Y83" s="69">
        <f t="shared" si="19"/>
        <v>0</v>
      </c>
      <c r="Z83" s="69">
        <f t="shared" si="19"/>
        <v>0</v>
      </c>
      <c r="AA83" s="69">
        <f t="shared" si="19"/>
        <v>0</v>
      </c>
      <c r="AB83" s="69">
        <f t="shared" si="19"/>
        <v>0</v>
      </c>
      <c r="AC83" s="69">
        <f t="shared" si="19"/>
        <v>0</v>
      </c>
      <c r="AD83" s="69">
        <f t="shared" si="19"/>
        <v>0</v>
      </c>
      <c r="AE83" s="69">
        <f t="shared" si="19"/>
        <v>0</v>
      </c>
      <c r="AF83" s="69">
        <f t="shared" si="19"/>
        <v>0</v>
      </c>
      <c r="AG83" s="7">
        <v>80</v>
      </c>
    </row>
    <row r="84" spans="2:33" x14ac:dyDescent="0.25">
      <c r="C84" s="7">
        <v>410</v>
      </c>
      <c r="D84" s="7" t="s">
        <v>142</v>
      </c>
      <c r="E84" s="12">
        <v>0</v>
      </c>
      <c r="F84" s="12">
        <v>0</v>
      </c>
      <c r="G84" s="12">
        <v>0</v>
      </c>
      <c r="H84" s="12">
        <v>0</v>
      </c>
      <c r="I84" s="12"/>
      <c r="J84" s="12">
        <v>0</v>
      </c>
      <c r="K84" s="12">
        <v>0</v>
      </c>
      <c r="L84" s="12">
        <v>0</v>
      </c>
      <c r="M84" s="12">
        <v>0</v>
      </c>
      <c r="N84" s="12">
        <v>0</v>
      </c>
      <c r="O84" s="12">
        <v>0</v>
      </c>
      <c r="P84" s="12">
        <v>0</v>
      </c>
      <c r="Q84" s="12">
        <v>0</v>
      </c>
      <c r="R84" s="12">
        <v>0</v>
      </c>
      <c r="S84" s="12"/>
      <c r="T84" s="12"/>
      <c r="U84" s="12"/>
      <c r="V84" s="12">
        <v>0</v>
      </c>
      <c r="W84" s="12"/>
      <c r="X84" s="12">
        <v>0</v>
      </c>
      <c r="Y84" s="12">
        <v>0</v>
      </c>
      <c r="Z84" s="12">
        <v>0</v>
      </c>
      <c r="AA84" s="12">
        <v>0</v>
      </c>
      <c r="AB84" s="12">
        <v>0</v>
      </c>
      <c r="AC84" s="12"/>
      <c r="AD84" s="12">
        <v>0</v>
      </c>
      <c r="AE84" s="12">
        <v>0</v>
      </c>
      <c r="AF84" s="12">
        <f>SUM(E84:AE84)</f>
        <v>0</v>
      </c>
      <c r="AG84" s="7">
        <v>81</v>
      </c>
    </row>
    <row r="85" spans="2:33" x14ac:dyDescent="0.25">
      <c r="C85" s="7">
        <v>411</v>
      </c>
      <c r="D85" s="7" t="s">
        <v>143</v>
      </c>
      <c r="E85" s="12">
        <v>0</v>
      </c>
      <c r="F85" s="12">
        <v>0</v>
      </c>
      <c r="G85" s="12">
        <v>0</v>
      </c>
      <c r="H85" s="12">
        <v>0</v>
      </c>
      <c r="I85" s="12"/>
      <c r="J85" s="12">
        <v>0</v>
      </c>
      <c r="K85" s="12">
        <v>0</v>
      </c>
      <c r="L85" s="12">
        <v>0</v>
      </c>
      <c r="M85" s="12">
        <v>0</v>
      </c>
      <c r="N85" s="12">
        <v>0</v>
      </c>
      <c r="O85" s="12">
        <v>0</v>
      </c>
      <c r="P85" s="12">
        <v>0</v>
      </c>
      <c r="Q85" s="12">
        <v>0</v>
      </c>
      <c r="R85" s="12">
        <v>0</v>
      </c>
      <c r="S85" s="12"/>
      <c r="T85" s="12"/>
      <c r="U85" s="12"/>
      <c r="V85" s="12">
        <v>0</v>
      </c>
      <c r="W85" s="12"/>
      <c r="X85" s="12">
        <v>0</v>
      </c>
      <c r="Y85" s="12">
        <v>0</v>
      </c>
      <c r="Z85" s="12">
        <v>0</v>
      </c>
      <c r="AA85" s="12">
        <v>0</v>
      </c>
      <c r="AB85" s="12">
        <v>0</v>
      </c>
      <c r="AC85" s="12"/>
      <c r="AD85" s="12">
        <v>0</v>
      </c>
      <c r="AE85" s="12">
        <v>0</v>
      </c>
      <c r="AF85" s="12">
        <f>SUM(E85:AE85)</f>
        <v>0</v>
      </c>
      <c r="AG85" s="7">
        <v>82</v>
      </c>
    </row>
    <row r="86" spans="2:33" x14ac:dyDescent="0.25">
      <c r="C86" s="7">
        <v>412</v>
      </c>
      <c r="D86" s="7" t="s">
        <v>144</v>
      </c>
      <c r="E86" s="12">
        <v>0</v>
      </c>
      <c r="F86" s="12">
        <v>0</v>
      </c>
      <c r="G86" s="12">
        <v>0</v>
      </c>
      <c r="H86" s="12">
        <v>0</v>
      </c>
      <c r="I86" s="12"/>
      <c r="J86" s="12">
        <v>0</v>
      </c>
      <c r="K86" s="12">
        <v>0</v>
      </c>
      <c r="L86" s="12">
        <v>0</v>
      </c>
      <c r="M86" s="12">
        <v>0</v>
      </c>
      <c r="N86" s="12">
        <v>0</v>
      </c>
      <c r="O86" s="12">
        <v>0</v>
      </c>
      <c r="P86" s="12">
        <v>0</v>
      </c>
      <c r="Q86" s="12">
        <v>0</v>
      </c>
      <c r="R86" s="12">
        <v>0</v>
      </c>
      <c r="S86" s="12"/>
      <c r="T86" s="12"/>
      <c r="U86" s="12"/>
      <c r="V86" s="12">
        <v>0</v>
      </c>
      <c r="W86" s="12"/>
      <c r="X86" s="12">
        <v>0</v>
      </c>
      <c r="Y86" s="12">
        <v>0</v>
      </c>
      <c r="Z86" s="12">
        <v>0</v>
      </c>
      <c r="AA86" s="12">
        <v>0</v>
      </c>
      <c r="AB86" s="12">
        <v>0</v>
      </c>
      <c r="AC86" s="12"/>
      <c r="AD86" s="12">
        <v>0</v>
      </c>
      <c r="AE86" s="12">
        <v>0</v>
      </c>
      <c r="AF86" s="12">
        <f>SUM(E86:AE86)</f>
        <v>0</v>
      </c>
      <c r="AG86" s="7">
        <v>83</v>
      </c>
    </row>
    <row r="87" spans="2:33" x14ac:dyDescent="0.25">
      <c r="C87" s="7">
        <v>413</v>
      </c>
      <c r="D87" s="7" t="s">
        <v>145</v>
      </c>
      <c r="E87" s="12">
        <v>0</v>
      </c>
      <c r="F87" s="12">
        <v>0</v>
      </c>
      <c r="G87" s="12">
        <v>0</v>
      </c>
      <c r="H87" s="12">
        <v>0</v>
      </c>
      <c r="I87" s="12"/>
      <c r="J87" s="12">
        <v>0</v>
      </c>
      <c r="K87" s="12">
        <v>0</v>
      </c>
      <c r="L87" s="12">
        <v>0</v>
      </c>
      <c r="M87" s="12">
        <v>0</v>
      </c>
      <c r="N87" s="12">
        <v>0</v>
      </c>
      <c r="O87" s="12">
        <v>0</v>
      </c>
      <c r="P87" s="12">
        <v>0</v>
      </c>
      <c r="Q87" s="12">
        <v>0</v>
      </c>
      <c r="R87" s="12">
        <v>0</v>
      </c>
      <c r="S87" s="12"/>
      <c r="T87" s="12"/>
      <c r="U87" s="12"/>
      <c r="V87" s="12">
        <v>0</v>
      </c>
      <c r="W87" s="12"/>
      <c r="X87" s="12">
        <v>0</v>
      </c>
      <c r="Y87" s="12">
        <v>0</v>
      </c>
      <c r="Z87" s="12">
        <v>0</v>
      </c>
      <c r="AA87" s="12">
        <v>0</v>
      </c>
      <c r="AB87" s="12">
        <v>0</v>
      </c>
      <c r="AC87" s="12"/>
      <c r="AD87" s="12">
        <v>0</v>
      </c>
      <c r="AE87" s="12">
        <v>0</v>
      </c>
      <c r="AF87" s="12">
        <f>SUM(E87:AE87)</f>
        <v>0</v>
      </c>
      <c r="AG87" s="7">
        <v>84</v>
      </c>
    </row>
    <row r="88" spans="2:33" x14ac:dyDescent="0.25">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7">
        <v>85</v>
      </c>
    </row>
    <row r="89" spans="2:33" x14ac:dyDescent="0.25">
      <c r="B89" s="68">
        <v>42</v>
      </c>
      <c r="C89" s="68"/>
      <c r="D89" s="68" t="s">
        <v>146</v>
      </c>
      <c r="E89" s="69">
        <f>E90+E91+E92+E93+E94+E95+E96+E97+E98</f>
        <v>33751.51</v>
      </c>
      <c r="F89" s="69">
        <f t="shared" ref="F89:AF89" si="20">F90+F91+F92+F93+F94+F95+F96+F97+F98</f>
        <v>204520.95</v>
      </c>
      <c r="G89" s="69">
        <f t="shared" si="20"/>
        <v>25460</v>
      </c>
      <c r="H89" s="69">
        <f t="shared" si="20"/>
        <v>7980419.8099999996</v>
      </c>
      <c r="I89" s="69">
        <f t="shared" si="20"/>
        <v>0</v>
      </c>
      <c r="J89" s="69">
        <f t="shared" si="20"/>
        <v>33650.15</v>
      </c>
      <c r="K89" s="69">
        <f t="shared" si="20"/>
        <v>51834.3</v>
      </c>
      <c r="L89" s="69">
        <f t="shared" si="20"/>
        <v>691688.4</v>
      </c>
      <c r="M89" s="69">
        <f t="shared" si="20"/>
        <v>58875.15</v>
      </c>
      <c r="N89" s="69">
        <f t="shared" si="20"/>
        <v>0</v>
      </c>
      <c r="O89" s="69">
        <f t="shared" si="20"/>
        <v>2607045.5499999998</v>
      </c>
      <c r="P89" s="69">
        <f t="shared" si="20"/>
        <v>850</v>
      </c>
      <c r="Q89" s="69">
        <f t="shared" si="20"/>
        <v>350</v>
      </c>
      <c r="R89" s="69">
        <f t="shared" si="20"/>
        <v>26344</v>
      </c>
      <c r="S89" s="69">
        <f t="shared" si="20"/>
        <v>0</v>
      </c>
      <c r="T89" s="69">
        <f t="shared" si="20"/>
        <v>0</v>
      </c>
      <c r="U89" s="69">
        <f t="shared" si="20"/>
        <v>0</v>
      </c>
      <c r="V89" s="69">
        <f t="shared" si="20"/>
        <v>4218.7</v>
      </c>
      <c r="W89" s="69">
        <f t="shared" si="20"/>
        <v>0</v>
      </c>
      <c r="X89" s="69">
        <f t="shared" si="20"/>
        <v>775669.8</v>
      </c>
      <c r="Y89" s="69">
        <f t="shared" si="20"/>
        <v>2175540.9099999997</v>
      </c>
      <c r="Z89" s="69">
        <f t="shared" si="20"/>
        <v>371901.85</v>
      </c>
      <c r="AA89" s="69">
        <f t="shared" si="20"/>
        <v>159366.85</v>
      </c>
      <c r="AB89" s="69">
        <f t="shared" si="20"/>
        <v>10530</v>
      </c>
      <c r="AC89" s="69">
        <f t="shared" si="20"/>
        <v>0</v>
      </c>
      <c r="AD89" s="69">
        <f t="shared" si="20"/>
        <v>527456.27</v>
      </c>
      <c r="AE89" s="69">
        <f t="shared" si="20"/>
        <v>-248</v>
      </c>
      <c r="AF89" s="69">
        <f t="shared" si="20"/>
        <v>15739226.200000001</v>
      </c>
      <c r="AG89" s="7">
        <v>86</v>
      </c>
    </row>
    <row r="90" spans="2:33" x14ac:dyDescent="0.25">
      <c r="C90" s="7">
        <v>420</v>
      </c>
      <c r="D90" s="7" t="s">
        <v>147</v>
      </c>
      <c r="E90" s="12">
        <v>0</v>
      </c>
      <c r="F90" s="12">
        <v>0</v>
      </c>
      <c r="G90" s="12">
        <v>0</v>
      </c>
      <c r="H90" s="12">
        <v>0</v>
      </c>
      <c r="I90" s="12"/>
      <c r="J90" s="12">
        <v>0</v>
      </c>
      <c r="K90" s="12">
        <v>0</v>
      </c>
      <c r="L90" s="12">
        <v>0</v>
      </c>
      <c r="M90" s="12">
        <v>0</v>
      </c>
      <c r="N90" s="12">
        <v>0</v>
      </c>
      <c r="O90" s="12">
        <v>0</v>
      </c>
      <c r="P90" s="12">
        <v>0</v>
      </c>
      <c r="Q90" s="12">
        <v>0</v>
      </c>
      <c r="R90" s="12">
        <v>0</v>
      </c>
      <c r="S90" s="12"/>
      <c r="T90" s="12"/>
      <c r="U90" s="12"/>
      <c r="V90" s="12">
        <v>0</v>
      </c>
      <c r="W90" s="12"/>
      <c r="X90" s="12">
        <v>0</v>
      </c>
      <c r="Y90" s="12">
        <v>0</v>
      </c>
      <c r="Z90" s="12">
        <v>0</v>
      </c>
      <c r="AA90" s="12">
        <v>0</v>
      </c>
      <c r="AB90" s="12">
        <v>0</v>
      </c>
      <c r="AC90" s="12"/>
      <c r="AD90" s="12">
        <v>0</v>
      </c>
      <c r="AE90" s="12">
        <v>0</v>
      </c>
      <c r="AF90" s="12">
        <f t="shared" ref="AF90:AF98" si="21">SUM(E90:AE90)</f>
        <v>0</v>
      </c>
      <c r="AG90" s="7">
        <v>87</v>
      </c>
    </row>
    <row r="91" spans="2:33" x14ac:dyDescent="0.25">
      <c r="C91" s="7">
        <v>421</v>
      </c>
      <c r="D91" s="7" t="s">
        <v>148</v>
      </c>
      <c r="E91" s="12">
        <v>0</v>
      </c>
      <c r="F91" s="12">
        <v>0</v>
      </c>
      <c r="G91" s="12">
        <v>0</v>
      </c>
      <c r="H91" s="12">
        <v>367.25</v>
      </c>
      <c r="I91" s="12"/>
      <c r="J91" s="12">
        <v>0</v>
      </c>
      <c r="K91" s="12">
        <v>0</v>
      </c>
      <c r="L91" s="12">
        <v>8540.85</v>
      </c>
      <c r="M91" s="12">
        <v>0</v>
      </c>
      <c r="N91" s="12">
        <v>0</v>
      </c>
      <c r="O91" s="12">
        <v>0</v>
      </c>
      <c r="P91" s="12">
        <v>0</v>
      </c>
      <c r="Q91" s="12">
        <v>0</v>
      </c>
      <c r="R91" s="12">
        <v>0</v>
      </c>
      <c r="S91" s="12"/>
      <c r="T91" s="12"/>
      <c r="U91" s="12"/>
      <c r="V91" s="12">
        <v>0</v>
      </c>
      <c r="W91" s="12"/>
      <c r="X91" s="12">
        <v>0</v>
      </c>
      <c r="Y91" s="12">
        <v>0</v>
      </c>
      <c r="Z91" s="12">
        <v>0</v>
      </c>
      <c r="AA91" s="12">
        <v>4800</v>
      </c>
      <c r="AB91" s="12">
        <v>0</v>
      </c>
      <c r="AC91" s="12"/>
      <c r="AD91" s="12">
        <v>0</v>
      </c>
      <c r="AE91" s="12">
        <v>0</v>
      </c>
      <c r="AF91" s="12">
        <f t="shared" si="21"/>
        <v>13708.1</v>
      </c>
      <c r="AG91" s="7">
        <v>88</v>
      </c>
    </row>
    <row r="92" spans="2:33" x14ac:dyDescent="0.25">
      <c r="C92" s="7">
        <v>422</v>
      </c>
      <c r="D92" s="7" t="s">
        <v>149</v>
      </c>
      <c r="E92" s="12">
        <v>0</v>
      </c>
      <c r="F92" s="12">
        <v>0</v>
      </c>
      <c r="G92" s="12">
        <v>0</v>
      </c>
      <c r="H92" s="12">
        <v>0</v>
      </c>
      <c r="I92" s="12"/>
      <c r="J92" s="12">
        <v>0</v>
      </c>
      <c r="K92" s="12">
        <v>0</v>
      </c>
      <c r="L92" s="12">
        <v>0</v>
      </c>
      <c r="M92" s="12">
        <v>0</v>
      </c>
      <c r="N92" s="12">
        <v>0</v>
      </c>
      <c r="O92" s="12">
        <v>0</v>
      </c>
      <c r="P92" s="12">
        <v>0</v>
      </c>
      <c r="Q92" s="12">
        <v>0</v>
      </c>
      <c r="R92" s="12">
        <v>0</v>
      </c>
      <c r="S92" s="12"/>
      <c r="T92" s="12"/>
      <c r="U92" s="12"/>
      <c r="V92" s="12">
        <v>0</v>
      </c>
      <c r="W92" s="12"/>
      <c r="X92" s="12">
        <v>0</v>
      </c>
      <c r="Y92" s="12">
        <v>0</v>
      </c>
      <c r="Z92" s="12">
        <v>0</v>
      </c>
      <c r="AA92" s="12">
        <v>0</v>
      </c>
      <c r="AB92" s="12">
        <v>0</v>
      </c>
      <c r="AC92" s="12"/>
      <c r="AD92" s="12">
        <v>0</v>
      </c>
      <c r="AE92" s="12">
        <v>0</v>
      </c>
      <c r="AF92" s="12">
        <f t="shared" si="21"/>
        <v>0</v>
      </c>
      <c r="AG92" s="7">
        <v>89</v>
      </c>
    </row>
    <row r="93" spans="2:33" x14ac:dyDescent="0.25">
      <c r="C93" s="7">
        <v>423</v>
      </c>
      <c r="D93" s="7" t="s">
        <v>150</v>
      </c>
      <c r="E93" s="12">
        <v>0</v>
      </c>
      <c r="F93" s="12">
        <v>0</v>
      </c>
      <c r="G93" s="12">
        <v>0</v>
      </c>
      <c r="H93" s="12">
        <v>0</v>
      </c>
      <c r="I93" s="12"/>
      <c r="J93" s="12">
        <v>0</v>
      </c>
      <c r="K93" s="12">
        <v>0</v>
      </c>
      <c r="L93" s="12">
        <v>0</v>
      </c>
      <c r="M93" s="12">
        <v>0</v>
      </c>
      <c r="N93" s="12">
        <v>0</v>
      </c>
      <c r="O93" s="12">
        <v>0</v>
      </c>
      <c r="P93" s="12">
        <v>0</v>
      </c>
      <c r="Q93" s="12">
        <v>0</v>
      </c>
      <c r="R93" s="12">
        <v>0</v>
      </c>
      <c r="S93" s="12"/>
      <c r="T93" s="12"/>
      <c r="U93" s="12"/>
      <c r="V93" s="12">
        <v>0</v>
      </c>
      <c r="W93" s="12"/>
      <c r="X93" s="12">
        <v>0</v>
      </c>
      <c r="Y93" s="12">
        <v>0</v>
      </c>
      <c r="Z93" s="12">
        <v>0</v>
      </c>
      <c r="AA93" s="12">
        <v>0</v>
      </c>
      <c r="AB93" s="12">
        <v>0</v>
      </c>
      <c r="AC93" s="12"/>
      <c r="AD93" s="12">
        <v>0</v>
      </c>
      <c r="AE93" s="12">
        <v>0</v>
      </c>
      <c r="AF93" s="12">
        <f t="shared" si="21"/>
        <v>0</v>
      </c>
      <c r="AG93" s="7">
        <v>90</v>
      </c>
    </row>
    <row r="94" spans="2:33" x14ac:dyDescent="0.25">
      <c r="C94" s="7">
        <v>424</v>
      </c>
      <c r="D94" s="7" t="s">
        <v>151</v>
      </c>
      <c r="E94" s="12">
        <v>0</v>
      </c>
      <c r="F94" s="12">
        <v>7653.35</v>
      </c>
      <c r="G94" s="12">
        <v>25460</v>
      </c>
      <c r="H94" s="12">
        <v>7934873.3499999996</v>
      </c>
      <c r="I94" s="12"/>
      <c r="J94" s="12">
        <v>0</v>
      </c>
      <c r="K94" s="12">
        <v>38279</v>
      </c>
      <c r="L94" s="12">
        <v>683147.55</v>
      </c>
      <c r="M94" s="12">
        <v>0</v>
      </c>
      <c r="N94" s="12">
        <v>0</v>
      </c>
      <c r="O94" s="12">
        <v>2575045.5499999998</v>
      </c>
      <c r="P94" s="12">
        <v>850</v>
      </c>
      <c r="Q94" s="12">
        <v>350</v>
      </c>
      <c r="R94" s="12">
        <v>26344</v>
      </c>
      <c r="S94" s="12"/>
      <c r="T94" s="12"/>
      <c r="U94" s="12"/>
      <c r="V94" s="12">
        <v>0</v>
      </c>
      <c r="W94" s="12"/>
      <c r="X94" s="12">
        <v>775669.8</v>
      </c>
      <c r="Y94" s="12">
        <v>977733.81</v>
      </c>
      <c r="Z94" s="12">
        <v>359432</v>
      </c>
      <c r="AA94" s="12">
        <v>4232.75</v>
      </c>
      <c r="AB94" s="12">
        <v>0</v>
      </c>
      <c r="AC94" s="12"/>
      <c r="AD94" s="12">
        <v>276632.32000000001</v>
      </c>
      <c r="AE94" s="12">
        <v>-248</v>
      </c>
      <c r="AF94" s="12">
        <f t="shared" si="21"/>
        <v>13685455.480000002</v>
      </c>
      <c r="AG94" s="7">
        <v>91</v>
      </c>
    </row>
    <row r="95" spans="2:33" x14ac:dyDescent="0.25">
      <c r="C95" s="7">
        <v>425</v>
      </c>
      <c r="D95" s="7" t="s">
        <v>152</v>
      </c>
      <c r="E95" s="12">
        <v>0</v>
      </c>
      <c r="F95" s="12">
        <v>159342.6</v>
      </c>
      <c r="G95" s="12">
        <v>0</v>
      </c>
      <c r="H95" s="12">
        <v>37500</v>
      </c>
      <c r="I95" s="12"/>
      <c r="J95" s="12">
        <v>0</v>
      </c>
      <c r="K95" s="12">
        <v>0</v>
      </c>
      <c r="L95" s="12">
        <v>0</v>
      </c>
      <c r="M95" s="12">
        <v>0</v>
      </c>
      <c r="N95" s="12">
        <v>0</v>
      </c>
      <c r="O95" s="12">
        <v>32000</v>
      </c>
      <c r="P95" s="12">
        <v>0</v>
      </c>
      <c r="Q95" s="12">
        <v>0</v>
      </c>
      <c r="R95" s="12">
        <v>0</v>
      </c>
      <c r="S95" s="12"/>
      <c r="T95" s="12"/>
      <c r="U95" s="12"/>
      <c r="V95" s="12">
        <v>4218.7</v>
      </c>
      <c r="W95" s="12"/>
      <c r="X95" s="12">
        <v>0</v>
      </c>
      <c r="Y95" s="12">
        <v>1181165.95</v>
      </c>
      <c r="Z95" s="12">
        <v>294.35000000000002</v>
      </c>
      <c r="AA95" s="12">
        <v>25927.599999999999</v>
      </c>
      <c r="AB95" s="12">
        <v>0</v>
      </c>
      <c r="AC95" s="12"/>
      <c r="AD95" s="12">
        <v>0</v>
      </c>
      <c r="AE95" s="12">
        <v>0</v>
      </c>
      <c r="AF95" s="12">
        <f t="shared" si="21"/>
        <v>1440449.2000000002</v>
      </c>
      <c r="AG95" s="7">
        <v>92</v>
      </c>
    </row>
    <row r="96" spans="2:33" x14ac:dyDescent="0.25">
      <c r="C96" s="7">
        <v>426</v>
      </c>
      <c r="D96" s="7" t="s">
        <v>153</v>
      </c>
      <c r="E96" s="12">
        <v>33551.51</v>
      </c>
      <c r="F96" s="12">
        <v>17000</v>
      </c>
      <c r="G96" s="12">
        <v>0</v>
      </c>
      <c r="H96" s="12">
        <v>7679.21</v>
      </c>
      <c r="I96" s="12"/>
      <c r="J96" s="12">
        <v>33165.15</v>
      </c>
      <c r="K96" s="12">
        <v>13555.3</v>
      </c>
      <c r="L96" s="12">
        <v>0</v>
      </c>
      <c r="M96" s="12">
        <v>58865.15</v>
      </c>
      <c r="N96" s="12">
        <v>0</v>
      </c>
      <c r="O96" s="12">
        <v>0</v>
      </c>
      <c r="P96" s="12">
        <v>0</v>
      </c>
      <c r="Q96" s="12">
        <v>0</v>
      </c>
      <c r="R96" s="12">
        <v>0</v>
      </c>
      <c r="S96" s="12"/>
      <c r="T96" s="12"/>
      <c r="U96" s="12"/>
      <c r="V96" s="12">
        <v>0</v>
      </c>
      <c r="W96" s="12"/>
      <c r="X96" s="12">
        <v>0</v>
      </c>
      <c r="Y96" s="12">
        <v>16641.150000000001</v>
      </c>
      <c r="Z96" s="12">
        <v>12175.5</v>
      </c>
      <c r="AA96" s="12">
        <v>124406.5</v>
      </c>
      <c r="AB96" s="12">
        <v>0</v>
      </c>
      <c r="AC96" s="12"/>
      <c r="AD96" s="12">
        <v>250823.95</v>
      </c>
      <c r="AE96" s="12">
        <v>0</v>
      </c>
      <c r="AF96" s="12">
        <f t="shared" si="21"/>
        <v>567863.41999999993</v>
      </c>
      <c r="AG96" s="7">
        <v>93</v>
      </c>
    </row>
    <row r="97" spans="2:33" x14ac:dyDescent="0.25">
      <c r="C97" s="7">
        <v>427</v>
      </c>
      <c r="D97" s="7" t="s">
        <v>154</v>
      </c>
      <c r="E97" s="12">
        <v>200</v>
      </c>
      <c r="F97" s="12">
        <v>0</v>
      </c>
      <c r="G97" s="12">
        <v>0</v>
      </c>
      <c r="H97" s="12">
        <v>0</v>
      </c>
      <c r="I97" s="12"/>
      <c r="J97" s="12">
        <v>485</v>
      </c>
      <c r="K97" s="12">
        <v>0</v>
      </c>
      <c r="L97" s="12">
        <v>0</v>
      </c>
      <c r="M97" s="12">
        <v>10</v>
      </c>
      <c r="N97" s="12">
        <v>0</v>
      </c>
      <c r="O97" s="12">
        <v>0</v>
      </c>
      <c r="P97" s="12">
        <v>0</v>
      </c>
      <c r="Q97" s="12">
        <v>0</v>
      </c>
      <c r="R97" s="12">
        <v>0</v>
      </c>
      <c r="S97" s="12"/>
      <c r="T97" s="12"/>
      <c r="U97" s="12"/>
      <c r="V97" s="12">
        <v>0</v>
      </c>
      <c r="W97" s="12"/>
      <c r="X97" s="12">
        <v>0</v>
      </c>
      <c r="Y97" s="12">
        <v>0</v>
      </c>
      <c r="Z97" s="12">
        <v>0</v>
      </c>
      <c r="AA97" s="12">
        <v>0</v>
      </c>
      <c r="AB97" s="12">
        <v>0</v>
      </c>
      <c r="AC97" s="12"/>
      <c r="AD97" s="12">
        <v>0</v>
      </c>
      <c r="AE97" s="12">
        <v>0</v>
      </c>
      <c r="AF97" s="12">
        <f t="shared" si="21"/>
        <v>695</v>
      </c>
      <c r="AG97" s="7">
        <v>94</v>
      </c>
    </row>
    <row r="98" spans="2:33" x14ac:dyDescent="0.25">
      <c r="C98" s="7">
        <v>429</v>
      </c>
      <c r="D98" s="7" t="s">
        <v>155</v>
      </c>
      <c r="E98" s="12">
        <v>0</v>
      </c>
      <c r="F98" s="12">
        <v>20525</v>
      </c>
      <c r="G98" s="12">
        <v>0</v>
      </c>
      <c r="H98" s="12">
        <v>0</v>
      </c>
      <c r="I98" s="12"/>
      <c r="J98" s="12">
        <v>0</v>
      </c>
      <c r="K98" s="12">
        <v>0</v>
      </c>
      <c r="L98" s="12">
        <v>0</v>
      </c>
      <c r="M98" s="12">
        <v>0</v>
      </c>
      <c r="N98" s="12">
        <v>0</v>
      </c>
      <c r="O98" s="12">
        <v>0</v>
      </c>
      <c r="P98" s="12">
        <v>0</v>
      </c>
      <c r="Q98" s="12">
        <v>0</v>
      </c>
      <c r="R98" s="12">
        <v>0</v>
      </c>
      <c r="S98" s="12"/>
      <c r="T98" s="12"/>
      <c r="U98" s="12"/>
      <c r="V98" s="12">
        <v>0</v>
      </c>
      <c r="W98" s="12"/>
      <c r="X98" s="12">
        <v>0</v>
      </c>
      <c r="Y98" s="12">
        <v>0</v>
      </c>
      <c r="Z98" s="12">
        <v>0</v>
      </c>
      <c r="AA98" s="12">
        <v>0</v>
      </c>
      <c r="AB98" s="12">
        <v>10530</v>
      </c>
      <c r="AC98" s="12"/>
      <c r="AD98" s="12">
        <v>0</v>
      </c>
      <c r="AE98" s="12">
        <v>0</v>
      </c>
      <c r="AF98" s="12">
        <f t="shared" si="21"/>
        <v>31055</v>
      </c>
      <c r="AG98" s="7">
        <v>95</v>
      </c>
    </row>
    <row r="99" spans="2:33" x14ac:dyDescent="0.25">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7">
        <v>96</v>
      </c>
    </row>
    <row r="100" spans="2:33" x14ac:dyDescent="0.25">
      <c r="B100" s="68">
        <v>43</v>
      </c>
      <c r="C100" s="68"/>
      <c r="D100" s="68" t="s">
        <v>156</v>
      </c>
      <c r="E100" s="69">
        <f>E101+E102+E103+E104</f>
        <v>0</v>
      </c>
      <c r="F100" s="69">
        <f t="shared" ref="F100:AF100" si="22">F101+F102+F103+F104</f>
        <v>0</v>
      </c>
      <c r="G100" s="69">
        <f t="shared" si="22"/>
        <v>0</v>
      </c>
      <c r="H100" s="69">
        <f t="shared" si="22"/>
        <v>0</v>
      </c>
      <c r="I100" s="69">
        <f t="shared" si="22"/>
        <v>0</v>
      </c>
      <c r="J100" s="69">
        <f t="shared" si="22"/>
        <v>0</v>
      </c>
      <c r="K100" s="69">
        <f t="shared" si="22"/>
        <v>0</v>
      </c>
      <c r="L100" s="69">
        <f t="shared" si="22"/>
        <v>0</v>
      </c>
      <c r="M100" s="69">
        <f t="shared" si="22"/>
        <v>0</v>
      </c>
      <c r="N100" s="69">
        <f t="shared" si="22"/>
        <v>0</v>
      </c>
      <c r="O100" s="69">
        <f t="shared" si="22"/>
        <v>0</v>
      </c>
      <c r="P100" s="69">
        <f t="shared" si="22"/>
        <v>0</v>
      </c>
      <c r="Q100" s="69">
        <f t="shared" si="22"/>
        <v>0</v>
      </c>
      <c r="R100" s="69">
        <f t="shared" si="22"/>
        <v>0</v>
      </c>
      <c r="S100" s="69">
        <f t="shared" si="22"/>
        <v>0</v>
      </c>
      <c r="T100" s="69">
        <f t="shared" si="22"/>
        <v>0</v>
      </c>
      <c r="U100" s="69">
        <f t="shared" si="22"/>
        <v>0</v>
      </c>
      <c r="V100" s="69">
        <f t="shared" si="22"/>
        <v>0</v>
      </c>
      <c r="W100" s="69">
        <f t="shared" si="22"/>
        <v>0</v>
      </c>
      <c r="X100" s="69">
        <f t="shared" si="22"/>
        <v>0</v>
      </c>
      <c r="Y100" s="69">
        <f t="shared" si="22"/>
        <v>68739.41</v>
      </c>
      <c r="Z100" s="69">
        <f t="shared" si="22"/>
        <v>0</v>
      </c>
      <c r="AA100" s="69">
        <f t="shared" si="22"/>
        <v>69580</v>
      </c>
      <c r="AB100" s="69">
        <f t="shared" si="22"/>
        <v>0</v>
      </c>
      <c r="AC100" s="69">
        <f t="shared" si="22"/>
        <v>0</v>
      </c>
      <c r="AD100" s="69">
        <f t="shared" si="22"/>
        <v>0</v>
      </c>
      <c r="AE100" s="69">
        <f t="shared" si="22"/>
        <v>0</v>
      </c>
      <c r="AF100" s="69">
        <f t="shared" si="22"/>
        <v>138319.41</v>
      </c>
      <c r="AG100" s="7">
        <v>97</v>
      </c>
    </row>
    <row r="101" spans="2:33" x14ac:dyDescent="0.25">
      <c r="C101" s="7">
        <v>430</v>
      </c>
      <c r="D101" s="7" t="s">
        <v>157</v>
      </c>
      <c r="E101" s="12">
        <v>0</v>
      </c>
      <c r="F101" s="12">
        <v>0</v>
      </c>
      <c r="G101" s="12">
        <v>0</v>
      </c>
      <c r="H101" s="12">
        <v>0</v>
      </c>
      <c r="I101" s="12"/>
      <c r="J101" s="12">
        <v>0</v>
      </c>
      <c r="K101" s="12">
        <v>0</v>
      </c>
      <c r="L101" s="12">
        <v>0</v>
      </c>
      <c r="M101" s="12">
        <v>0</v>
      </c>
      <c r="N101" s="12">
        <v>0</v>
      </c>
      <c r="O101" s="12">
        <v>0</v>
      </c>
      <c r="P101" s="12">
        <v>0</v>
      </c>
      <c r="Q101" s="12">
        <v>0</v>
      </c>
      <c r="R101" s="12">
        <v>0</v>
      </c>
      <c r="S101" s="12"/>
      <c r="T101" s="12"/>
      <c r="U101" s="12"/>
      <c r="V101" s="12">
        <v>0</v>
      </c>
      <c r="W101" s="12"/>
      <c r="X101" s="12">
        <v>0</v>
      </c>
      <c r="Y101" s="12">
        <v>0</v>
      </c>
      <c r="Z101" s="12">
        <v>0</v>
      </c>
      <c r="AA101" s="12">
        <v>69580</v>
      </c>
      <c r="AB101" s="12">
        <v>0</v>
      </c>
      <c r="AC101" s="12"/>
      <c r="AD101" s="12">
        <v>0</v>
      </c>
      <c r="AE101" s="12">
        <v>0</v>
      </c>
      <c r="AF101" s="12">
        <f>SUM(E101:AE101)</f>
        <v>69580</v>
      </c>
      <c r="AG101" s="7">
        <v>98</v>
      </c>
    </row>
    <row r="102" spans="2:33" x14ac:dyDescent="0.25">
      <c r="C102" s="7">
        <v>431</v>
      </c>
      <c r="D102" s="7" t="s">
        <v>158</v>
      </c>
      <c r="E102" s="12">
        <v>0</v>
      </c>
      <c r="F102" s="12">
        <v>0</v>
      </c>
      <c r="G102" s="12">
        <v>0</v>
      </c>
      <c r="H102" s="12">
        <v>0</v>
      </c>
      <c r="I102" s="12"/>
      <c r="J102" s="12">
        <v>0</v>
      </c>
      <c r="K102" s="12">
        <v>0</v>
      </c>
      <c r="L102" s="12">
        <v>0</v>
      </c>
      <c r="M102" s="12">
        <v>0</v>
      </c>
      <c r="N102" s="12">
        <v>0</v>
      </c>
      <c r="O102" s="12">
        <v>0</v>
      </c>
      <c r="P102" s="12">
        <v>0</v>
      </c>
      <c r="Q102" s="12">
        <v>0</v>
      </c>
      <c r="R102" s="12">
        <v>0</v>
      </c>
      <c r="S102" s="12"/>
      <c r="T102" s="12"/>
      <c r="U102" s="12"/>
      <c r="V102" s="12">
        <v>0</v>
      </c>
      <c r="W102" s="12"/>
      <c r="X102" s="12">
        <v>0</v>
      </c>
      <c r="Y102" s="12">
        <v>56122.51</v>
      </c>
      <c r="Z102" s="12">
        <v>0</v>
      </c>
      <c r="AA102" s="12">
        <v>0</v>
      </c>
      <c r="AB102" s="12">
        <v>0</v>
      </c>
      <c r="AC102" s="12"/>
      <c r="AD102" s="12">
        <v>0</v>
      </c>
      <c r="AE102" s="12">
        <v>0</v>
      </c>
      <c r="AF102" s="12">
        <f>SUM(E102:AE102)</f>
        <v>56122.51</v>
      </c>
      <c r="AG102" s="7">
        <v>99</v>
      </c>
    </row>
    <row r="103" spans="2:33" x14ac:dyDescent="0.25">
      <c r="C103" s="7">
        <v>432</v>
      </c>
      <c r="D103" s="7" t="s">
        <v>159</v>
      </c>
      <c r="E103" s="12">
        <v>0</v>
      </c>
      <c r="F103" s="12">
        <v>0</v>
      </c>
      <c r="G103" s="12">
        <v>0</v>
      </c>
      <c r="H103" s="12">
        <v>0</v>
      </c>
      <c r="I103" s="12"/>
      <c r="J103" s="12">
        <v>0</v>
      </c>
      <c r="K103" s="12">
        <v>0</v>
      </c>
      <c r="L103" s="12">
        <v>0</v>
      </c>
      <c r="M103" s="12">
        <v>0</v>
      </c>
      <c r="N103" s="12">
        <v>0</v>
      </c>
      <c r="O103" s="12">
        <v>0</v>
      </c>
      <c r="P103" s="12">
        <v>0</v>
      </c>
      <c r="Q103" s="12">
        <v>0</v>
      </c>
      <c r="R103" s="12">
        <v>0</v>
      </c>
      <c r="S103" s="12"/>
      <c r="T103" s="12"/>
      <c r="U103" s="12"/>
      <c r="V103" s="12">
        <v>0</v>
      </c>
      <c r="W103" s="12"/>
      <c r="X103" s="12">
        <v>0</v>
      </c>
      <c r="Y103" s="12">
        <v>0</v>
      </c>
      <c r="Z103" s="12">
        <v>0</v>
      </c>
      <c r="AA103" s="12">
        <v>0</v>
      </c>
      <c r="AB103" s="12">
        <v>0</v>
      </c>
      <c r="AC103" s="12"/>
      <c r="AD103" s="12">
        <v>0</v>
      </c>
      <c r="AE103" s="12">
        <v>0</v>
      </c>
      <c r="AF103" s="12">
        <f>SUM(E103:AE103)</f>
        <v>0</v>
      </c>
      <c r="AG103" s="7">
        <v>100</v>
      </c>
    </row>
    <row r="104" spans="2:33" x14ac:dyDescent="0.25">
      <c r="C104" s="7">
        <v>439</v>
      </c>
      <c r="D104" s="7" t="s">
        <v>160</v>
      </c>
      <c r="E104" s="12">
        <v>0</v>
      </c>
      <c r="F104" s="12">
        <v>0</v>
      </c>
      <c r="G104" s="12">
        <v>0</v>
      </c>
      <c r="H104" s="12">
        <v>0</v>
      </c>
      <c r="I104" s="12"/>
      <c r="J104" s="12">
        <v>0</v>
      </c>
      <c r="K104" s="12">
        <v>0</v>
      </c>
      <c r="L104" s="12">
        <v>0</v>
      </c>
      <c r="M104" s="12">
        <v>0</v>
      </c>
      <c r="N104" s="12">
        <v>0</v>
      </c>
      <c r="O104" s="12">
        <v>0</v>
      </c>
      <c r="P104" s="12">
        <v>0</v>
      </c>
      <c r="Q104" s="12">
        <v>0</v>
      </c>
      <c r="R104" s="12">
        <v>0</v>
      </c>
      <c r="S104" s="12"/>
      <c r="T104" s="12"/>
      <c r="U104" s="12"/>
      <c r="V104" s="12">
        <v>0</v>
      </c>
      <c r="W104" s="12"/>
      <c r="X104" s="12">
        <v>0</v>
      </c>
      <c r="Y104" s="12">
        <v>12616.9</v>
      </c>
      <c r="Z104" s="12">
        <v>0</v>
      </c>
      <c r="AA104" s="12">
        <v>0</v>
      </c>
      <c r="AB104" s="12">
        <v>0</v>
      </c>
      <c r="AC104" s="12"/>
      <c r="AD104" s="12">
        <v>0</v>
      </c>
      <c r="AE104" s="12">
        <v>0</v>
      </c>
      <c r="AF104" s="12">
        <f>SUM(E104:AE104)</f>
        <v>12616.9</v>
      </c>
      <c r="AG104" s="7">
        <v>101</v>
      </c>
    </row>
    <row r="105" spans="2:33" x14ac:dyDescent="0.25">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7">
        <v>102</v>
      </c>
    </row>
    <row r="106" spans="2:33" x14ac:dyDescent="0.25">
      <c r="B106" s="68">
        <v>44</v>
      </c>
      <c r="C106" s="68"/>
      <c r="D106" s="68" t="s">
        <v>161</v>
      </c>
      <c r="E106" s="69">
        <f>E107+E108+E109+E110+E111+E112+E113+E114+E115+E116</f>
        <v>270</v>
      </c>
      <c r="F106" s="69">
        <f t="shared" ref="F106:AF106" si="23">F107+F108+F109+F110+F111+F112+F113+F114+F115+F116</f>
        <v>4500</v>
      </c>
      <c r="G106" s="69">
        <f t="shared" si="23"/>
        <v>0</v>
      </c>
      <c r="H106" s="69">
        <f t="shared" si="23"/>
        <v>0</v>
      </c>
      <c r="I106" s="69">
        <f t="shared" si="23"/>
        <v>0</v>
      </c>
      <c r="J106" s="69">
        <f t="shared" si="23"/>
        <v>12558</v>
      </c>
      <c r="K106" s="69">
        <f t="shared" si="23"/>
        <v>15610.5</v>
      </c>
      <c r="L106" s="69">
        <f t="shared" si="23"/>
        <v>20.74</v>
      </c>
      <c r="M106" s="69">
        <f t="shared" si="23"/>
        <v>0</v>
      </c>
      <c r="N106" s="69">
        <f t="shared" si="23"/>
        <v>0</v>
      </c>
      <c r="O106" s="69">
        <f t="shared" si="23"/>
        <v>1605.7</v>
      </c>
      <c r="P106" s="69">
        <f t="shared" si="23"/>
        <v>0</v>
      </c>
      <c r="Q106" s="69">
        <f t="shared" si="23"/>
        <v>0</v>
      </c>
      <c r="R106" s="69">
        <f t="shared" si="23"/>
        <v>0</v>
      </c>
      <c r="S106" s="69">
        <f t="shared" si="23"/>
        <v>0</v>
      </c>
      <c r="T106" s="69">
        <f t="shared" si="23"/>
        <v>0</v>
      </c>
      <c r="U106" s="69">
        <f t="shared" si="23"/>
        <v>0</v>
      </c>
      <c r="V106" s="69">
        <f t="shared" si="23"/>
        <v>0</v>
      </c>
      <c r="W106" s="69">
        <f t="shared" si="23"/>
        <v>0</v>
      </c>
      <c r="X106" s="69">
        <f t="shared" si="23"/>
        <v>3241.87</v>
      </c>
      <c r="Y106" s="69">
        <f t="shared" si="23"/>
        <v>658955.79</v>
      </c>
      <c r="Z106" s="69">
        <f t="shared" si="23"/>
        <v>22.98</v>
      </c>
      <c r="AA106" s="69">
        <f t="shared" si="23"/>
        <v>88.3</v>
      </c>
      <c r="AB106" s="69">
        <f t="shared" si="23"/>
        <v>40000</v>
      </c>
      <c r="AC106" s="69">
        <f t="shared" si="23"/>
        <v>0</v>
      </c>
      <c r="AD106" s="69">
        <f t="shared" si="23"/>
        <v>15800</v>
      </c>
      <c r="AE106" s="69">
        <f t="shared" si="23"/>
        <v>0</v>
      </c>
      <c r="AF106" s="69">
        <f t="shared" si="23"/>
        <v>752673.88000000012</v>
      </c>
      <c r="AG106" s="7">
        <v>103</v>
      </c>
    </row>
    <row r="107" spans="2:33" x14ac:dyDescent="0.25">
      <c r="C107" s="7">
        <v>440</v>
      </c>
      <c r="D107" s="7" t="s">
        <v>162</v>
      </c>
      <c r="E107" s="12">
        <v>0</v>
      </c>
      <c r="F107" s="12">
        <v>4500</v>
      </c>
      <c r="G107" s="12">
        <v>0</v>
      </c>
      <c r="H107" s="12">
        <v>0</v>
      </c>
      <c r="I107" s="12"/>
      <c r="J107" s="12">
        <v>18.600000000000001</v>
      </c>
      <c r="K107" s="12">
        <v>0</v>
      </c>
      <c r="L107" s="12">
        <v>20.74</v>
      </c>
      <c r="M107" s="12">
        <v>0</v>
      </c>
      <c r="N107" s="12">
        <v>0</v>
      </c>
      <c r="O107" s="12">
        <v>1605.7</v>
      </c>
      <c r="P107" s="12">
        <v>0</v>
      </c>
      <c r="Q107" s="12">
        <v>0</v>
      </c>
      <c r="R107" s="12">
        <v>0</v>
      </c>
      <c r="S107" s="12"/>
      <c r="T107" s="12"/>
      <c r="U107" s="12"/>
      <c r="V107" s="12">
        <v>0</v>
      </c>
      <c r="W107" s="12"/>
      <c r="X107" s="12">
        <v>2111.87</v>
      </c>
      <c r="Y107" s="12">
        <v>0</v>
      </c>
      <c r="Z107" s="12">
        <v>22.98</v>
      </c>
      <c r="AA107" s="12">
        <v>88.3</v>
      </c>
      <c r="AB107" s="12">
        <v>40000</v>
      </c>
      <c r="AC107" s="12"/>
      <c r="AD107" s="12">
        <v>0</v>
      </c>
      <c r="AE107" s="12">
        <v>0</v>
      </c>
      <c r="AF107" s="12">
        <f t="shared" ref="AF107:AF116" si="24">SUM(E107:AE107)</f>
        <v>48368.19</v>
      </c>
      <c r="AG107" s="7">
        <v>104</v>
      </c>
    </row>
    <row r="108" spans="2:33" x14ac:dyDescent="0.25">
      <c r="C108" s="7">
        <v>441</v>
      </c>
      <c r="D108" s="7" t="s">
        <v>163</v>
      </c>
      <c r="E108" s="12">
        <v>0</v>
      </c>
      <c r="F108" s="12">
        <v>0</v>
      </c>
      <c r="G108" s="12">
        <v>0</v>
      </c>
      <c r="H108" s="12">
        <v>0</v>
      </c>
      <c r="I108" s="12"/>
      <c r="J108" s="12">
        <v>0</v>
      </c>
      <c r="K108" s="12">
        <v>0</v>
      </c>
      <c r="L108" s="12">
        <v>0</v>
      </c>
      <c r="M108" s="12">
        <v>0</v>
      </c>
      <c r="N108" s="12">
        <v>0</v>
      </c>
      <c r="O108" s="12">
        <v>0</v>
      </c>
      <c r="P108" s="12">
        <v>0</v>
      </c>
      <c r="Q108" s="12">
        <v>0</v>
      </c>
      <c r="R108" s="12">
        <v>0</v>
      </c>
      <c r="S108" s="12"/>
      <c r="T108" s="12"/>
      <c r="U108" s="12"/>
      <c r="V108" s="12">
        <v>0</v>
      </c>
      <c r="W108" s="12"/>
      <c r="X108" s="12">
        <v>0</v>
      </c>
      <c r="Y108" s="12">
        <v>0</v>
      </c>
      <c r="Z108" s="12">
        <v>0</v>
      </c>
      <c r="AA108" s="12">
        <v>0</v>
      </c>
      <c r="AB108" s="12">
        <v>0</v>
      </c>
      <c r="AC108" s="12"/>
      <c r="AD108" s="12">
        <v>0</v>
      </c>
      <c r="AE108" s="12">
        <v>0</v>
      </c>
      <c r="AF108" s="12">
        <f t="shared" si="24"/>
        <v>0</v>
      </c>
      <c r="AG108" s="7">
        <v>105</v>
      </c>
    </row>
    <row r="109" spans="2:33" x14ac:dyDescent="0.25">
      <c r="C109" s="7">
        <v>442</v>
      </c>
      <c r="D109" s="7" t="s">
        <v>164</v>
      </c>
      <c r="E109" s="12">
        <v>0</v>
      </c>
      <c r="F109" s="12">
        <v>0</v>
      </c>
      <c r="G109" s="12">
        <v>0</v>
      </c>
      <c r="H109" s="12">
        <v>0</v>
      </c>
      <c r="I109" s="12"/>
      <c r="J109" s="12">
        <v>0</v>
      </c>
      <c r="K109" s="12">
        <v>0</v>
      </c>
      <c r="L109" s="12">
        <v>0</v>
      </c>
      <c r="M109" s="12">
        <v>0</v>
      </c>
      <c r="N109" s="12">
        <v>0</v>
      </c>
      <c r="O109" s="12">
        <v>0</v>
      </c>
      <c r="P109" s="12">
        <v>0</v>
      </c>
      <c r="Q109" s="12">
        <v>0</v>
      </c>
      <c r="R109" s="12">
        <v>0</v>
      </c>
      <c r="S109" s="12"/>
      <c r="T109" s="12"/>
      <c r="U109" s="12"/>
      <c r="V109" s="12">
        <v>0</v>
      </c>
      <c r="W109" s="12"/>
      <c r="X109" s="12">
        <v>0</v>
      </c>
      <c r="Y109" s="12">
        <v>0</v>
      </c>
      <c r="Z109" s="12">
        <v>0</v>
      </c>
      <c r="AA109" s="12">
        <v>0</v>
      </c>
      <c r="AB109" s="12">
        <v>0</v>
      </c>
      <c r="AC109" s="12"/>
      <c r="AD109" s="12">
        <v>0</v>
      </c>
      <c r="AE109" s="12">
        <v>0</v>
      </c>
      <c r="AF109" s="12">
        <f t="shared" si="24"/>
        <v>0</v>
      </c>
      <c r="AG109" s="7">
        <v>106</v>
      </c>
    </row>
    <row r="110" spans="2:33" x14ac:dyDescent="0.25">
      <c r="C110" s="7">
        <v>443</v>
      </c>
      <c r="D110" s="7" t="s">
        <v>165</v>
      </c>
      <c r="E110" s="12">
        <v>0</v>
      </c>
      <c r="F110" s="12">
        <v>0</v>
      </c>
      <c r="G110" s="12">
        <v>0</v>
      </c>
      <c r="H110" s="12">
        <v>0</v>
      </c>
      <c r="I110" s="12"/>
      <c r="J110" s="12">
        <v>0</v>
      </c>
      <c r="K110" s="12">
        <v>0</v>
      </c>
      <c r="L110" s="12">
        <v>0</v>
      </c>
      <c r="M110" s="12">
        <v>0</v>
      </c>
      <c r="N110" s="12">
        <v>0</v>
      </c>
      <c r="O110" s="12">
        <v>0</v>
      </c>
      <c r="P110" s="12">
        <v>0</v>
      </c>
      <c r="Q110" s="12">
        <v>0</v>
      </c>
      <c r="R110" s="12">
        <v>0</v>
      </c>
      <c r="S110" s="12"/>
      <c r="T110" s="12"/>
      <c r="U110" s="12"/>
      <c r="V110" s="12">
        <v>0</v>
      </c>
      <c r="W110" s="12"/>
      <c r="X110" s="12">
        <v>0</v>
      </c>
      <c r="Y110" s="12">
        <v>0</v>
      </c>
      <c r="Z110" s="12">
        <v>0</v>
      </c>
      <c r="AA110" s="12">
        <v>0</v>
      </c>
      <c r="AB110" s="12">
        <v>0</v>
      </c>
      <c r="AC110" s="12"/>
      <c r="AD110" s="12">
        <v>0</v>
      </c>
      <c r="AE110" s="12">
        <v>0</v>
      </c>
      <c r="AF110" s="12">
        <f t="shared" si="24"/>
        <v>0</v>
      </c>
      <c r="AG110" s="7">
        <v>107</v>
      </c>
    </row>
    <row r="111" spans="2:33" x14ac:dyDescent="0.25">
      <c r="C111" s="7">
        <v>444</v>
      </c>
      <c r="D111" s="7" t="s">
        <v>105</v>
      </c>
      <c r="E111" s="12">
        <v>0</v>
      </c>
      <c r="F111" s="12">
        <v>0</v>
      </c>
      <c r="G111" s="12">
        <v>0</v>
      </c>
      <c r="H111" s="12">
        <v>0</v>
      </c>
      <c r="I111" s="12"/>
      <c r="J111" s="12">
        <v>0</v>
      </c>
      <c r="K111" s="12">
        <v>0</v>
      </c>
      <c r="L111" s="12">
        <v>0</v>
      </c>
      <c r="M111" s="12">
        <v>0</v>
      </c>
      <c r="N111" s="12">
        <v>0</v>
      </c>
      <c r="O111" s="12">
        <v>0</v>
      </c>
      <c r="P111" s="12">
        <v>0</v>
      </c>
      <c r="Q111" s="12">
        <v>0</v>
      </c>
      <c r="R111" s="12">
        <v>0</v>
      </c>
      <c r="S111" s="12"/>
      <c r="T111" s="12"/>
      <c r="U111" s="12"/>
      <c r="V111" s="12">
        <v>0</v>
      </c>
      <c r="W111" s="12"/>
      <c r="X111" s="12">
        <v>0</v>
      </c>
      <c r="Y111" s="12">
        <v>0</v>
      </c>
      <c r="Z111" s="12">
        <v>0</v>
      </c>
      <c r="AA111" s="12">
        <v>0</v>
      </c>
      <c r="AB111" s="12">
        <v>0</v>
      </c>
      <c r="AC111" s="12"/>
      <c r="AD111" s="12">
        <v>0</v>
      </c>
      <c r="AE111" s="12">
        <v>0</v>
      </c>
      <c r="AF111" s="12">
        <f t="shared" si="24"/>
        <v>0</v>
      </c>
      <c r="AG111" s="7">
        <v>108</v>
      </c>
    </row>
    <row r="112" spans="2:33" x14ac:dyDescent="0.25">
      <c r="C112" s="7">
        <v>445</v>
      </c>
      <c r="D112" s="7" t="s">
        <v>166</v>
      </c>
      <c r="E112" s="12">
        <v>0</v>
      </c>
      <c r="F112" s="12">
        <v>0</v>
      </c>
      <c r="G112" s="12">
        <v>0</v>
      </c>
      <c r="H112" s="12">
        <v>0</v>
      </c>
      <c r="I112" s="12"/>
      <c r="J112" s="12">
        <v>0</v>
      </c>
      <c r="K112" s="12">
        <v>0</v>
      </c>
      <c r="L112" s="12">
        <v>0</v>
      </c>
      <c r="M112" s="12">
        <v>0</v>
      </c>
      <c r="N112" s="12">
        <v>0</v>
      </c>
      <c r="O112" s="12">
        <v>0</v>
      </c>
      <c r="P112" s="12">
        <v>0</v>
      </c>
      <c r="Q112" s="12">
        <v>0</v>
      </c>
      <c r="R112" s="12">
        <v>0</v>
      </c>
      <c r="S112" s="12"/>
      <c r="T112" s="12"/>
      <c r="U112" s="12"/>
      <c r="V112" s="12">
        <v>0</v>
      </c>
      <c r="W112" s="12"/>
      <c r="X112" s="12">
        <v>0</v>
      </c>
      <c r="Y112" s="12">
        <v>0</v>
      </c>
      <c r="Z112" s="12">
        <v>0</v>
      </c>
      <c r="AA112" s="12">
        <v>0</v>
      </c>
      <c r="AB112" s="12">
        <v>0</v>
      </c>
      <c r="AC112" s="12"/>
      <c r="AD112" s="12">
        <v>0</v>
      </c>
      <c r="AE112" s="12">
        <v>0</v>
      </c>
      <c r="AF112" s="12">
        <f t="shared" si="24"/>
        <v>0</v>
      </c>
      <c r="AG112" s="7">
        <v>109</v>
      </c>
    </row>
    <row r="113" spans="2:33" x14ac:dyDescent="0.25">
      <c r="C113" s="7">
        <v>446</v>
      </c>
      <c r="D113" s="7" t="s">
        <v>167</v>
      </c>
      <c r="E113" s="12">
        <v>0</v>
      </c>
      <c r="F113" s="12">
        <v>0</v>
      </c>
      <c r="G113" s="12">
        <v>0</v>
      </c>
      <c r="H113" s="12">
        <v>0</v>
      </c>
      <c r="I113" s="12"/>
      <c r="J113" s="12">
        <v>0</v>
      </c>
      <c r="K113" s="12">
        <v>0</v>
      </c>
      <c r="L113" s="12">
        <v>0</v>
      </c>
      <c r="M113" s="12">
        <v>0</v>
      </c>
      <c r="N113" s="12">
        <v>0</v>
      </c>
      <c r="O113" s="12">
        <v>0</v>
      </c>
      <c r="P113" s="12">
        <v>0</v>
      </c>
      <c r="Q113" s="12">
        <v>0</v>
      </c>
      <c r="R113" s="12">
        <v>0</v>
      </c>
      <c r="S113" s="12"/>
      <c r="T113" s="12"/>
      <c r="U113" s="12"/>
      <c r="V113" s="12">
        <v>0</v>
      </c>
      <c r="W113" s="12"/>
      <c r="X113" s="12">
        <v>0</v>
      </c>
      <c r="Y113" s="12">
        <v>0</v>
      </c>
      <c r="Z113" s="12">
        <v>0</v>
      </c>
      <c r="AA113" s="12">
        <v>0</v>
      </c>
      <c r="AB113" s="12">
        <v>0</v>
      </c>
      <c r="AC113" s="12"/>
      <c r="AD113" s="12">
        <v>0</v>
      </c>
      <c r="AE113" s="12">
        <v>0</v>
      </c>
      <c r="AF113" s="12">
        <f t="shared" si="24"/>
        <v>0</v>
      </c>
      <c r="AG113" s="7">
        <v>110</v>
      </c>
    </row>
    <row r="114" spans="2:33" x14ac:dyDescent="0.25">
      <c r="C114" s="7">
        <v>447</v>
      </c>
      <c r="D114" s="7" t="s">
        <v>168</v>
      </c>
      <c r="E114" s="12">
        <v>270</v>
      </c>
      <c r="F114" s="12">
        <v>0</v>
      </c>
      <c r="G114" s="12">
        <v>0</v>
      </c>
      <c r="H114" s="12">
        <v>0</v>
      </c>
      <c r="I114" s="12"/>
      <c r="J114" s="12">
        <v>12539.4</v>
      </c>
      <c r="K114" s="12">
        <v>15610.5</v>
      </c>
      <c r="L114" s="12">
        <v>0</v>
      </c>
      <c r="M114" s="12">
        <v>0</v>
      </c>
      <c r="N114" s="12">
        <v>0</v>
      </c>
      <c r="O114" s="12">
        <v>0</v>
      </c>
      <c r="P114" s="12">
        <v>0</v>
      </c>
      <c r="Q114" s="12">
        <v>0</v>
      </c>
      <c r="R114" s="12">
        <v>0</v>
      </c>
      <c r="S114" s="12"/>
      <c r="T114" s="12"/>
      <c r="U114" s="12"/>
      <c r="V114" s="12">
        <v>0</v>
      </c>
      <c r="W114" s="12"/>
      <c r="X114" s="12">
        <v>1130</v>
      </c>
      <c r="Y114" s="12">
        <v>658955.79</v>
      </c>
      <c r="Z114" s="12">
        <v>0</v>
      </c>
      <c r="AA114" s="12">
        <v>0</v>
      </c>
      <c r="AB114" s="12">
        <v>0</v>
      </c>
      <c r="AC114" s="12"/>
      <c r="AD114" s="12">
        <v>15800</v>
      </c>
      <c r="AE114" s="12">
        <v>0</v>
      </c>
      <c r="AF114" s="12">
        <f t="shared" si="24"/>
        <v>704305.69000000006</v>
      </c>
      <c r="AG114" s="7">
        <v>111</v>
      </c>
    </row>
    <row r="115" spans="2:33" x14ac:dyDescent="0.25">
      <c r="C115" s="7">
        <v>448</v>
      </c>
      <c r="D115" s="7" t="s">
        <v>169</v>
      </c>
      <c r="E115" s="12">
        <v>0</v>
      </c>
      <c r="F115" s="12">
        <v>0</v>
      </c>
      <c r="G115" s="12">
        <v>0</v>
      </c>
      <c r="H115" s="12">
        <v>0</v>
      </c>
      <c r="I115" s="12"/>
      <c r="J115" s="12">
        <v>0</v>
      </c>
      <c r="K115" s="12">
        <v>0</v>
      </c>
      <c r="L115" s="12">
        <v>0</v>
      </c>
      <c r="M115" s="12">
        <v>0</v>
      </c>
      <c r="N115" s="12">
        <v>0</v>
      </c>
      <c r="O115" s="12">
        <v>0</v>
      </c>
      <c r="P115" s="12">
        <v>0</v>
      </c>
      <c r="Q115" s="12">
        <v>0</v>
      </c>
      <c r="R115" s="12">
        <v>0</v>
      </c>
      <c r="S115" s="12"/>
      <c r="T115" s="12"/>
      <c r="U115" s="12"/>
      <c r="V115" s="12">
        <v>0</v>
      </c>
      <c r="W115" s="12"/>
      <c r="X115" s="12">
        <v>0</v>
      </c>
      <c r="Y115" s="12">
        <v>0</v>
      </c>
      <c r="Z115" s="12">
        <v>0</v>
      </c>
      <c r="AA115" s="12">
        <v>0</v>
      </c>
      <c r="AB115" s="12">
        <v>0</v>
      </c>
      <c r="AC115" s="12"/>
      <c r="AD115" s="12">
        <v>0</v>
      </c>
      <c r="AE115" s="12">
        <v>0</v>
      </c>
      <c r="AF115" s="12">
        <f t="shared" si="24"/>
        <v>0</v>
      </c>
      <c r="AG115" s="7">
        <v>112</v>
      </c>
    </row>
    <row r="116" spans="2:33" x14ac:dyDescent="0.25">
      <c r="C116" s="7">
        <v>449</v>
      </c>
      <c r="D116" s="7" t="s">
        <v>170</v>
      </c>
      <c r="E116" s="12">
        <v>0</v>
      </c>
      <c r="F116" s="12">
        <v>0</v>
      </c>
      <c r="G116" s="12">
        <v>0</v>
      </c>
      <c r="H116" s="12">
        <v>0</v>
      </c>
      <c r="I116" s="12"/>
      <c r="J116" s="12">
        <v>0</v>
      </c>
      <c r="K116" s="12">
        <v>0</v>
      </c>
      <c r="L116" s="12">
        <v>0</v>
      </c>
      <c r="M116" s="12">
        <v>0</v>
      </c>
      <c r="N116" s="12">
        <v>0</v>
      </c>
      <c r="O116" s="12">
        <v>0</v>
      </c>
      <c r="P116" s="12">
        <v>0</v>
      </c>
      <c r="Q116" s="12">
        <v>0</v>
      </c>
      <c r="R116" s="12">
        <v>0</v>
      </c>
      <c r="S116" s="12"/>
      <c r="T116" s="12"/>
      <c r="U116" s="12"/>
      <c r="V116" s="12">
        <v>0</v>
      </c>
      <c r="W116" s="12"/>
      <c r="X116" s="12">
        <v>0</v>
      </c>
      <c r="Y116" s="12">
        <v>0</v>
      </c>
      <c r="Z116" s="12">
        <v>0</v>
      </c>
      <c r="AA116" s="12">
        <v>0</v>
      </c>
      <c r="AB116" s="12">
        <v>0</v>
      </c>
      <c r="AC116" s="12"/>
      <c r="AD116" s="12">
        <v>0</v>
      </c>
      <c r="AE116" s="12">
        <v>0</v>
      </c>
      <c r="AF116" s="12">
        <f t="shared" si="24"/>
        <v>0</v>
      </c>
      <c r="AG116" s="7">
        <v>113</v>
      </c>
    </row>
    <row r="117" spans="2:33" x14ac:dyDescent="0.25">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7">
        <v>114</v>
      </c>
    </row>
    <row r="118" spans="2:33" x14ac:dyDescent="0.25">
      <c r="B118" s="68">
        <v>45</v>
      </c>
      <c r="C118" s="68"/>
      <c r="D118" s="68" t="s">
        <v>173</v>
      </c>
      <c r="E118" s="69">
        <f>E119+E120</f>
        <v>0</v>
      </c>
      <c r="F118" s="69">
        <f t="shared" ref="F118:AF118" si="25">F119+F120</f>
        <v>1127650.55</v>
      </c>
      <c r="G118" s="69">
        <f t="shared" si="25"/>
        <v>0</v>
      </c>
      <c r="H118" s="69">
        <f t="shared" si="25"/>
        <v>0</v>
      </c>
      <c r="I118" s="69">
        <f t="shared" si="25"/>
        <v>0</v>
      </c>
      <c r="J118" s="69">
        <f t="shared" si="25"/>
        <v>0</v>
      </c>
      <c r="K118" s="69">
        <f t="shared" si="25"/>
        <v>0</v>
      </c>
      <c r="L118" s="69">
        <f t="shared" si="25"/>
        <v>0</v>
      </c>
      <c r="M118" s="69">
        <f t="shared" si="25"/>
        <v>0</v>
      </c>
      <c r="N118" s="69">
        <f t="shared" si="25"/>
        <v>0</v>
      </c>
      <c r="O118" s="69">
        <f t="shared" si="25"/>
        <v>0</v>
      </c>
      <c r="P118" s="69">
        <f t="shared" si="25"/>
        <v>0</v>
      </c>
      <c r="Q118" s="69">
        <f t="shared" si="25"/>
        <v>0</v>
      </c>
      <c r="R118" s="69">
        <f t="shared" si="25"/>
        <v>0</v>
      </c>
      <c r="S118" s="69">
        <f t="shared" si="25"/>
        <v>0</v>
      </c>
      <c r="T118" s="69">
        <f t="shared" si="25"/>
        <v>0</v>
      </c>
      <c r="U118" s="69">
        <f t="shared" si="25"/>
        <v>0</v>
      </c>
      <c r="V118" s="69">
        <f t="shared" si="25"/>
        <v>0</v>
      </c>
      <c r="W118" s="69">
        <f t="shared" si="25"/>
        <v>0</v>
      </c>
      <c r="X118" s="69">
        <f t="shared" si="25"/>
        <v>52914.05</v>
      </c>
      <c r="Y118" s="69">
        <f t="shared" si="25"/>
        <v>0</v>
      </c>
      <c r="Z118" s="69">
        <f t="shared" si="25"/>
        <v>0</v>
      </c>
      <c r="AA118" s="69">
        <f t="shared" si="25"/>
        <v>177420.79999999999</v>
      </c>
      <c r="AB118" s="69">
        <f t="shared" si="25"/>
        <v>0</v>
      </c>
      <c r="AC118" s="69">
        <f t="shared" si="25"/>
        <v>0</v>
      </c>
      <c r="AD118" s="69">
        <f t="shared" si="25"/>
        <v>0</v>
      </c>
      <c r="AE118" s="69">
        <f t="shared" si="25"/>
        <v>0</v>
      </c>
      <c r="AF118" s="69">
        <f t="shared" si="25"/>
        <v>1357985.4000000001</v>
      </c>
      <c r="AG118" s="7">
        <v>115</v>
      </c>
    </row>
    <row r="119" spans="2:33" x14ac:dyDescent="0.25">
      <c r="C119" s="7">
        <v>450</v>
      </c>
      <c r="D119" s="7" t="s">
        <v>171</v>
      </c>
      <c r="E119" s="12">
        <v>0</v>
      </c>
      <c r="F119" s="12">
        <v>0</v>
      </c>
      <c r="G119" s="12">
        <v>0</v>
      </c>
      <c r="H119" s="12">
        <v>0</v>
      </c>
      <c r="I119" s="12"/>
      <c r="J119" s="12">
        <v>0</v>
      </c>
      <c r="K119" s="12">
        <v>0</v>
      </c>
      <c r="L119" s="12">
        <v>0</v>
      </c>
      <c r="M119" s="12">
        <v>0</v>
      </c>
      <c r="N119" s="12">
        <v>0</v>
      </c>
      <c r="O119" s="12">
        <v>0</v>
      </c>
      <c r="P119" s="12">
        <v>0</v>
      </c>
      <c r="Q119" s="12">
        <v>0</v>
      </c>
      <c r="R119" s="12">
        <v>0</v>
      </c>
      <c r="S119" s="12"/>
      <c r="T119" s="12"/>
      <c r="U119" s="12"/>
      <c r="V119" s="12">
        <v>0</v>
      </c>
      <c r="W119" s="12"/>
      <c r="X119" s="12">
        <v>0</v>
      </c>
      <c r="Y119" s="12">
        <v>0</v>
      </c>
      <c r="Z119" s="12">
        <v>0</v>
      </c>
      <c r="AA119" s="12">
        <v>0</v>
      </c>
      <c r="AB119" s="12">
        <v>0</v>
      </c>
      <c r="AC119" s="12"/>
      <c r="AD119" s="12">
        <v>0</v>
      </c>
      <c r="AE119" s="12">
        <v>0</v>
      </c>
      <c r="AF119" s="12">
        <f>SUM(E119:AE119)</f>
        <v>0</v>
      </c>
      <c r="AG119" s="7">
        <v>116</v>
      </c>
    </row>
    <row r="120" spans="2:33" x14ac:dyDescent="0.25">
      <c r="C120" s="7">
        <v>451</v>
      </c>
      <c r="D120" s="7" t="s">
        <v>172</v>
      </c>
      <c r="E120" s="12">
        <v>0</v>
      </c>
      <c r="F120" s="12">
        <v>1127650.55</v>
      </c>
      <c r="G120" s="12">
        <v>0</v>
      </c>
      <c r="H120" s="12">
        <v>0</v>
      </c>
      <c r="I120" s="12"/>
      <c r="J120" s="12">
        <v>0</v>
      </c>
      <c r="K120" s="12">
        <v>0</v>
      </c>
      <c r="L120" s="12">
        <v>0</v>
      </c>
      <c r="M120" s="12">
        <v>0</v>
      </c>
      <c r="N120" s="12">
        <v>0</v>
      </c>
      <c r="O120" s="12">
        <v>0</v>
      </c>
      <c r="P120" s="12">
        <v>0</v>
      </c>
      <c r="Q120" s="12">
        <v>0</v>
      </c>
      <c r="R120" s="12">
        <v>0</v>
      </c>
      <c r="S120" s="12"/>
      <c r="T120" s="12"/>
      <c r="U120" s="12"/>
      <c r="V120" s="12">
        <v>0</v>
      </c>
      <c r="W120" s="12"/>
      <c r="X120" s="12">
        <v>52914.05</v>
      </c>
      <c r="Y120" s="12">
        <v>0</v>
      </c>
      <c r="Z120" s="12">
        <v>0</v>
      </c>
      <c r="AA120" s="12">
        <v>177420.79999999999</v>
      </c>
      <c r="AB120" s="12">
        <v>0</v>
      </c>
      <c r="AC120" s="12"/>
      <c r="AD120" s="12">
        <v>0</v>
      </c>
      <c r="AE120" s="12">
        <v>0</v>
      </c>
      <c r="AF120" s="12">
        <f>SUM(E120:AE120)</f>
        <v>1357985.4000000001</v>
      </c>
      <c r="AG120" s="7">
        <v>117</v>
      </c>
    </row>
    <row r="121" spans="2:33" x14ac:dyDescent="0.25">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7">
        <v>118</v>
      </c>
    </row>
    <row r="122" spans="2:33" x14ac:dyDescent="0.25">
      <c r="B122" s="68">
        <v>46</v>
      </c>
      <c r="C122" s="68"/>
      <c r="D122" s="68" t="s">
        <v>174</v>
      </c>
      <c r="E122" s="69">
        <f>E123+E124+E125+E126+E127</f>
        <v>700907.24</v>
      </c>
      <c r="F122" s="69">
        <f t="shared" ref="F122:AF122" si="26">F123+F124+F125+F126+F127</f>
        <v>2483969.5699999998</v>
      </c>
      <c r="G122" s="69">
        <f t="shared" si="26"/>
        <v>39080</v>
      </c>
      <c r="H122" s="69">
        <f t="shared" si="26"/>
        <v>46961.3</v>
      </c>
      <c r="I122" s="69">
        <f t="shared" si="26"/>
        <v>0</v>
      </c>
      <c r="J122" s="69">
        <f t="shared" si="26"/>
        <v>1047161.61</v>
      </c>
      <c r="K122" s="69">
        <f t="shared" si="26"/>
        <v>2218465.81</v>
      </c>
      <c r="L122" s="69">
        <f t="shared" si="26"/>
        <v>0</v>
      </c>
      <c r="M122" s="69">
        <f t="shared" si="26"/>
        <v>271381.39</v>
      </c>
      <c r="N122" s="69">
        <f t="shared" si="26"/>
        <v>270834.63</v>
      </c>
      <c r="O122" s="69">
        <f t="shared" si="26"/>
        <v>367.05</v>
      </c>
      <c r="P122" s="69">
        <f t="shared" si="26"/>
        <v>19769.5</v>
      </c>
      <c r="Q122" s="69">
        <f t="shared" si="26"/>
        <v>7365.36</v>
      </c>
      <c r="R122" s="69">
        <f t="shared" si="26"/>
        <v>19800</v>
      </c>
      <c r="S122" s="69">
        <f t="shared" si="26"/>
        <v>0</v>
      </c>
      <c r="T122" s="69">
        <f t="shared" si="26"/>
        <v>0</v>
      </c>
      <c r="U122" s="69">
        <f t="shared" si="26"/>
        <v>0</v>
      </c>
      <c r="V122" s="69">
        <f t="shared" si="26"/>
        <v>457635.08</v>
      </c>
      <c r="W122" s="69">
        <f t="shared" si="26"/>
        <v>0</v>
      </c>
      <c r="X122" s="69">
        <f t="shared" si="26"/>
        <v>0</v>
      </c>
      <c r="Y122" s="69">
        <f t="shared" si="26"/>
        <v>2589860.7599999998</v>
      </c>
      <c r="Z122" s="69">
        <f t="shared" si="26"/>
        <v>13.3</v>
      </c>
      <c r="AA122" s="69">
        <f t="shared" si="26"/>
        <v>1285091.56</v>
      </c>
      <c r="AB122" s="69">
        <f t="shared" si="26"/>
        <v>158600</v>
      </c>
      <c r="AC122" s="69">
        <f t="shared" si="26"/>
        <v>0</v>
      </c>
      <c r="AD122" s="69">
        <f t="shared" si="26"/>
        <v>2838651.85</v>
      </c>
      <c r="AE122" s="69">
        <f t="shared" si="26"/>
        <v>236992.85</v>
      </c>
      <c r="AF122" s="69">
        <f t="shared" si="26"/>
        <v>14692908.859999999</v>
      </c>
      <c r="AG122" s="7">
        <v>119</v>
      </c>
    </row>
    <row r="123" spans="2:33" x14ac:dyDescent="0.25">
      <c r="C123" s="7">
        <v>460</v>
      </c>
      <c r="D123" s="7" t="s">
        <v>175</v>
      </c>
      <c r="E123" s="12">
        <v>0</v>
      </c>
      <c r="F123" s="12">
        <v>0</v>
      </c>
      <c r="G123" s="12">
        <v>0</v>
      </c>
      <c r="H123" s="12">
        <v>0</v>
      </c>
      <c r="I123" s="12"/>
      <c r="J123" s="12">
        <v>0</v>
      </c>
      <c r="K123" s="12">
        <v>0</v>
      </c>
      <c r="L123" s="12">
        <v>0</v>
      </c>
      <c r="M123" s="12">
        <v>0</v>
      </c>
      <c r="N123" s="12">
        <v>0</v>
      </c>
      <c r="O123" s="12">
        <v>0</v>
      </c>
      <c r="P123" s="12">
        <v>0</v>
      </c>
      <c r="Q123" s="12">
        <v>0</v>
      </c>
      <c r="R123" s="12">
        <v>0</v>
      </c>
      <c r="S123" s="12"/>
      <c r="T123" s="12"/>
      <c r="U123" s="12"/>
      <c r="V123" s="12">
        <v>0</v>
      </c>
      <c r="W123" s="12"/>
      <c r="X123" s="12">
        <v>0</v>
      </c>
      <c r="Y123" s="12">
        <v>0</v>
      </c>
      <c r="Z123" s="12">
        <v>0</v>
      </c>
      <c r="AA123" s="12">
        <v>0</v>
      </c>
      <c r="AB123" s="12">
        <v>0</v>
      </c>
      <c r="AC123" s="12"/>
      <c r="AD123" s="12">
        <v>0</v>
      </c>
      <c r="AE123" s="12">
        <v>0</v>
      </c>
      <c r="AF123" s="12">
        <f>SUM(E123:AE123)</f>
        <v>0</v>
      </c>
      <c r="AG123" s="7">
        <v>120</v>
      </c>
    </row>
    <row r="124" spans="2:33" x14ac:dyDescent="0.25">
      <c r="C124" s="7">
        <v>461</v>
      </c>
      <c r="D124" s="7" t="s">
        <v>176</v>
      </c>
      <c r="E124" s="12">
        <v>700767.19</v>
      </c>
      <c r="F124" s="12">
        <v>2483969.5699999998</v>
      </c>
      <c r="G124" s="12">
        <v>39080</v>
      </c>
      <c r="H124" s="12">
        <v>0</v>
      </c>
      <c r="I124" s="12"/>
      <c r="J124" s="12">
        <v>1041994.36</v>
      </c>
      <c r="K124" s="12">
        <v>2194485.81</v>
      </c>
      <c r="L124" s="12">
        <v>0</v>
      </c>
      <c r="M124" s="12">
        <v>214711.44</v>
      </c>
      <c r="N124" s="12">
        <v>259834.63</v>
      </c>
      <c r="O124" s="12">
        <v>0</v>
      </c>
      <c r="P124" s="12">
        <v>19769.5</v>
      </c>
      <c r="Q124" s="12">
        <v>7365.36</v>
      </c>
      <c r="R124" s="12">
        <v>19800</v>
      </c>
      <c r="S124" s="12"/>
      <c r="T124" s="12"/>
      <c r="U124" s="12"/>
      <c r="V124" s="12">
        <v>457568.63</v>
      </c>
      <c r="W124" s="12"/>
      <c r="X124" s="12">
        <v>0</v>
      </c>
      <c r="Y124" s="12">
        <v>2308857.0699999998</v>
      </c>
      <c r="Z124" s="12">
        <v>0</v>
      </c>
      <c r="AA124" s="12">
        <v>1284803.01</v>
      </c>
      <c r="AB124" s="12">
        <v>158600</v>
      </c>
      <c r="AC124" s="12"/>
      <c r="AD124" s="12">
        <v>2597257.9500000002</v>
      </c>
      <c r="AE124" s="12">
        <v>227404.75</v>
      </c>
      <c r="AF124" s="12">
        <f>SUM(E124:AE124)</f>
        <v>14016269.27</v>
      </c>
      <c r="AG124" s="7">
        <v>121</v>
      </c>
    </row>
    <row r="125" spans="2:33" x14ac:dyDescent="0.25">
      <c r="C125" s="7">
        <v>462</v>
      </c>
      <c r="D125" s="7" t="s">
        <v>112</v>
      </c>
      <c r="E125" s="12">
        <v>0</v>
      </c>
      <c r="F125" s="12">
        <v>0</v>
      </c>
      <c r="G125" s="12">
        <v>0</v>
      </c>
      <c r="H125" s="12">
        <v>0</v>
      </c>
      <c r="I125" s="12"/>
      <c r="J125" s="12">
        <v>0</v>
      </c>
      <c r="K125" s="12">
        <v>0</v>
      </c>
      <c r="L125" s="12">
        <v>0</v>
      </c>
      <c r="M125" s="12">
        <v>0</v>
      </c>
      <c r="N125" s="12">
        <v>0</v>
      </c>
      <c r="O125" s="12">
        <v>0</v>
      </c>
      <c r="P125" s="12">
        <v>0</v>
      </c>
      <c r="Q125" s="12">
        <v>0</v>
      </c>
      <c r="R125" s="12">
        <v>0</v>
      </c>
      <c r="S125" s="12"/>
      <c r="T125" s="12"/>
      <c r="U125" s="12"/>
      <c r="V125" s="12">
        <v>0</v>
      </c>
      <c r="W125" s="12"/>
      <c r="X125" s="12">
        <v>0</v>
      </c>
      <c r="Y125" s="12">
        <v>0</v>
      </c>
      <c r="Z125" s="12">
        <v>0</v>
      </c>
      <c r="AA125" s="12">
        <v>0</v>
      </c>
      <c r="AB125" s="12">
        <v>0</v>
      </c>
      <c r="AC125" s="12"/>
      <c r="AD125" s="12">
        <v>0</v>
      </c>
      <c r="AE125" s="12">
        <v>0</v>
      </c>
      <c r="AF125" s="12">
        <f>SUM(E125:AE125)</f>
        <v>0</v>
      </c>
      <c r="AG125" s="7">
        <v>122</v>
      </c>
    </row>
    <row r="126" spans="2:33" x14ac:dyDescent="0.25">
      <c r="C126" s="7">
        <v>463</v>
      </c>
      <c r="D126" s="7" t="s">
        <v>177</v>
      </c>
      <c r="E126" s="12">
        <v>0</v>
      </c>
      <c r="F126" s="12">
        <v>0</v>
      </c>
      <c r="G126" s="12">
        <v>0</v>
      </c>
      <c r="H126" s="12">
        <v>46680</v>
      </c>
      <c r="I126" s="12"/>
      <c r="J126" s="12">
        <v>5052</v>
      </c>
      <c r="K126" s="12">
        <v>23980</v>
      </c>
      <c r="L126" s="12">
        <v>0</v>
      </c>
      <c r="M126" s="12">
        <v>56669.95</v>
      </c>
      <c r="N126" s="12">
        <v>11000</v>
      </c>
      <c r="O126" s="12">
        <v>0</v>
      </c>
      <c r="P126" s="12">
        <v>0</v>
      </c>
      <c r="Q126" s="12">
        <v>0</v>
      </c>
      <c r="R126" s="12">
        <v>0</v>
      </c>
      <c r="S126" s="12"/>
      <c r="T126" s="12"/>
      <c r="U126" s="12"/>
      <c r="V126" s="12">
        <v>0</v>
      </c>
      <c r="W126" s="12"/>
      <c r="X126" s="12">
        <v>0</v>
      </c>
      <c r="Y126" s="12">
        <v>281003.69</v>
      </c>
      <c r="Z126" s="12">
        <v>0</v>
      </c>
      <c r="AA126" s="12">
        <v>0</v>
      </c>
      <c r="AB126" s="12">
        <v>0</v>
      </c>
      <c r="AC126" s="12"/>
      <c r="AD126" s="12">
        <v>240930</v>
      </c>
      <c r="AE126" s="12">
        <v>0</v>
      </c>
      <c r="AF126" s="12">
        <f>SUM(E126:AE126)</f>
        <v>665315.64</v>
      </c>
      <c r="AG126" s="7">
        <v>123</v>
      </c>
    </row>
    <row r="127" spans="2:33" x14ac:dyDescent="0.25">
      <c r="C127" s="7">
        <v>469</v>
      </c>
      <c r="D127" s="7" t="s">
        <v>178</v>
      </c>
      <c r="E127" s="12">
        <v>140.05000000000001</v>
      </c>
      <c r="F127" s="12">
        <v>0</v>
      </c>
      <c r="G127" s="12">
        <v>0</v>
      </c>
      <c r="H127" s="12">
        <v>281.3</v>
      </c>
      <c r="I127" s="12"/>
      <c r="J127" s="12">
        <v>115.25</v>
      </c>
      <c r="K127" s="12">
        <v>0</v>
      </c>
      <c r="L127" s="12">
        <v>0</v>
      </c>
      <c r="M127" s="12">
        <v>0</v>
      </c>
      <c r="N127" s="12">
        <v>0</v>
      </c>
      <c r="O127" s="12">
        <v>367.05</v>
      </c>
      <c r="P127" s="12">
        <v>0</v>
      </c>
      <c r="Q127" s="12">
        <v>0</v>
      </c>
      <c r="R127" s="12">
        <v>0</v>
      </c>
      <c r="S127" s="12"/>
      <c r="T127" s="12"/>
      <c r="U127" s="12"/>
      <c r="V127" s="12">
        <v>66.45</v>
      </c>
      <c r="W127" s="12"/>
      <c r="X127" s="12">
        <v>0</v>
      </c>
      <c r="Y127" s="12">
        <v>0</v>
      </c>
      <c r="Z127" s="12">
        <v>13.3</v>
      </c>
      <c r="AA127" s="12">
        <v>288.55</v>
      </c>
      <c r="AB127" s="12">
        <v>0</v>
      </c>
      <c r="AC127" s="12"/>
      <c r="AD127" s="12">
        <v>463.9</v>
      </c>
      <c r="AE127" s="12">
        <v>9588.1</v>
      </c>
      <c r="AF127" s="12">
        <f>SUM(E127:AE127)</f>
        <v>11323.95</v>
      </c>
      <c r="AG127" s="7">
        <v>124</v>
      </c>
    </row>
    <row r="128" spans="2:33" x14ac:dyDescent="0.25">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7">
        <v>125</v>
      </c>
    </row>
    <row r="129" spans="2:33" x14ac:dyDescent="0.25">
      <c r="B129" s="68">
        <v>47</v>
      </c>
      <c r="C129" s="68"/>
      <c r="D129" s="68" t="s">
        <v>118</v>
      </c>
      <c r="E129" s="69">
        <f>E130</f>
        <v>0</v>
      </c>
      <c r="F129" s="69">
        <f t="shared" ref="F129:AF129" si="27">F130</f>
        <v>0</v>
      </c>
      <c r="G129" s="69">
        <f t="shared" si="27"/>
        <v>0</v>
      </c>
      <c r="H129" s="69">
        <f t="shared" si="27"/>
        <v>0</v>
      </c>
      <c r="I129" s="69">
        <f t="shared" si="27"/>
        <v>0</v>
      </c>
      <c r="J129" s="69">
        <f t="shared" si="27"/>
        <v>0</v>
      </c>
      <c r="K129" s="69">
        <f t="shared" si="27"/>
        <v>0</v>
      </c>
      <c r="L129" s="69">
        <f t="shared" si="27"/>
        <v>0</v>
      </c>
      <c r="M129" s="69">
        <f t="shared" si="27"/>
        <v>0</v>
      </c>
      <c r="N129" s="69">
        <f t="shared" si="27"/>
        <v>0</v>
      </c>
      <c r="O129" s="69">
        <f t="shared" si="27"/>
        <v>0</v>
      </c>
      <c r="P129" s="69">
        <f t="shared" si="27"/>
        <v>0</v>
      </c>
      <c r="Q129" s="69">
        <f t="shared" si="27"/>
        <v>0</v>
      </c>
      <c r="R129" s="69">
        <f t="shared" si="27"/>
        <v>0</v>
      </c>
      <c r="S129" s="69">
        <f t="shared" si="27"/>
        <v>0</v>
      </c>
      <c r="T129" s="69">
        <f t="shared" si="27"/>
        <v>0</v>
      </c>
      <c r="U129" s="69">
        <f t="shared" si="27"/>
        <v>0</v>
      </c>
      <c r="V129" s="69">
        <f t="shared" si="27"/>
        <v>0</v>
      </c>
      <c r="W129" s="69">
        <f t="shared" si="27"/>
        <v>0</v>
      </c>
      <c r="X129" s="69">
        <f t="shared" si="27"/>
        <v>0</v>
      </c>
      <c r="Y129" s="69">
        <f t="shared" si="27"/>
        <v>0</v>
      </c>
      <c r="Z129" s="69">
        <f t="shared" si="27"/>
        <v>0</v>
      </c>
      <c r="AA129" s="69">
        <f t="shared" si="27"/>
        <v>0</v>
      </c>
      <c r="AB129" s="69">
        <f t="shared" si="27"/>
        <v>0</v>
      </c>
      <c r="AC129" s="69">
        <f t="shared" si="27"/>
        <v>0</v>
      </c>
      <c r="AD129" s="69">
        <f t="shared" si="27"/>
        <v>0</v>
      </c>
      <c r="AE129" s="69">
        <f t="shared" si="27"/>
        <v>0</v>
      </c>
      <c r="AF129" s="69">
        <f t="shared" si="27"/>
        <v>0</v>
      </c>
      <c r="AG129" s="7">
        <v>126</v>
      </c>
    </row>
    <row r="130" spans="2:33" x14ac:dyDescent="0.25">
      <c r="C130" s="7">
        <v>470</v>
      </c>
      <c r="D130" s="7" t="s">
        <v>179</v>
      </c>
      <c r="E130" s="12">
        <v>0</v>
      </c>
      <c r="F130" s="12">
        <v>0</v>
      </c>
      <c r="G130" s="12">
        <v>0</v>
      </c>
      <c r="H130" s="12">
        <v>0</v>
      </c>
      <c r="I130" s="12"/>
      <c r="J130" s="12">
        <v>0</v>
      </c>
      <c r="K130" s="12">
        <v>0</v>
      </c>
      <c r="L130" s="12">
        <v>0</v>
      </c>
      <c r="M130" s="12">
        <v>0</v>
      </c>
      <c r="N130" s="12">
        <v>0</v>
      </c>
      <c r="O130" s="12">
        <v>0</v>
      </c>
      <c r="P130" s="12">
        <v>0</v>
      </c>
      <c r="Q130" s="12">
        <v>0</v>
      </c>
      <c r="R130" s="12">
        <v>0</v>
      </c>
      <c r="S130" s="12"/>
      <c r="T130" s="12"/>
      <c r="U130" s="12"/>
      <c r="V130" s="12">
        <v>0</v>
      </c>
      <c r="W130" s="12"/>
      <c r="X130" s="12">
        <v>0</v>
      </c>
      <c r="Y130" s="12">
        <v>0</v>
      </c>
      <c r="Z130" s="12">
        <v>0</v>
      </c>
      <c r="AA130" s="12">
        <v>0</v>
      </c>
      <c r="AB130" s="12">
        <v>0</v>
      </c>
      <c r="AC130" s="12"/>
      <c r="AD130" s="12">
        <v>0</v>
      </c>
      <c r="AE130" s="12">
        <v>0</v>
      </c>
      <c r="AF130" s="12">
        <f>SUM(E130:AE130)</f>
        <v>0</v>
      </c>
      <c r="AG130" s="7">
        <v>127</v>
      </c>
    </row>
    <row r="131" spans="2:33" x14ac:dyDescent="0.25">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7">
        <v>128</v>
      </c>
    </row>
    <row r="132" spans="2:33" x14ac:dyDescent="0.25">
      <c r="B132" s="68">
        <v>48</v>
      </c>
      <c r="C132" s="68"/>
      <c r="D132" s="68" t="s">
        <v>180</v>
      </c>
      <c r="E132" s="69">
        <f>E133+E134+E135+E136+E137+E138+E139</f>
        <v>0</v>
      </c>
      <c r="F132" s="69">
        <f t="shared" ref="F132:AF132" si="28">F133+F134+F135+F136+F137+F138+F139</f>
        <v>2001700</v>
      </c>
      <c r="G132" s="69">
        <f t="shared" si="28"/>
        <v>0</v>
      </c>
      <c r="H132" s="69">
        <f t="shared" si="28"/>
        <v>0</v>
      </c>
      <c r="I132" s="69">
        <f t="shared" si="28"/>
        <v>0</v>
      </c>
      <c r="J132" s="69">
        <f t="shared" si="28"/>
        <v>27606.59</v>
      </c>
      <c r="K132" s="69">
        <f t="shared" si="28"/>
        <v>0</v>
      </c>
      <c r="L132" s="69">
        <f t="shared" si="28"/>
        <v>0</v>
      </c>
      <c r="M132" s="69">
        <f t="shared" si="28"/>
        <v>0</v>
      </c>
      <c r="N132" s="69">
        <f t="shared" si="28"/>
        <v>0</v>
      </c>
      <c r="O132" s="69">
        <f t="shared" si="28"/>
        <v>0</v>
      </c>
      <c r="P132" s="69">
        <f t="shared" si="28"/>
        <v>0</v>
      </c>
      <c r="Q132" s="69">
        <f t="shared" si="28"/>
        <v>0</v>
      </c>
      <c r="R132" s="69">
        <f t="shared" si="28"/>
        <v>6810.75</v>
      </c>
      <c r="S132" s="69">
        <f t="shared" si="28"/>
        <v>0</v>
      </c>
      <c r="T132" s="69">
        <f t="shared" si="28"/>
        <v>0</v>
      </c>
      <c r="U132" s="69">
        <f t="shared" si="28"/>
        <v>0</v>
      </c>
      <c r="V132" s="69">
        <f t="shared" si="28"/>
        <v>0</v>
      </c>
      <c r="W132" s="69">
        <f t="shared" si="28"/>
        <v>0</v>
      </c>
      <c r="X132" s="69">
        <f t="shared" si="28"/>
        <v>0</v>
      </c>
      <c r="Y132" s="69">
        <f t="shared" si="28"/>
        <v>35746</v>
      </c>
      <c r="Z132" s="69">
        <f t="shared" si="28"/>
        <v>0</v>
      </c>
      <c r="AA132" s="69">
        <f t="shared" si="28"/>
        <v>0</v>
      </c>
      <c r="AB132" s="69">
        <f t="shared" si="28"/>
        <v>0</v>
      </c>
      <c r="AC132" s="69">
        <f t="shared" si="28"/>
        <v>0</v>
      </c>
      <c r="AD132" s="69">
        <f t="shared" si="28"/>
        <v>0</v>
      </c>
      <c r="AE132" s="69">
        <f t="shared" si="28"/>
        <v>0</v>
      </c>
      <c r="AF132" s="69">
        <f t="shared" si="28"/>
        <v>2071863.34</v>
      </c>
      <c r="AG132" s="7">
        <v>129</v>
      </c>
    </row>
    <row r="133" spans="2:33" x14ac:dyDescent="0.25">
      <c r="C133" s="7">
        <v>481</v>
      </c>
      <c r="D133" s="7" t="s">
        <v>181</v>
      </c>
      <c r="E133" s="12">
        <v>0</v>
      </c>
      <c r="F133" s="12">
        <v>0</v>
      </c>
      <c r="G133" s="12">
        <v>0</v>
      </c>
      <c r="H133" s="12">
        <v>0</v>
      </c>
      <c r="I133" s="12"/>
      <c r="J133" s="12">
        <v>0</v>
      </c>
      <c r="K133" s="12">
        <v>0</v>
      </c>
      <c r="L133" s="12">
        <v>0</v>
      </c>
      <c r="M133" s="12">
        <v>0</v>
      </c>
      <c r="N133" s="12">
        <v>0</v>
      </c>
      <c r="O133" s="12">
        <v>0</v>
      </c>
      <c r="P133" s="12">
        <v>0</v>
      </c>
      <c r="Q133" s="12">
        <v>0</v>
      </c>
      <c r="R133" s="12">
        <v>0</v>
      </c>
      <c r="S133" s="12"/>
      <c r="T133" s="12"/>
      <c r="U133" s="12"/>
      <c r="V133" s="12">
        <v>0</v>
      </c>
      <c r="W133" s="12"/>
      <c r="X133" s="12">
        <v>0</v>
      </c>
      <c r="Y133" s="12">
        <v>0</v>
      </c>
      <c r="Z133" s="12">
        <v>0</v>
      </c>
      <c r="AA133" s="12">
        <v>0</v>
      </c>
      <c r="AB133" s="12">
        <v>0</v>
      </c>
      <c r="AC133" s="12"/>
      <c r="AD133" s="12">
        <v>0</v>
      </c>
      <c r="AE133" s="12">
        <v>0</v>
      </c>
      <c r="AF133" s="12">
        <f t="shared" ref="AF133:AF139" si="29">SUM(E133:AE133)</f>
        <v>0</v>
      </c>
      <c r="AG133" s="7">
        <v>130</v>
      </c>
    </row>
    <row r="134" spans="2:33" x14ac:dyDescent="0.25">
      <c r="C134" s="7">
        <v>482</v>
      </c>
      <c r="D134" s="7" t="s">
        <v>182</v>
      </c>
      <c r="E134" s="12">
        <v>0</v>
      </c>
      <c r="F134" s="12">
        <v>0</v>
      </c>
      <c r="G134" s="12">
        <v>0</v>
      </c>
      <c r="H134" s="12">
        <v>0</v>
      </c>
      <c r="I134" s="12"/>
      <c r="J134" s="12">
        <v>0</v>
      </c>
      <c r="K134" s="12">
        <v>0</v>
      </c>
      <c r="L134" s="12">
        <v>0</v>
      </c>
      <c r="M134" s="12">
        <v>0</v>
      </c>
      <c r="N134" s="12">
        <v>0</v>
      </c>
      <c r="O134" s="12">
        <v>0</v>
      </c>
      <c r="P134" s="12">
        <v>0</v>
      </c>
      <c r="Q134" s="12">
        <v>0</v>
      </c>
      <c r="R134" s="12">
        <v>0</v>
      </c>
      <c r="S134" s="12"/>
      <c r="T134" s="12"/>
      <c r="U134" s="12"/>
      <c r="V134" s="12">
        <v>0</v>
      </c>
      <c r="W134" s="12"/>
      <c r="X134" s="12">
        <v>0</v>
      </c>
      <c r="Y134" s="12">
        <v>0</v>
      </c>
      <c r="Z134" s="12">
        <v>0</v>
      </c>
      <c r="AA134" s="12">
        <v>0</v>
      </c>
      <c r="AB134" s="12">
        <v>0</v>
      </c>
      <c r="AC134" s="12"/>
      <c r="AD134" s="12">
        <v>0</v>
      </c>
      <c r="AE134" s="12">
        <v>0</v>
      </c>
      <c r="AF134" s="12">
        <f t="shared" si="29"/>
        <v>0</v>
      </c>
      <c r="AG134" s="7">
        <v>131</v>
      </c>
    </row>
    <row r="135" spans="2:33" x14ac:dyDescent="0.25">
      <c r="C135" s="7">
        <v>483</v>
      </c>
      <c r="D135" s="7" t="s">
        <v>183</v>
      </c>
      <c r="E135" s="12">
        <v>0</v>
      </c>
      <c r="F135" s="12">
        <v>0</v>
      </c>
      <c r="G135" s="12">
        <v>0</v>
      </c>
      <c r="H135" s="12">
        <v>0</v>
      </c>
      <c r="I135" s="12"/>
      <c r="J135" s="12">
        <v>0</v>
      </c>
      <c r="K135" s="12">
        <v>0</v>
      </c>
      <c r="L135" s="12">
        <v>0</v>
      </c>
      <c r="M135" s="12">
        <v>0</v>
      </c>
      <c r="N135" s="12">
        <v>0</v>
      </c>
      <c r="O135" s="12">
        <v>0</v>
      </c>
      <c r="P135" s="12">
        <v>0</v>
      </c>
      <c r="Q135" s="12">
        <v>0</v>
      </c>
      <c r="R135" s="12">
        <v>0</v>
      </c>
      <c r="S135" s="12"/>
      <c r="T135" s="12"/>
      <c r="U135" s="12"/>
      <c r="V135" s="12">
        <v>0</v>
      </c>
      <c r="W135" s="12"/>
      <c r="X135" s="12">
        <v>0</v>
      </c>
      <c r="Y135" s="12">
        <v>0</v>
      </c>
      <c r="Z135" s="12">
        <v>0</v>
      </c>
      <c r="AA135" s="12">
        <v>0</v>
      </c>
      <c r="AB135" s="12">
        <v>0</v>
      </c>
      <c r="AC135" s="12"/>
      <c r="AD135" s="12">
        <v>0</v>
      </c>
      <c r="AE135" s="12">
        <v>0</v>
      </c>
      <c r="AF135" s="12">
        <f t="shared" si="29"/>
        <v>0</v>
      </c>
      <c r="AG135" s="7">
        <v>132</v>
      </c>
    </row>
    <row r="136" spans="2:33" x14ac:dyDescent="0.25">
      <c r="C136" s="7">
        <v>484</v>
      </c>
      <c r="D136" s="7" t="s">
        <v>184</v>
      </c>
      <c r="E136" s="12">
        <v>0</v>
      </c>
      <c r="F136" s="12">
        <v>0</v>
      </c>
      <c r="G136" s="12">
        <v>0</v>
      </c>
      <c r="H136" s="12">
        <v>0</v>
      </c>
      <c r="I136" s="12"/>
      <c r="J136" s="12">
        <v>0</v>
      </c>
      <c r="K136" s="12">
        <v>0</v>
      </c>
      <c r="L136" s="12">
        <v>0</v>
      </c>
      <c r="M136" s="12">
        <v>0</v>
      </c>
      <c r="N136" s="12">
        <v>0</v>
      </c>
      <c r="O136" s="12">
        <v>0</v>
      </c>
      <c r="P136" s="12">
        <v>0</v>
      </c>
      <c r="Q136" s="12">
        <v>0</v>
      </c>
      <c r="R136" s="12">
        <v>0</v>
      </c>
      <c r="S136" s="12"/>
      <c r="T136" s="12"/>
      <c r="U136" s="12"/>
      <c r="V136" s="12">
        <v>0</v>
      </c>
      <c r="W136" s="12"/>
      <c r="X136" s="12">
        <v>0</v>
      </c>
      <c r="Y136" s="12">
        <v>0</v>
      </c>
      <c r="Z136" s="12">
        <v>0</v>
      </c>
      <c r="AA136" s="12">
        <v>0</v>
      </c>
      <c r="AB136" s="12">
        <v>0</v>
      </c>
      <c r="AC136" s="12"/>
      <c r="AD136" s="12">
        <v>0</v>
      </c>
      <c r="AE136" s="12">
        <v>0</v>
      </c>
      <c r="AF136" s="12">
        <f t="shared" si="29"/>
        <v>0</v>
      </c>
      <c r="AG136" s="7">
        <v>133</v>
      </c>
    </row>
    <row r="137" spans="2:33" x14ac:dyDescent="0.25">
      <c r="C137" s="7">
        <v>485</v>
      </c>
      <c r="D137" s="7" t="s">
        <v>185</v>
      </c>
      <c r="E137" s="12">
        <v>0</v>
      </c>
      <c r="F137" s="12">
        <v>0</v>
      </c>
      <c r="G137" s="12">
        <v>0</v>
      </c>
      <c r="H137" s="12">
        <v>0</v>
      </c>
      <c r="I137" s="12"/>
      <c r="J137" s="12">
        <v>0</v>
      </c>
      <c r="K137" s="12">
        <v>0</v>
      </c>
      <c r="L137" s="12">
        <v>0</v>
      </c>
      <c r="M137" s="12">
        <v>0</v>
      </c>
      <c r="N137" s="12">
        <v>0</v>
      </c>
      <c r="O137" s="12">
        <v>0</v>
      </c>
      <c r="P137" s="12">
        <v>0</v>
      </c>
      <c r="Q137" s="12">
        <v>0</v>
      </c>
      <c r="R137" s="12">
        <v>0</v>
      </c>
      <c r="S137" s="12"/>
      <c r="T137" s="12"/>
      <c r="U137" s="12"/>
      <c r="V137" s="12">
        <v>0</v>
      </c>
      <c r="W137" s="12"/>
      <c r="X137" s="12">
        <v>0</v>
      </c>
      <c r="Y137" s="12">
        <v>0</v>
      </c>
      <c r="Z137" s="12">
        <v>0</v>
      </c>
      <c r="AA137" s="12">
        <v>0</v>
      </c>
      <c r="AB137" s="12">
        <v>0</v>
      </c>
      <c r="AC137" s="12"/>
      <c r="AD137" s="12">
        <v>0</v>
      </c>
      <c r="AE137" s="12">
        <v>0</v>
      </c>
      <c r="AF137" s="12">
        <f t="shared" si="29"/>
        <v>0</v>
      </c>
      <c r="AG137" s="7">
        <v>134</v>
      </c>
    </row>
    <row r="138" spans="2:33" x14ac:dyDescent="0.25">
      <c r="C138" s="7">
        <v>486</v>
      </c>
      <c r="D138" s="7" t="s">
        <v>186</v>
      </c>
      <c r="E138" s="12">
        <v>0</v>
      </c>
      <c r="F138" s="12">
        <v>0</v>
      </c>
      <c r="G138" s="12">
        <v>0</v>
      </c>
      <c r="H138" s="12">
        <v>0</v>
      </c>
      <c r="I138" s="12"/>
      <c r="J138" s="12">
        <v>0</v>
      </c>
      <c r="K138" s="12">
        <v>0</v>
      </c>
      <c r="L138" s="12">
        <v>0</v>
      </c>
      <c r="M138" s="12">
        <v>0</v>
      </c>
      <c r="N138" s="12">
        <v>0</v>
      </c>
      <c r="O138" s="12">
        <v>0</v>
      </c>
      <c r="P138" s="12">
        <v>0</v>
      </c>
      <c r="Q138" s="12">
        <v>0</v>
      </c>
      <c r="R138" s="12">
        <v>0</v>
      </c>
      <c r="S138" s="12"/>
      <c r="T138" s="12"/>
      <c r="U138" s="12"/>
      <c r="V138" s="12">
        <v>0</v>
      </c>
      <c r="W138" s="12"/>
      <c r="X138" s="12">
        <v>0</v>
      </c>
      <c r="Y138" s="12">
        <v>0</v>
      </c>
      <c r="Z138" s="12">
        <v>0</v>
      </c>
      <c r="AA138" s="12">
        <v>0</v>
      </c>
      <c r="AB138" s="12">
        <v>0</v>
      </c>
      <c r="AC138" s="12"/>
      <c r="AD138" s="12">
        <v>0</v>
      </c>
      <c r="AE138" s="12">
        <v>0</v>
      </c>
      <c r="AF138" s="12">
        <f t="shared" si="29"/>
        <v>0</v>
      </c>
      <c r="AG138" s="7">
        <v>135</v>
      </c>
    </row>
    <row r="139" spans="2:33" x14ac:dyDescent="0.25">
      <c r="C139" s="7">
        <v>489</v>
      </c>
      <c r="D139" s="7" t="s">
        <v>187</v>
      </c>
      <c r="E139" s="12">
        <v>0</v>
      </c>
      <c r="F139" s="12">
        <v>2001700</v>
      </c>
      <c r="G139" s="12">
        <v>0</v>
      </c>
      <c r="H139" s="12">
        <v>0</v>
      </c>
      <c r="I139" s="12"/>
      <c r="J139" s="12">
        <v>27606.59</v>
      </c>
      <c r="K139" s="12">
        <v>0</v>
      </c>
      <c r="L139" s="12">
        <v>0</v>
      </c>
      <c r="M139" s="12">
        <v>0</v>
      </c>
      <c r="N139" s="12">
        <v>0</v>
      </c>
      <c r="O139" s="12">
        <v>0</v>
      </c>
      <c r="P139" s="12">
        <v>0</v>
      </c>
      <c r="Q139" s="12">
        <v>0</v>
      </c>
      <c r="R139" s="12">
        <v>6810.75</v>
      </c>
      <c r="S139" s="12"/>
      <c r="T139" s="12"/>
      <c r="U139" s="12"/>
      <c r="V139" s="12">
        <v>0</v>
      </c>
      <c r="W139" s="12"/>
      <c r="X139" s="12">
        <v>0</v>
      </c>
      <c r="Y139" s="12">
        <v>35746</v>
      </c>
      <c r="Z139" s="12">
        <v>0</v>
      </c>
      <c r="AA139" s="12">
        <v>0</v>
      </c>
      <c r="AB139" s="12">
        <v>0</v>
      </c>
      <c r="AC139" s="12"/>
      <c r="AD139" s="12">
        <v>0</v>
      </c>
      <c r="AE139" s="12">
        <v>0</v>
      </c>
      <c r="AF139" s="12">
        <f t="shared" si="29"/>
        <v>2071863.34</v>
      </c>
      <c r="AG139" s="7">
        <v>136</v>
      </c>
    </row>
    <row r="140" spans="2:33" x14ac:dyDescent="0.25">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7">
        <v>137</v>
      </c>
    </row>
    <row r="141" spans="2:33" x14ac:dyDescent="0.25">
      <c r="B141" s="68">
        <v>49</v>
      </c>
      <c r="C141" s="68"/>
      <c r="D141" s="68" t="s">
        <v>127</v>
      </c>
      <c r="E141" s="69">
        <f>E142+E143+E144+E145+E146+E147+E148+E149</f>
        <v>0</v>
      </c>
      <c r="F141" s="69">
        <f t="shared" ref="F141:AF141" si="30">F142+F143+F144+F145+F146+F147+F148+F149</f>
        <v>0</v>
      </c>
      <c r="G141" s="69">
        <f t="shared" si="30"/>
        <v>0</v>
      </c>
      <c r="H141" s="69">
        <f t="shared" si="30"/>
        <v>0</v>
      </c>
      <c r="I141" s="69">
        <f t="shared" si="30"/>
        <v>0</v>
      </c>
      <c r="J141" s="69">
        <f t="shared" si="30"/>
        <v>0</v>
      </c>
      <c r="K141" s="69">
        <f t="shared" si="30"/>
        <v>0</v>
      </c>
      <c r="L141" s="69">
        <f t="shared" si="30"/>
        <v>0</v>
      </c>
      <c r="M141" s="69">
        <f t="shared" si="30"/>
        <v>0</v>
      </c>
      <c r="N141" s="69">
        <f t="shared" si="30"/>
        <v>0</v>
      </c>
      <c r="O141" s="69">
        <f t="shared" si="30"/>
        <v>0</v>
      </c>
      <c r="P141" s="69">
        <f t="shared" si="30"/>
        <v>0</v>
      </c>
      <c r="Q141" s="69">
        <f t="shared" si="30"/>
        <v>0</v>
      </c>
      <c r="R141" s="69">
        <f t="shared" si="30"/>
        <v>0</v>
      </c>
      <c r="S141" s="69">
        <f t="shared" si="30"/>
        <v>0</v>
      </c>
      <c r="T141" s="69">
        <f t="shared" si="30"/>
        <v>0</v>
      </c>
      <c r="U141" s="69">
        <f t="shared" si="30"/>
        <v>0</v>
      </c>
      <c r="V141" s="69">
        <f t="shared" si="30"/>
        <v>183345.69</v>
      </c>
      <c r="W141" s="69">
        <f t="shared" si="30"/>
        <v>0</v>
      </c>
      <c r="X141" s="69">
        <f t="shared" si="30"/>
        <v>0</v>
      </c>
      <c r="Y141" s="69">
        <f t="shared" si="30"/>
        <v>0</v>
      </c>
      <c r="Z141" s="69">
        <f t="shared" si="30"/>
        <v>15434.6</v>
      </c>
      <c r="AA141" s="69">
        <f t="shared" si="30"/>
        <v>0</v>
      </c>
      <c r="AB141" s="69">
        <f t="shared" si="30"/>
        <v>0</v>
      </c>
      <c r="AC141" s="69">
        <f t="shared" si="30"/>
        <v>0</v>
      </c>
      <c r="AD141" s="69">
        <f t="shared" si="30"/>
        <v>0</v>
      </c>
      <c r="AE141" s="69">
        <f t="shared" si="30"/>
        <v>0</v>
      </c>
      <c r="AF141" s="69">
        <f t="shared" si="30"/>
        <v>198780.29</v>
      </c>
      <c r="AG141" s="7">
        <v>138</v>
      </c>
    </row>
    <row r="142" spans="2:33" x14ac:dyDescent="0.25">
      <c r="C142" s="7">
        <v>490</v>
      </c>
      <c r="D142" s="7" t="s">
        <v>128</v>
      </c>
      <c r="E142" s="12">
        <v>0</v>
      </c>
      <c r="F142" s="12">
        <v>0</v>
      </c>
      <c r="G142" s="12">
        <v>0</v>
      </c>
      <c r="H142" s="12">
        <v>0</v>
      </c>
      <c r="I142" s="12"/>
      <c r="J142" s="12">
        <v>0</v>
      </c>
      <c r="K142" s="12">
        <v>0</v>
      </c>
      <c r="L142" s="12">
        <v>0</v>
      </c>
      <c r="M142" s="12">
        <v>0</v>
      </c>
      <c r="N142" s="12">
        <v>0</v>
      </c>
      <c r="O142" s="12">
        <v>0</v>
      </c>
      <c r="P142" s="12">
        <v>0</v>
      </c>
      <c r="Q142" s="12">
        <v>0</v>
      </c>
      <c r="R142" s="12">
        <v>0</v>
      </c>
      <c r="S142" s="12"/>
      <c r="T142" s="12"/>
      <c r="U142" s="12"/>
      <c r="V142" s="12">
        <v>0</v>
      </c>
      <c r="W142" s="12"/>
      <c r="X142" s="12">
        <v>0</v>
      </c>
      <c r="Y142" s="12">
        <v>0</v>
      </c>
      <c r="Z142" s="12">
        <v>0</v>
      </c>
      <c r="AA142" s="12">
        <v>0</v>
      </c>
      <c r="AB142" s="12">
        <v>0</v>
      </c>
      <c r="AC142" s="12"/>
      <c r="AD142" s="12">
        <v>0</v>
      </c>
      <c r="AE142" s="12">
        <v>0</v>
      </c>
      <c r="AF142" s="12">
        <f t="shared" ref="AF142:AF149" si="31">SUM(E142:AE142)</f>
        <v>0</v>
      </c>
      <c r="AG142" s="7">
        <v>139</v>
      </c>
    </row>
    <row r="143" spans="2:33" x14ac:dyDescent="0.25">
      <c r="C143" s="7">
        <v>491</v>
      </c>
      <c r="D143" s="7" t="s">
        <v>129</v>
      </c>
      <c r="E143" s="12">
        <v>0</v>
      </c>
      <c r="F143" s="12">
        <v>0</v>
      </c>
      <c r="G143" s="12">
        <v>0</v>
      </c>
      <c r="H143" s="12">
        <v>0</v>
      </c>
      <c r="I143" s="12"/>
      <c r="J143" s="12">
        <v>0</v>
      </c>
      <c r="K143" s="12">
        <v>0</v>
      </c>
      <c r="L143" s="12">
        <v>0</v>
      </c>
      <c r="M143" s="12">
        <v>0</v>
      </c>
      <c r="N143" s="12">
        <v>0</v>
      </c>
      <c r="O143" s="12">
        <v>0</v>
      </c>
      <c r="P143" s="12">
        <v>0</v>
      </c>
      <c r="Q143" s="12">
        <v>0</v>
      </c>
      <c r="R143" s="12">
        <v>0</v>
      </c>
      <c r="S143" s="12"/>
      <c r="T143" s="12"/>
      <c r="U143" s="12"/>
      <c r="V143" s="12">
        <v>0</v>
      </c>
      <c r="W143" s="12"/>
      <c r="X143" s="12">
        <v>0</v>
      </c>
      <c r="Y143" s="12">
        <v>0</v>
      </c>
      <c r="Z143" s="12">
        <v>0</v>
      </c>
      <c r="AA143" s="12">
        <v>0</v>
      </c>
      <c r="AB143" s="12">
        <v>0</v>
      </c>
      <c r="AC143" s="12"/>
      <c r="AD143" s="12">
        <v>0</v>
      </c>
      <c r="AE143" s="12">
        <v>0</v>
      </c>
      <c r="AF143" s="12">
        <f t="shared" si="31"/>
        <v>0</v>
      </c>
      <c r="AG143" s="7">
        <v>140</v>
      </c>
    </row>
    <row r="144" spans="2:33" x14ac:dyDescent="0.25">
      <c r="C144" s="7">
        <v>492</v>
      </c>
      <c r="D144" s="7" t="s">
        <v>188</v>
      </c>
      <c r="E144" s="12">
        <v>0</v>
      </c>
      <c r="F144" s="12">
        <v>0</v>
      </c>
      <c r="G144" s="12">
        <v>0</v>
      </c>
      <c r="H144" s="12">
        <v>0</v>
      </c>
      <c r="I144" s="12"/>
      <c r="J144" s="12">
        <v>0</v>
      </c>
      <c r="K144" s="12">
        <v>0</v>
      </c>
      <c r="L144" s="12">
        <v>0</v>
      </c>
      <c r="M144" s="12">
        <v>0</v>
      </c>
      <c r="N144" s="12">
        <v>0</v>
      </c>
      <c r="O144" s="12">
        <v>0</v>
      </c>
      <c r="P144" s="12">
        <v>0</v>
      </c>
      <c r="Q144" s="12">
        <v>0</v>
      </c>
      <c r="R144" s="12">
        <v>0</v>
      </c>
      <c r="S144" s="12"/>
      <c r="T144" s="12"/>
      <c r="U144" s="12"/>
      <c r="V144" s="12">
        <v>0</v>
      </c>
      <c r="W144" s="12"/>
      <c r="X144" s="12">
        <v>0</v>
      </c>
      <c r="Y144" s="12">
        <v>0</v>
      </c>
      <c r="Z144" s="12">
        <v>0</v>
      </c>
      <c r="AA144" s="12">
        <v>0</v>
      </c>
      <c r="AB144" s="12">
        <v>0</v>
      </c>
      <c r="AC144" s="12"/>
      <c r="AD144" s="12">
        <v>0</v>
      </c>
      <c r="AE144" s="12">
        <v>0</v>
      </c>
      <c r="AF144" s="12">
        <f t="shared" si="31"/>
        <v>0</v>
      </c>
      <c r="AG144" s="7">
        <v>141</v>
      </c>
    </row>
    <row r="145" spans="1:33" x14ac:dyDescent="0.25">
      <c r="C145" s="7">
        <v>493</v>
      </c>
      <c r="D145" s="7" t="s">
        <v>189</v>
      </c>
      <c r="E145" s="12">
        <v>0</v>
      </c>
      <c r="F145" s="12">
        <v>0</v>
      </c>
      <c r="G145" s="12">
        <v>0</v>
      </c>
      <c r="H145" s="12">
        <v>0</v>
      </c>
      <c r="I145" s="12"/>
      <c r="J145" s="12">
        <v>0</v>
      </c>
      <c r="K145" s="12">
        <v>0</v>
      </c>
      <c r="L145" s="12">
        <v>0</v>
      </c>
      <c r="M145" s="12">
        <v>0</v>
      </c>
      <c r="N145" s="12">
        <v>0</v>
      </c>
      <c r="O145" s="12">
        <v>0</v>
      </c>
      <c r="P145" s="12">
        <v>0</v>
      </c>
      <c r="Q145" s="12">
        <v>0</v>
      </c>
      <c r="R145" s="12">
        <v>0</v>
      </c>
      <c r="S145" s="12"/>
      <c r="T145" s="12"/>
      <c r="U145" s="12"/>
      <c r="V145" s="12">
        <v>0</v>
      </c>
      <c r="W145" s="12"/>
      <c r="X145" s="12">
        <v>0</v>
      </c>
      <c r="Y145" s="12">
        <v>0</v>
      </c>
      <c r="Z145" s="12">
        <v>0</v>
      </c>
      <c r="AA145" s="12">
        <v>0</v>
      </c>
      <c r="AB145" s="12">
        <v>0</v>
      </c>
      <c r="AC145" s="12"/>
      <c r="AD145" s="12">
        <v>0</v>
      </c>
      <c r="AE145" s="12">
        <v>0</v>
      </c>
      <c r="AF145" s="12">
        <f t="shared" si="31"/>
        <v>0</v>
      </c>
      <c r="AG145" s="7">
        <v>142</v>
      </c>
    </row>
    <row r="146" spans="1:33" x14ac:dyDescent="0.25">
      <c r="C146" s="7">
        <v>494</v>
      </c>
      <c r="D146" s="7" t="s">
        <v>132</v>
      </c>
      <c r="E146" s="12">
        <v>0</v>
      </c>
      <c r="F146" s="12">
        <v>0</v>
      </c>
      <c r="G146" s="12">
        <v>0</v>
      </c>
      <c r="H146" s="12">
        <v>0</v>
      </c>
      <c r="I146" s="12"/>
      <c r="J146" s="12">
        <v>0</v>
      </c>
      <c r="K146" s="12">
        <v>0</v>
      </c>
      <c r="L146" s="12">
        <v>0</v>
      </c>
      <c r="M146" s="12">
        <v>0</v>
      </c>
      <c r="N146" s="12">
        <v>0</v>
      </c>
      <c r="O146" s="12">
        <v>0</v>
      </c>
      <c r="P146" s="12">
        <v>0</v>
      </c>
      <c r="Q146" s="12">
        <v>0</v>
      </c>
      <c r="R146" s="12">
        <v>0</v>
      </c>
      <c r="S146" s="12"/>
      <c r="T146" s="12"/>
      <c r="U146" s="12"/>
      <c r="V146" s="12">
        <v>0</v>
      </c>
      <c r="W146" s="12"/>
      <c r="X146" s="12">
        <v>0</v>
      </c>
      <c r="Y146" s="12">
        <v>0</v>
      </c>
      <c r="Z146" s="12">
        <v>15434.6</v>
      </c>
      <c r="AA146" s="12">
        <v>0</v>
      </c>
      <c r="AB146" s="12">
        <v>0</v>
      </c>
      <c r="AC146" s="12"/>
      <c r="AD146" s="12">
        <v>0</v>
      </c>
      <c r="AE146" s="12">
        <v>0</v>
      </c>
      <c r="AF146" s="12">
        <f t="shared" si="31"/>
        <v>15434.6</v>
      </c>
      <c r="AG146" s="7">
        <v>143</v>
      </c>
    </row>
    <row r="147" spans="1:33" x14ac:dyDescent="0.25">
      <c r="C147" s="7">
        <v>495</v>
      </c>
      <c r="D147" s="7" t="s">
        <v>190</v>
      </c>
      <c r="E147" s="12">
        <v>0</v>
      </c>
      <c r="F147" s="12">
        <v>0</v>
      </c>
      <c r="G147" s="12">
        <v>0</v>
      </c>
      <c r="H147" s="12">
        <v>0</v>
      </c>
      <c r="I147" s="12"/>
      <c r="J147" s="12">
        <v>0</v>
      </c>
      <c r="K147" s="12">
        <v>0</v>
      </c>
      <c r="L147" s="12">
        <v>0</v>
      </c>
      <c r="M147" s="12">
        <v>0</v>
      </c>
      <c r="N147" s="12">
        <v>0</v>
      </c>
      <c r="O147" s="12">
        <v>0</v>
      </c>
      <c r="P147" s="12">
        <v>0</v>
      </c>
      <c r="Q147" s="12">
        <v>0</v>
      </c>
      <c r="R147" s="12">
        <v>0</v>
      </c>
      <c r="S147" s="12"/>
      <c r="T147" s="12"/>
      <c r="U147" s="12"/>
      <c r="V147" s="12">
        <v>0</v>
      </c>
      <c r="W147" s="12"/>
      <c r="X147" s="12">
        <v>0</v>
      </c>
      <c r="Y147" s="12">
        <v>0</v>
      </c>
      <c r="Z147" s="12">
        <v>0</v>
      </c>
      <c r="AA147" s="12">
        <v>0</v>
      </c>
      <c r="AB147" s="12">
        <v>0</v>
      </c>
      <c r="AC147" s="12"/>
      <c r="AD147" s="12">
        <v>0</v>
      </c>
      <c r="AE147" s="12">
        <v>0</v>
      </c>
      <c r="AF147" s="12">
        <f t="shared" si="31"/>
        <v>0</v>
      </c>
      <c r="AG147" s="7">
        <v>144</v>
      </c>
    </row>
    <row r="148" spans="1:33" x14ac:dyDescent="0.25">
      <c r="C148" s="7">
        <v>498</v>
      </c>
      <c r="D148" s="7" t="s">
        <v>191</v>
      </c>
      <c r="E148" s="12">
        <v>0</v>
      </c>
      <c r="F148" s="12">
        <v>0</v>
      </c>
      <c r="G148" s="12">
        <v>0</v>
      </c>
      <c r="H148" s="12">
        <v>0</v>
      </c>
      <c r="I148" s="12"/>
      <c r="J148" s="12">
        <v>0</v>
      </c>
      <c r="K148" s="12">
        <v>0</v>
      </c>
      <c r="L148" s="12">
        <v>0</v>
      </c>
      <c r="M148" s="12">
        <v>0</v>
      </c>
      <c r="N148" s="12">
        <v>0</v>
      </c>
      <c r="O148" s="12">
        <v>0</v>
      </c>
      <c r="P148" s="12">
        <v>0</v>
      </c>
      <c r="Q148" s="12">
        <v>0</v>
      </c>
      <c r="R148" s="12">
        <v>0</v>
      </c>
      <c r="S148" s="12"/>
      <c r="T148" s="12"/>
      <c r="U148" s="12"/>
      <c r="V148" s="12">
        <v>183345.69</v>
      </c>
      <c r="W148" s="12"/>
      <c r="X148" s="12">
        <v>0</v>
      </c>
      <c r="Y148" s="12">
        <v>0</v>
      </c>
      <c r="Z148" s="12">
        <v>0</v>
      </c>
      <c r="AA148" s="12">
        <v>0</v>
      </c>
      <c r="AB148" s="12">
        <v>0</v>
      </c>
      <c r="AC148" s="12"/>
      <c r="AD148" s="12">
        <v>0</v>
      </c>
      <c r="AE148" s="12">
        <v>0</v>
      </c>
      <c r="AF148" s="12">
        <f t="shared" si="31"/>
        <v>183345.69</v>
      </c>
      <c r="AG148" s="7">
        <v>145</v>
      </c>
    </row>
    <row r="149" spans="1:33" x14ac:dyDescent="0.25">
      <c r="C149" s="7">
        <v>499</v>
      </c>
      <c r="D149" s="7" t="s">
        <v>135</v>
      </c>
      <c r="E149" s="12">
        <v>0</v>
      </c>
      <c r="F149" s="12">
        <v>0</v>
      </c>
      <c r="G149" s="12">
        <v>0</v>
      </c>
      <c r="H149" s="12">
        <v>0</v>
      </c>
      <c r="I149" s="12"/>
      <c r="J149" s="12">
        <v>0</v>
      </c>
      <c r="K149" s="12">
        <v>0</v>
      </c>
      <c r="L149" s="12">
        <v>0</v>
      </c>
      <c r="M149" s="12">
        <v>0</v>
      </c>
      <c r="N149" s="12">
        <v>0</v>
      </c>
      <c r="O149" s="12">
        <v>0</v>
      </c>
      <c r="P149" s="12">
        <v>0</v>
      </c>
      <c r="Q149" s="12">
        <v>0</v>
      </c>
      <c r="R149" s="12">
        <v>0</v>
      </c>
      <c r="S149" s="12"/>
      <c r="T149" s="12"/>
      <c r="U149" s="12"/>
      <c r="V149" s="12">
        <v>0</v>
      </c>
      <c r="W149" s="12"/>
      <c r="X149" s="12">
        <v>0</v>
      </c>
      <c r="Y149" s="12">
        <v>0</v>
      </c>
      <c r="Z149" s="12">
        <v>0</v>
      </c>
      <c r="AA149" s="12">
        <v>0</v>
      </c>
      <c r="AB149" s="12">
        <v>0</v>
      </c>
      <c r="AC149" s="12"/>
      <c r="AD149" s="12">
        <v>0</v>
      </c>
      <c r="AE149" s="12">
        <v>0</v>
      </c>
      <c r="AF149" s="12">
        <f t="shared" si="31"/>
        <v>0</v>
      </c>
      <c r="AG149" s="7">
        <v>146</v>
      </c>
    </row>
    <row r="150" spans="1:33" x14ac:dyDescent="0.25">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7">
        <v>147</v>
      </c>
    </row>
    <row r="151" spans="1:33" x14ac:dyDescent="0.25">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7">
        <v>148</v>
      </c>
    </row>
    <row r="152" spans="1:33" x14ac:dyDescent="0.25">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7">
        <v>149</v>
      </c>
    </row>
    <row r="153" spans="1:33" x14ac:dyDescent="0.25">
      <c r="A153" s="70">
        <v>9</v>
      </c>
      <c r="B153" s="70"/>
      <c r="C153" s="70"/>
      <c r="D153" s="70" t="s">
        <v>193</v>
      </c>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
        <v>150</v>
      </c>
    </row>
    <row r="154" spans="1:33" x14ac:dyDescent="0.25">
      <c r="A154" s="70"/>
      <c r="B154" s="70">
        <v>90</v>
      </c>
      <c r="C154" s="70"/>
      <c r="D154" s="70" t="s">
        <v>194</v>
      </c>
      <c r="E154" s="72">
        <f>E155+E156</f>
        <v>0</v>
      </c>
      <c r="F154" s="72">
        <f t="shared" ref="F154:AF154" si="32">F155+F156</f>
        <v>0</v>
      </c>
      <c r="G154" s="72">
        <f t="shared" si="32"/>
        <v>14241.85</v>
      </c>
      <c r="H154" s="72">
        <f t="shared" si="32"/>
        <v>44405.59</v>
      </c>
      <c r="I154" s="72">
        <f t="shared" si="32"/>
        <v>0</v>
      </c>
      <c r="J154" s="72">
        <f t="shared" si="32"/>
        <v>0</v>
      </c>
      <c r="K154" s="72">
        <f t="shared" si="32"/>
        <v>0</v>
      </c>
      <c r="L154" s="72">
        <f t="shared" si="32"/>
        <v>115186.85</v>
      </c>
      <c r="M154" s="72">
        <f t="shared" si="32"/>
        <v>0</v>
      </c>
      <c r="N154" s="72">
        <f t="shared" si="32"/>
        <v>0</v>
      </c>
      <c r="O154" s="72">
        <f t="shared" si="32"/>
        <v>268697.61</v>
      </c>
      <c r="P154" s="72">
        <f t="shared" si="32"/>
        <v>7498.65</v>
      </c>
      <c r="Q154" s="72">
        <f t="shared" si="32"/>
        <v>0</v>
      </c>
      <c r="R154" s="72">
        <f t="shared" si="32"/>
        <v>947.22</v>
      </c>
      <c r="S154" s="72">
        <f t="shared" si="32"/>
        <v>0</v>
      </c>
      <c r="T154" s="72">
        <f t="shared" si="32"/>
        <v>0</v>
      </c>
      <c r="U154" s="72">
        <f t="shared" si="32"/>
        <v>0</v>
      </c>
      <c r="V154" s="72">
        <f t="shared" si="32"/>
        <v>0</v>
      </c>
      <c r="W154" s="72">
        <f t="shared" si="32"/>
        <v>0</v>
      </c>
      <c r="X154" s="72">
        <f t="shared" si="32"/>
        <v>9217.26</v>
      </c>
      <c r="Y154" s="72">
        <f t="shared" si="32"/>
        <v>-4002.1000000000058</v>
      </c>
      <c r="Z154" s="72">
        <f t="shared" si="32"/>
        <v>34988.94</v>
      </c>
      <c r="AA154" s="72">
        <f t="shared" si="32"/>
        <v>0</v>
      </c>
      <c r="AB154" s="72">
        <f t="shared" si="32"/>
        <v>-15808.55</v>
      </c>
      <c r="AC154" s="72">
        <f t="shared" si="32"/>
        <v>0</v>
      </c>
      <c r="AD154" s="72">
        <f t="shared" si="32"/>
        <v>97289.64</v>
      </c>
      <c r="AE154" s="72">
        <f t="shared" si="32"/>
        <v>13279.5</v>
      </c>
      <c r="AF154" s="72">
        <f t="shared" si="32"/>
        <v>585942.46</v>
      </c>
      <c r="AG154" s="7">
        <v>151</v>
      </c>
    </row>
    <row r="155" spans="1:33" x14ac:dyDescent="0.25">
      <c r="C155" s="7">
        <v>900</v>
      </c>
      <c r="D155" s="7" t="s">
        <v>195</v>
      </c>
      <c r="E155" s="12">
        <v>0</v>
      </c>
      <c r="F155" s="12">
        <v>0</v>
      </c>
      <c r="G155" s="12">
        <v>14241.85</v>
      </c>
      <c r="H155" s="12">
        <v>44405.59</v>
      </c>
      <c r="I155" s="12"/>
      <c r="J155" s="12">
        <v>0</v>
      </c>
      <c r="K155" s="12">
        <v>0</v>
      </c>
      <c r="L155" s="12">
        <v>115186.85</v>
      </c>
      <c r="M155" s="12">
        <v>0</v>
      </c>
      <c r="N155" s="12">
        <v>0</v>
      </c>
      <c r="O155" s="12">
        <v>268697.61</v>
      </c>
      <c r="P155" s="12">
        <v>7498.65</v>
      </c>
      <c r="Q155" s="12">
        <v>0</v>
      </c>
      <c r="R155" s="12">
        <v>947.22</v>
      </c>
      <c r="S155" s="12"/>
      <c r="T155" s="12"/>
      <c r="U155" s="12"/>
      <c r="V155" s="12">
        <v>0</v>
      </c>
      <c r="W155" s="12"/>
      <c r="X155" s="12">
        <v>9217.26</v>
      </c>
      <c r="Y155" s="12">
        <v>77353.789999999994</v>
      </c>
      <c r="Z155" s="12">
        <v>34988.94</v>
      </c>
      <c r="AA155" s="12">
        <v>0</v>
      </c>
      <c r="AB155" s="12">
        <v>-15808.55</v>
      </c>
      <c r="AC155" s="12"/>
      <c r="AD155" s="12">
        <v>97289.64</v>
      </c>
      <c r="AE155" s="12">
        <v>-35326.9</v>
      </c>
      <c r="AF155" s="12">
        <f>SUM(E155:AE155)</f>
        <v>618691.94999999995</v>
      </c>
      <c r="AG155" s="7">
        <v>152</v>
      </c>
    </row>
    <row r="156" spans="1:33" x14ac:dyDescent="0.25">
      <c r="C156" s="7">
        <v>901</v>
      </c>
      <c r="D156" s="7" t="s">
        <v>196</v>
      </c>
      <c r="E156" s="12">
        <v>0</v>
      </c>
      <c r="F156" s="12">
        <v>0</v>
      </c>
      <c r="G156" s="12">
        <v>0</v>
      </c>
      <c r="H156" s="12">
        <v>0</v>
      </c>
      <c r="I156" s="12"/>
      <c r="J156" s="12">
        <v>0</v>
      </c>
      <c r="K156" s="12">
        <v>0</v>
      </c>
      <c r="L156" s="12">
        <v>0</v>
      </c>
      <c r="M156" s="12">
        <v>0</v>
      </c>
      <c r="N156" s="12">
        <v>0</v>
      </c>
      <c r="O156" s="12">
        <v>0</v>
      </c>
      <c r="P156" s="12">
        <v>0</v>
      </c>
      <c r="Q156" s="12">
        <v>0</v>
      </c>
      <c r="R156" s="12">
        <v>0</v>
      </c>
      <c r="S156" s="12"/>
      <c r="T156" s="12"/>
      <c r="U156" s="12"/>
      <c r="V156" s="12">
        <v>0</v>
      </c>
      <c r="W156" s="12"/>
      <c r="X156" s="12">
        <v>0</v>
      </c>
      <c r="Y156" s="12">
        <v>-81355.89</v>
      </c>
      <c r="Z156" s="12">
        <v>0</v>
      </c>
      <c r="AA156" s="12">
        <v>0</v>
      </c>
      <c r="AB156" s="12">
        <v>0</v>
      </c>
      <c r="AC156" s="12"/>
      <c r="AD156" s="12">
        <v>0</v>
      </c>
      <c r="AE156" s="12">
        <v>48606.400000000001</v>
      </c>
      <c r="AF156" s="12">
        <f>SUM(E156:AE156)</f>
        <v>-32749.489999999998</v>
      </c>
      <c r="AG156" s="7">
        <v>153</v>
      </c>
    </row>
    <row r="157" spans="1:33" x14ac:dyDescent="0.25">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7">
        <v>154</v>
      </c>
    </row>
    <row r="158" spans="1:33" x14ac:dyDescent="0.25">
      <c r="D158" s="6" t="s">
        <v>197</v>
      </c>
      <c r="E158" s="75">
        <f>E155+E156</f>
        <v>0</v>
      </c>
      <c r="F158" s="75">
        <f t="shared" ref="F158:AF158" si="33">F155+F156</f>
        <v>0</v>
      </c>
      <c r="G158" s="75">
        <f t="shared" si="33"/>
        <v>14241.85</v>
      </c>
      <c r="H158" s="75">
        <f t="shared" si="33"/>
        <v>44405.59</v>
      </c>
      <c r="I158" s="75">
        <f t="shared" si="33"/>
        <v>0</v>
      </c>
      <c r="J158" s="75">
        <f t="shared" si="33"/>
        <v>0</v>
      </c>
      <c r="K158" s="75">
        <f t="shared" si="33"/>
        <v>0</v>
      </c>
      <c r="L158" s="75">
        <f t="shared" si="33"/>
        <v>115186.85</v>
      </c>
      <c r="M158" s="75">
        <f t="shared" si="33"/>
        <v>0</v>
      </c>
      <c r="N158" s="75">
        <f t="shared" si="33"/>
        <v>0</v>
      </c>
      <c r="O158" s="75">
        <f t="shared" si="33"/>
        <v>268697.61</v>
      </c>
      <c r="P158" s="75">
        <f t="shared" si="33"/>
        <v>7498.65</v>
      </c>
      <c r="Q158" s="75">
        <f t="shared" si="33"/>
        <v>0</v>
      </c>
      <c r="R158" s="75">
        <f t="shared" si="33"/>
        <v>947.22</v>
      </c>
      <c r="S158" s="75">
        <f t="shared" si="33"/>
        <v>0</v>
      </c>
      <c r="T158" s="75">
        <f t="shared" si="33"/>
        <v>0</v>
      </c>
      <c r="U158" s="75">
        <f t="shared" si="33"/>
        <v>0</v>
      </c>
      <c r="V158" s="75">
        <f t="shared" si="33"/>
        <v>0</v>
      </c>
      <c r="W158" s="75">
        <f t="shared" si="33"/>
        <v>0</v>
      </c>
      <c r="X158" s="75">
        <f t="shared" si="33"/>
        <v>9217.26</v>
      </c>
      <c r="Y158" s="75">
        <f t="shared" si="33"/>
        <v>-4002.1000000000058</v>
      </c>
      <c r="Z158" s="75">
        <f t="shared" si="33"/>
        <v>34988.94</v>
      </c>
      <c r="AA158" s="75">
        <f t="shared" si="33"/>
        <v>0</v>
      </c>
      <c r="AB158" s="75">
        <f t="shared" si="33"/>
        <v>-15808.55</v>
      </c>
      <c r="AC158" s="75">
        <f t="shared" si="33"/>
        <v>0</v>
      </c>
      <c r="AD158" s="75">
        <f t="shared" si="33"/>
        <v>97289.64</v>
      </c>
      <c r="AE158" s="75">
        <f t="shared" si="33"/>
        <v>13279.5</v>
      </c>
      <c r="AF158" s="75">
        <f t="shared" si="33"/>
        <v>585942.46</v>
      </c>
      <c r="AG158" s="7">
        <v>155</v>
      </c>
    </row>
    <row r="159" spans="1:33" x14ac:dyDescent="0.25">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7">
        <v>156</v>
      </c>
    </row>
    <row r="160" spans="1:33" x14ac:dyDescent="0.25">
      <c r="C160" s="6">
        <v>29900</v>
      </c>
      <c r="D160" s="6" t="s">
        <v>69</v>
      </c>
      <c r="E160" s="12"/>
      <c r="F160" s="12"/>
      <c r="G160" s="12"/>
      <c r="H160" s="12"/>
      <c r="I160" s="12"/>
      <c r="J160" s="12"/>
      <c r="K160" s="12"/>
      <c r="L160" s="62"/>
      <c r="M160" s="12"/>
      <c r="N160" s="12"/>
      <c r="O160" s="12"/>
      <c r="P160" s="12"/>
      <c r="Q160" s="12"/>
      <c r="R160" s="12"/>
      <c r="S160" s="12"/>
      <c r="T160" s="12"/>
      <c r="U160" s="12"/>
      <c r="V160" s="12"/>
      <c r="W160" s="12"/>
      <c r="X160" s="12"/>
      <c r="Y160" s="12"/>
      <c r="Z160" s="12"/>
      <c r="AA160" s="12"/>
      <c r="AB160" s="12"/>
      <c r="AC160" s="12"/>
      <c r="AD160" s="12"/>
      <c r="AE160" s="12"/>
      <c r="AF160" s="12">
        <f>SUM(E160:AE160)</f>
        <v>0</v>
      </c>
      <c r="AG160" s="7">
        <v>157</v>
      </c>
    </row>
    <row r="161" spans="4:33" x14ac:dyDescent="0.25">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7">
        <v>158</v>
      </c>
    </row>
    <row r="162" spans="4:33" x14ac:dyDescent="0.25">
      <c r="D162" s="74"/>
      <c r="E162" s="75">
        <f t="shared" ref="E162:AF162" si="34">E76-E5</f>
        <v>0</v>
      </c>
      <c r="F162" s="75">
        <f t="shared" si="34"/>
        <v>0</v>
      </c>
      <c r="G162" s="75">
        <f t="shared" si="34"/>
        <v>14241.849999999999</v>
      </c>
      <c r="H162" s="75">
        <f t="shared" si="34"/>
        <v>44405.58999999892</v>
      </c>
      <c r="I162" s="75">
        <f t="shared" si="34"/>
        <v>0</v>
      </c>
      <c r="J162" s="75">
        <f t="shared" si="34"/>
        <v>0</v>
      </c>
      <c r="K162" s="75">
        <f t="shared" si="34"/>
        <v>0</v>
      </c>
      <c r="L162" s="75">
        <f t="shared" si="34"/>
        <v>115186.84999999998</v>
      </c>
      <c r="M162" s="75">
        <f t="shared" si="34"/>
        <v>0</v>
      </c>
      <c r="N162" s="75">
        <f t="shared" si="34"/>
        <v>0</v>
      </c>
      <c r="O162" s="75">
        <f t="shared" si="34"/>
        <v>268697.60999999987</v>
      </c>
      <c r="P162" s="75">
        <f t="shared" si="34"/>
        <v>7498.65</v>
      </c>
      <c r="Q162" s="75">
        <f t="shared" si="34"/>
        <v>0</v>
      </c>
      <c r="R162" s="75">
        <f t="shared" si="34"/>
        <v>947.22000000000116</v>
      </c>
      <c r="S162" s="75">
        <f t="shared" si="34"/>
        <v>0</v>
      </c>
      <c r="T162" s="75">
        <f t="shared" si="34"/>
        <v>0</v>
      </c>
      <c r="U162" s="75">
        <f t="shared" si="34"/>
        <v>0</v>
      </c>
      <c r="V162" s="75">
        <f t="shared" si="34"/>
        <v>0</v>
      </c>
      <c r="W162" s="75">
        <f t="shared" si="34"/>
        <v>0</v>
      </c>
      <c r="X162" s="75">
        <f t="shared" si="34"/>
        <v>9217.2600000001257</v>
      </c>
      <c r="Y162" s="75">
        <f t="shared" si="34"/>
        <v>-4002.1000000014901</v>
      </c>
      <c r="Z162" s="75">
        <f t="shared" si="34"/>
        <v>34988.939999999944</v>
      </c>
      <c r="AA162" s="75">
        <f t="shared" si="34"/>
        <v>0</v>
      </c>
      <c r="AB162" s="75">
        <f t="shared" si="34"/>
        <v>-15808.549999999988</v>
      </c>
      <c r="AC162" s="75">
        <f t="shared" si="34"/>
        <v>0</v>
      </c>
      <c r="AD162" s="75">
        <f t="shared" si="34"/>
        <v>97289.640000000596</v>
      </c>
      <c r="AE162" s="75">
        <f t="shared" si="34"/>
        <v>13279.500000000029</v>
      </c>
      <c r="AF162" s="75">
        <f t="shared" si="34"/>
        <v>585942.46000000089</v>
      </c>
      <c r="AG162" s="7">
        <v>159</v>
      </c>
    </row>
    <row r="163" spans="4:33" x14ac:dyDescent="0.25">
      <c r="D163" s="74" t="s">
        <v>68</v>
      </c>
      <c r="E163" s="21">
        <f t="shared" ref="E163:N163" si="35">E158-E162</f>
        <v>0</v>
      </c>
      <c r="F163" s="21">
        <f t="shared" si="35"/>
        <v>0</v>
      </c>
      <c r="G163" s="21">
        <f t="shared" si="35"/>
        <v>0</v>
      </c>
      <c r="H163" s="21">
        <f t="shared" si="35"/>
        <v>1.076841726899147E-9</v>
      </c>
      <c r="I163" s="21">
        <f t="shared" si="35"/>
        <v>0</v>
      </c>
      <c r="J163" s="21">
        <f t="shared" si="35"/>
        <v>0</v>
      </c>
      <c r="K163" s="21">
        <f t="shared" si="35"/>
        <v>0</v>
      </c>
      <c r="L163" s="21">
        <f t="shared" si="35"/>
        <v>0</v>
      </c>
      <c r="M163" s="21">
        <f t="shared" si="35"/>
        <v>0</v>
      </c>
      <c r="N163" s="21">
        <f t="shared" si="35"/>
        <v>0</v>
      </c>
      <c r="O163" s="21">
        <f>O158-O162</f>
        <v>0</v>
      </c>
      <c r="P163" s="21">
        <f t="shared" ref="P163:AF163" si="36">P158-P162</f>
        <v>0</v>
      </c>
      <c r="Q163" s="21">
        <f t="shared" si="36"/>
        <v>0</v>
      </c>
      <c r="R163" s="21">
        <f t="shared" si="36"/>
        <v>-1.1368683772161603E-12</v>
      </c>
      <c r="S163" s="21">
        <f t="shared" si="36"/>
        <v>0</v>
      </c>
      <c r="T163" s="21">
        <f t="shared" si="36"/>
        <v>0</v>
      </c>
      <c r="U163" s="21">
        <f t="shared" si="36"/>
        <v>0</v>
      </c>
      <c r="V163" s="21">
        <f t="shared" si="36"/>
        <v>0</v>
      </c>
      <c r="W163" s="21">
        <f t="shared" si="36"/>
        <v>0</v>
      </c>
      <c r="X163" s="21">
        <f>X158-X162</f>
        <v>-1.255102688446641E-10</v>
      </c>
      <c r="Y163" s="21">
        <f>Y158-Y162</f>
        <v>1.4842953532934189E-9</v>
      </c>
      <c r="Z163" s="21">
        <f t="shared" si="36"/>
        <v>5.8207660913467407E-11</v>
      </c>
      <c r="AA163" s="21">
        <f t="shared" si="36"/>
        <v>0</v>
      </c>
      <c r="AB163" s="21">
        <f t="shared" si="36"/>
        <v>0</v>
      </c>
      <c r="AC163" s="21">
        <f t="shared" si="36"/>
        <v>0</v>
      </c>
      <c r="AD163" s="21">
        <f t="shared" si="36"/>
        <v>-5.9662852436304092E-10</v>
      </c>
      <c r="AE163" s="21">
        <f t="shared" si="36"/>
        <v>-2.9103830456733704E-11</v>
      </c>
      <c r="AF163" s="21">
        <f t="shared" si="36"/>
        <v>-9.3132257461547852E-10</v>
      </c>
      <c r="AG163" s="7">
        <v>160</v>
      </c>
    </row>
    <row r="164" spans="4:33" x14ac:dyDescent="0.25">
      <c r="M164" s="12"/>
      <c r="AG164" s="7">
        <v>161</v>
      </c>
    </row>
    <row r="165" spans="4:33" x14ac:dyDescent="0.25">
      <c r="D165" s="74" t="s">
        <v>236</v>
      </c>
      <c r="E165" s="16">
        <f>E65-E141</f>
        <v>0</v>
      </c>
      <c r="F165" s="16">
        <f t="shared" ref="F165:AF165" si="37">F65-F141</f>
        <v>0</v>
      </c>
      <c r="G165" s="16">
        <f t="shared" si="37"/>
        <v>0</v>
      </c>
      <c r="H165" s="16">
        <f t="shared" si="37"/>
        <v>0</v>
      </c>
      <c r="I165" s="78">
        <f t="shared" si="37"/>
        <v>0</v>
      </c>
      <c r="J165" s="16">
        <f t="shared" si="37"/>
        <v>0</v>
      </c>
      <c r="K165" s="78">
        <f t="shared" si="37"/>
        <v>0</v>
      </c>
      <c r="L165" s="16">
        <f t="shared" si="37"/>
        <v>0</v>
      </c>
      <c r="M165" s="16">
        <f t="shared" si="37"/>
        <v>0</v>
      </c>
      <c r="N165" s="16">
        <f t="shared" si="37"/>
        <v>0</v>
      </c>
      <c r="O165" s="16">
        <f t="shared" si="37"/>
        <v>0</v>
      </c>
      <c r="P165" s="78">
        <f t="shared" si="37"/>
        <v>0</v>
      </c>
      <c r="Q165" s="16">
        <f t="shared" si="37"/>
        <v>0</v>
      </c>
      <c r="R165" s="16">
        <f t="shared" si="37"/>
        <v>0</v>
      </c>
      <c r="S165" s="16">
        <f t="shared" si="37"/>
        <v>0</v>
      </c>
      <c r="T165" s="16">
        <f t="shared" si="37"/>
        <v>0</v>
      </c>
      <c r="U165" s="16">
        <f t="shared" si="37"/>
        <v>0</v>
      </c>
      <c r="V165" s="16">
        <f t="shared" si="37"/>
        <v>0</v>
      </c>
      <c r="W165" s="16">
        <f t="shared" si="37"/>
        <v>0</v>
      </c>
      <c r="X165" s="16">
        <f t="shared" si="37"/>
        <v>0</v>
      </c>
      <c r="Y165" s="16">
        <f t="shared" si="37"/>
        <v>0</v>
      </c>
      <c r="Z165" s="16">
        <f t="shared" si="37"/>
        <v>0</v>
      </c>
      <c r="AA165" s="16">
        <f t="shared" si="37"/>
        <v>0</v>
      </c>
      <c r="AB165" s="16">
        <f t="shared" si="37"/>
        <v>0</v>
      </c>
      <c r="AC165" s="16">
        <f t="shared" si="37"/>
        <v>0</v>
      </c>
      <c r="AD165" s="16">
        <f t="shared" si="37"/>
        <v>0</v>
      </c>
      <c r="AE165" s="16">
        <f t="shared" si="37"/>
        <v>0</v>
      </c>
      <c r="AF165" s="16">
        <f t="shared" si="37"/>
        <v>0</v>
      </c>
      <c r="AG165" s="7">
        <v>162</v>
      </c>
    </row>
    <row r="166" spans="4:33" x14ac:dyDescent="0.25">
      <c r="AG166" s="7">
        <v>163</v>
      </c>
    </row>
    <row r="167" spans="4:33" x14ac:dyDescent="0.25">
      <c r="D167" s="7" t="s">
        <v>585</v>
      </c>
      <c r="E167" s="12">
        <f>E6+E16+E28+E40+E44+E54</f>
        <v>723261.36</v>
      </c>
      <c r="F167" s="12">
        <f t="shared" ref="F167:AF167" si="38">F6+F16+F28+F40+F44+F54</f>
        <v>5823070.4500000002</v>
      </c>
      <c r="G167" s="12">
        <f t="shared" si="38"/>
        <v>50298.15</v>
      </c>
      <c r="H167" s="12">
        <f t="shared" si="38"/>
        <v>5971514.0700000003</v>
      </c>
      <c r="I167" s="12">
        <f t="shared" si="38"/>
        <v>0</v>
      </c>
      <c r="J167" s="12">
        <f t="shared" si="38"/>
        <v>1091901</v>
      </c>
      <c r="K167" s="12">
        <f t="shared" si="38"/>
        <v>2182199.61</v>
      </c>
      <c r="L167" s="12">
        <f t="shared" si="38"/>
        <v>523752.24</v>
      </c>
      <c r="M167" s="12">
        <f t="shared" si="38"/>
        <v>330011.34000000003</v>
      </c>
      <c r="N167" s="12">
        <f t="shared" si="38"/>
        <v>270834.63</v>
      </c>
      <c r="O167" s="12">
        <f t="shared" si="38"/>
        <v>2340320.69</v>
      </c>
      <c r="P167" s="12">
        <f t="shared" si="38"/>
        <v>13120.85</v>
      </c>
      <c r="Q167" s="12">
        <f t="shared" si="38"/>
        <v>7604.66</v>
      </c>
      <c r="R167" s="12">
        <f t="shared" si="38"/>
        <v>52007.53</v>
      </c>
      <c r="S167" s="12">
        <f t="shared" si="38"/>
        <v>0</v>
      </c>
      <c r="T167" s="12">
        <f t="shared" si="38"/>
        <v>0</v>
      </c>
      <c r="U167" s="12">
        <f t="shared" si="38"/>
        <v>0</v>
      </c>
      <c r="V167" s="12">
        <f t="shared" si="38"/>
        <v>449917.73000000004</v>
      </c>
      <c r="W167" s="12">
        <f t="shared" si="38"/>
        <v>0</v>
      </c>
      <c r="X167" s="12">
        <f t="shared" si="38"/>
        <v>540145.47</v>
      </c>
      <c r="Y167" s="12">
        <f t="shared" si="38"/>
        <v>5289322.830000001</v>
      </c>
      <c r="Z167" s="12">
        <f t="shared" si="38"/>
        <v>321514.59000000003</v>
      </c>
      <c r="AA167" s="12">
        <f t="shared" si="38"/>
        <v>1667241.07</v>
      </c>
      <c r="AB167" s="12">
        <f t="shared" si="38"/>
        <v>224938.55</v>
      </c>
      <c r="AC167" s="12">
        <f t="shared" si="38"/>
        <v>0</v>
      </c>
      <c r="AD167" s="12">
        <f t="shared" si="38"/>
        <v>3212907.0399999996</v>
      </c>
      <c r="AE167" s="12">
        <f t="shared" si="38"/>
        <v>223465.34999999998</v>
      </c>
      <c r="AF167" s="12">
        <f t="shared" si="38"/>
        <v>31309349.210000001</v>
      </c>
      <c r="AG167" s="7">
        <v>164</v>
      </c>
    </row>
    <row r="168" spans="4:33" x14ac:dyDescent="0.25">
      <c r="D168" s="7" t="s">
        <v>586</v>
      </c>
      <c r="E168" s="12">
        <f>E77+E83+E89+E100+E118+E122+E129</f>
        <v>734658.75</v>
      </c>
      <c r="F168" s="12">
        <f t="shared" ref="F168:AF168" si="39">F77+F83+F89+F100+F118+F122+F129</f>
        <v>3816141.07</v>
      </c>
      <c r="G168" s="12">
        <f t="shared" si="39"/>
        <v>64540</v>
      </c>
      <c r="H168" s="12">
        <f t="shared" si="39"/>
        <v>8027381.1099999994</v>
      </c>
      <c r="I168" s="12">
        <f t="shared" si="39"/>
        <v>0</v>
      </c>
      <c r="J168" s="12">
        <f t="shared" si="39"/>
        <v>1080811.76</v>
      </c>
      <c r="K168" s="12">
        <f t="shared" si="39"/>
        <v>2270300.11</v>
      </c>
      <c r="L168" s="12">
        <f t="shared" si="39"/>
        <v>691688.4</v>
      </c>
      <c r="M168" s="12">
        <f t="shared" si="39"/>
        <v>330256.54000000004</v>
      </c>
      <c r="N168" s="12">
        <f t="shared" si="39"/>
        <v>270834.63</v>
      </c>
      <c r="O168" s="12">
        <f t="shared" si="39"/>
        <v>2607412.5999999996</v>
      </c>
      <c r="P168" s="12">
        <f t="shared" si="39"/>
        <v>20619.5</v>
      </c>
      <c r="Q168" s="12">
        <f t="shared" si="39"/>
        <v>7715.36</v>
      </c>
      <c r="R168" s="12">
        <f t="shared" si="39"/>
        <v>46144</v>
      </c>
      <c r="S168" s="12">
        <f t="shared" si="39"/>
        <v>0</v>
      </c>
      <c r="T168" s="12">
        <f t="shared" si="39"/>
        <v>0</v>
      </c>
      <c r="U168" s="12">
        <f t="shared" si="39"/>
        <v>0</v>
      </c>
      <c r="V168" s="12">
        <f t="shared" si="39"/>
        <v>461853.78</v>
      </c>
      <c r="W168" s="12">
        <f t="shared" si="39"/>
        <v>0</v>
      </c>
      <c r="X168" s="12">
        <f t="shared" si="39"/>
        <v>828583.85000000009</v>
      </c>
      <c r="Y168" s="12">
        <f t="shared" si="39"/>
        <v>4834141.08</v>
      </c>
      <c r="Z168" s="12">
        <f t="shared" si="39"/>
        <v>371915.14999999997</v>
      </c>
      <c r="AA168" s="12">
        <f t="shared" si="39"/>
        <v>1691459.21</v>
      </c>
      <c r="AB168" s="12">
        <f t="shared" si="39"/>
        <v>169130</v>
      </c>
      <c r="AC168" s="12">
        <f t="shared" si="39"/>
        <v>0</v>
      </c>
      <c r="AD168" s="12">
        <f t="shared" si="39"/>
        <v>3366108.12</v>
      </c>
      <c r="AE168" s="12">
        <f t="shared" si="39"/>
        <v>236744.85</v>
      </c>
      <c r="AF168" s="12">
        <f t="shared" si="39"/>
        <v>31928439.870000001</v>
      </c>
      <c r="AG168" s="7">
        <v>165</v>
      </c>
    </row>
    <row r="170" spans="4:33" x14ac:dyDescent="0.25">
      <c r="L170" s="12"/>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FF0000"/>
  </sheetPr>
  <dimension ref="A2:E161"/>
  <sheetViews>
    <sheetView workbookViewId="0">
      <selection activeCell="D5" sqref="D5"/>
    </sheetView>
  </sheetViews>
  <sheetFormatPr baseColWidth="10" defaultColWidth="11.44140625" defaultRowHeight="13.8" x14ac:dyDescent="0.25"/>
  <cols>
    <col min="1" max="2" width="5.6640625" style="7" customWidth="1"/>
    <col min="3" max="3" width="9" style="7" customWidth="1"/>
    <col min="4" max="4" width="65.88671875" style="7" customWidth="1"/>
    <col min="5" max="5" width="23" style="7" customWidth="1"/>
    <col min="6" max="16384" width="11.44140625" style="7"/>
  </cols>
  <sheetData>
    <row r="2" spans="1:5" ht="21" x14ac:dyDescent="0.4">
      <c r="A2" s="79" t="s">
        <v>827</v>
      </c>
      <c r="B2" s="6"/>
      <c r="C2" s="6"/>
      <c r="D2" s="6"/>
    </row>
    <row r="4" spans="1:5" ht="14.4" thickBot="1" x14ac:dyDescent="0.3"/>
    <row r="5" spans="1:5" ht="14.4" thickBot="1" x14ac:dyDescent="0.3">
      <c r="A5" s="7" t="s">
        <v>733</v>
      </c>
      <c r="D5" s="83" t="s">
        <v>807</v>
      </c>
    </row>
    <row r="7" spans="1:5" x14ac:dyDescent="0.25">
      <c r="E7" s="29" t="s">
        <v>201</v>
      </c>
    </row>
    <row r="8" spans="1:5" ht="21" x14ac:dyDescent="0.4">
      <c r="A8" s="10">
        <v>3</v>
      </c>
      <c r="B8" s="10"/>
      <c r="C8" s="10"/>
      <c r="D8" s="10" t="s">
        <v>60</v>
      </c>
      <c r="E8" s="84">
        <f>HLOOKUP($D$5,'Syndicats comptes 2021'!$E$4:$AF$168,2,0)</f>
        <v>1691547.51</v>
      </c>
    </row>
    <row r="9" spans="1:5" x14ac:dyDescent="0.25">
      <c r="A9" s="66"/>
      <c r="B9" s="66">
        <v>30</v>
      </c>
      <c r="C9" s="66"/>
      <c r="D9" s="66" t="s">
        <v>61</v>
      </c>
      <c r="E9" s="67">
        <f>HLOOKUP($D$5,'Syndicats comptes 2021'!$E$4:$AF$168,3,0)</f>
        <v>381344.05</v>
      </c>
    </row>
    <row r="10" spans="1:5" x14ac:dyDescent="0.25">
      <c r="C10" s="7">
        <v>300</v>
      </c>
      <c r="D10" s="7" t="s">
        <v>80</v>
      </c>
      <c r="E10" s="12">
        <f>HLOOKUP($D$5,'Syndicats comptes 2021'!$E$4:$AF$168,4,0)</f>
        <v>21724.1</v>
      </c>
    </row>
    <row r="11" spans="1:5" x14ac:dyDescent="0.25">
      <c r="C11" s="7">
        <v>301</v>
      </c>
      <c r="D11" s="7" t="s">
        <v>81</v>
      </c>
      <c r="E11" s="12">
        <f>HLOOKUP($D$5,'Syndicats comptes 2021'!$E$4:$AF$168,5,0)</f>
        <v>298856.65000000002</v>
      </c>
    </row>
    <row r="12" spans="1:5" x14ac:dyDescent="0.25">
      <c r="C12" s="7">
        <v>302</v>
      </c>
      <c r="D12" s="7" t="s">
        <v>82</v>
      </c>
      <c r="E12" s="12">
        <f>HLOOKUP($D$5,'Syndicats comptes 2021'!$E$4:$AF$168,6,0)</f>
        <v>0</v>
      </c>
    </row>
    <row r="13" spans="1:5" x14ac:dyDescent="0.25">
      <c r="C13" s="7">
        <v>303</v>
      </c>
      <c r="D13" s="7" t="s">
        <v>83</v>
      </c>
      <c r="E13" s="12">
        <f>HLOOKUP($D$5,'Syndicats comptes 2021'!$E$4:$AF$168,7,0)</f>
        <v>0</v>
      </c>
    </row>
    <row r="14" spans="1:5" x14ac:dyDescent="0.25">
      <c r="C14" s="7">
        <v>304</v>
      </c>
      <c r="D14" s="7" t="s">
        <v>578</v>
      </c>
      <c r="E14" s="12">
        <f>HLOOKUP($D$5,'Syndicats comptes 2021'!$E$4:$AF$168,8,0)</f>
        <v>0</v>
      </c>
    </row>
    <row r="15" spans="1:5" x14ac:dyDescent="0.25">
      <c r="C15" s="7">
        <v>305</v>
      </c>
      <c r="D15" s="7" t="s">
        <v>84</v>
      </c>
      <c r="E15" s="12">
        <f>HLOOKUP($D$5,'Syndicats comptes 2021'!$E$4:$AF$168,9,0)</f>
        <v>60583.3</v>
      </c>
    </row>
    <row r="16" spans="1:5" x14ac:dyDescent="0.25">
      <c r="C16" s="7">
        <v>306</v>
      </c>
      <c r="D16" s="7" t="s">
        <v>85</v>
      </c>
      <c r="E16" s="12">
        <f>HLOOKUP($D$5,'Syndicats comptes 2021'!$E$4:$AF$168,10,0)</f>
        <v>0</v>
      </c>
    </row>
    <row r="17" spans="2:5" x14ac:dyDescent="0.25">
      <c r="C17" s="7">
        <v>309</v>
      </c>
      <c r="D17" s="7" t="s">
        <v>86</v>
      </c>
      <c r="E17" s="12">
        <f>HLOOKUP($D$5,'Syndicats comptes 2021'!$E$4:$AF$168,11,0)</f>
        <v>180</v>
      </c>
    </row>
    <row r="18" spans="2:5" x14ac:dyDescent="0.25">
      <c r="E18" s="12"/>
    </row>
    <row r="19" spans="2:5" x14ac:dyDescent="0.25">
      <c r="B19" s="66">
        <v>31</v>
      </c>
      <c r="C19" s="66"/>
      <c r="D19" s="66" t="s">
        <v>87</v>
      </c>
      <c r="E19" s="67">
        <f>HLOOKUP($D$5,'Syndicats comptes 2021'!$E$4:$AF$168,13,0)</f>
        <v>550749.17000000004</v>
      </c>
    </row>
    <row r="20" spans="2:5" x14ac:dyDescent="0.25">
      <c r="C20" s="7">
        <v>310</v>
      </c>
      <c r="D20" s="7" t="s">
        <v>88</v>
      </c>
      <c r="E20" s="12">
        <f>HLOOKUP($D$5,'Syndicats comptes 2021'!$E$4:$AF$168,14,0)</f>
        <v>150272.75</v>
      </c>
    </row>
    <row r="21" spans="2:5" x14ac:dyDescent="0.25">
      <c r="C21" s="7">
        <v>311</v>
      </c>
      <c r="D21" s="7" t="s">
        <v>449</v>
      </c>
      <c r="E21" s="12">
        <f>HLOOKUP($D$5,'Syndicats comptes 2021'!$E$4:$AF$168,15,0)</f>
        <v>21026.52</v>
      </c>
    </row>
    <row r="22" spans="2:5" x14ac:dyDescent="0.25">
      <c r="C22" s="7">
        <v>312</v>
      </c>
      <c r="D22" s="7" t="s">
        <v>90</v>
      </c>
      <c r="E22" s="12">
        <f>HLOOKUP($D$5,'Syndicats comptes 2021'!$E$4:$AF$168,16,0)</f>
        <v>108837.67</v>
      </c>
    </row>
    <row r="23" spans="2:5" x14ac:dyDescent="0.25">
      <c r="C23" s="7">
        <v>313</v>
      </c>
      <c r="D23" s="7" t="s">
        <v>91</v>
      </c>
      <c r="E23" s="12">
        <f>HLOOKUP($D$5,'Syndicats comptes 2021'!$E$4:$AF$168,17,0)</f>
        <v>139002.75</v>
      </c>
    </row>
    <row r="24" spans="2:5" x14ac:dyDescent="0.25">
      <c r="C24" s="7">
        <v>314</v>
      </c>
      <c r="D24" s="7" t="s">
        <v>841</v>
      </c>
      <c r="E24" s="12">
        <f>HLOOKUP($D$5,'Syndicats comptes 2021'!$E$4:$AF$168,18,0)</f>
        <v>77154.23</v>
      </c>
    </row>
    <row r="25" spans="2:5" x14ac:dyDescent="0.25">
      <c r="C25" s="7">
        <v>315</v>
      </c>
      <c r="D25" s="7" t="s">
        <v>92</v>
      </c>
      <c r="E25" s="12">
        <f>HLOOKUP($D$5,'Syndicats comptes 2021'!$E$4:$AF$168,19,0)</f>
        <v>51786.83</v>
      </c>
    </row>
    <row r="26" spans="2:5" x14ac:dyDescent="0.25">
      <c r="C26" s="7">
        <v>316</v>
      </c>
      <c r="D26" s="7" t="s">
        <v>93</v>
      </c>
      <c r="E26" s="12">
        <f>HLOOKUP($D$5,'Syndicats comptes 2021'!$E$4:$AF$168,20,0)</f>
        <v>0</v>
      </c>
    </row>
    <row r="27" spans="2:5" x14ac:dyDescent="0.25">
      <c r="C27" s="7">
        <v>317</v>
      </c>
      <c r="D27" s="7" t="s">
        <v>94</v>
      </c>
      <c r="E27" s="12">
        <f>HLOOKUP($D$5,'Syndicats comptes 2021'!$E$4:$AF$168,21,0)</f>
        <v>2619.79</v>
      </c>
    </row>
    <row r="28" spans="2:5" x14ac:dyDescent="0.25">
      <c r="C28" s="7">
        <v>318</v>
      </c>
      <c r="D28" s="7" t="s">
        <v>95</v>
      </c>
      <c r="E28" s="12">
        <f>HLOOKUP($D$5,'Syndicats comptes 2021'!$E$4:$AF$168,22,0)</f>
        <v>-216.9</v>
      </c>
    </row>
    <row r="29" spans="2:5" x14ac:dyDescent="0.25">
      <c r="C29" s="7">
        <v>319</v>
      </c>
      <c r="D29" s="7" t="s">
        <v>96</v>
      </c>
      <c r="E29" s="12">
        <f>HLOOKUP($D$5,'Syndicats comptes 2021'!$E$4:$AF$168,23,0)</f>
        <v>265.52999999999997</v>
      </c>
    </row>
    <row r="30" spans="2:5" x14ac:dyDescent="0.25">
      <c r="E30" s="12"/>
    </row>
    <row r="31" spans="2:5" x14ac:dyDescent="0.25">
      <c r="B31" s="66">
        <v>33</v>
      </c>
      <c r="C31" s="66"/>
      <c r="D31" s="66" t="s">
        <v>97</v>
      </c>
      <c r="E31" s="67">
        <f>HLOOKUP($D$5,'Syndicats comptes 2021'!$E$4:$AF$168,25,0)</f>
        <v>153387.85</v>
      </c>
    </row>
    <row r="32" spans="2:5" x14ac:dyDescent="0.25">
      <c r="C32" s="7">
        <v>330</v>
      </c>
      <c r="D32" s="7" t="s">
        <v>99</v>
      </c>
      <c r="E32" s="12">
        <f>HLOOKUP($D$5,'Syndicats comptes 2021'!$E$4:$AF$168,26,0)</f>
        <v>153387.85</v>
      </c>
    </row>
    <row r="33" spans="2:5" x14ac:dyDescent="0.25">
      <c r="C33" s="7">
        <v>332</v>
      </c>
      <c r="D33" s="7" t="s">
        <v>98</v>
      </c>
      <c r="E33" s="12">
        <f>HLOOKUP($D$5,'Syndicats comptes 2021'!$E$4:$AF$168,27,0)</f>
        <v>0</v>
      </c>
    </row>
    <row r="34" spans="2:5" x14ac:dyDescent="0.25">
      <c r="E34" s="12"/>
    </row>
    <row r="35" spans="2:5" x14ac:dyDescent="0.25">
      <c r="B35" s="66">
        <v>34</v>
      </c>
      <c r="C35" s="66"/>
      <c r="D35" s="66" t="s">
        <v>100</v>
      </c>
      <c r="E35" s="67">
        <f>HLOOKUP($D$5,'Syndicats comptes 2021'!$E$4:$AF$168,29,0)</f>
        <v>24306.44</v>
      </c>
    </row>
    <row r="36" spans="2:5" x14ac:dyDescent="0.25">
      <c r="C36" s="7">
        <v>340</v>
      </c>
      <c r="D36" s="7" t="s">
        <v>101</v>
      </c>
      <c r="E36" s="12">
        <f>HLOOKUP($D$5,'Syndicats comptes 2021'!$E$4:$AF$168,30,0)</f>
        <v>24306.44</v>
      </c>
    </row>
    <row r="37" spans="2:5" x14ac:dyDescent="0.25">
      <c r="C37" s="7">
        <v>341</v>
      </c>
      <c r="D37" s="7" t="s">
        <v>102</v>
      </c>
      <c r="E37" s="12">
        <f>HLOOKUP($D$5,'Syndicats comptes 2021'!$E$4:$AF$168,31,0)</f>
        <v>0</v>
      </c>
    </row>
    <row r="38" spans="2:5" x14ac:dyDescent="0.25">
      <c r="C38" s="7">
        <v>342</v>
      </c>
      <c r="D38" s="7" t="s">
        <v>103</v>
      </c>
      <c r="E38" s="12">
        <f>HLOOKUP($D$5,'Syndicats comptes 2021'!$E$4:$AF$168,32,0)</f>
        <v>0</v>
      </c>
    </row>
    <row r="39" spans="2:5" x14ac:dyDescent="0.25">
      <c r="C39" s="7">
        <v>343</v>
      </c>
      <c r="D39" s="7" t="s">
        <v>104</v>
      </c>
      <c r="E39" s="12">
        <f>HLOOKUP($D$5,'Syndicats comptes 2021'!$E$4:$AF$168,33,0)</f>
        <v>0</v>
      </c>
    </row>
    <row r="40" spans="2:5" x14ac:dyDescent="0.25">
      <c r="C40" s="7">
        <v>344</v>
      </c>
      <c r="D40" s="7" t="s">
        <v>105</v>
      </c>
      <c r="E40" s="12">
        <f>HLOOKUP($D$5,'Syndicats comptes 2021'!$E$4:$AF$168,34,0)</f>
        <v>0</v>
      </c>
    </row>
    <row r="41" spans="2:5" x14ac:dyDescent="0.25">
      <c r="C41" s="7">
        <v>349</v>
      </c>
      <c r="D41" s="7" t="s">
        <v>106</v>
      </c>
      <c r="E41" s="12">
        <f>HLOOKUP($D$5,'Syndicats comptes 2021'!$E$4:$AF$168,35,0)</f>
        <v>0</v>
      </c>
    </row>
    <row r="42" spans="2:5" x14ac:dyDescent="0.25">
      <c r="E42" s="12"/>
    </row>
    <row r="43" spans="2:5" x14ac:dyDescent="0.25">
      <c r="B43" s="66">
        <v>35</v>
      </c>
      <c r="C43" s="66"/>
      <c r="D43" s="66" t="s">
        <v>108</v>
      </c>
      <c r="E43" s="67">
        <f>HLOOKUP($D$5,'Syndicats comptes 2021'!$E$4:$AF$168,37,0)</f>
        <v>581760</v>
      </c>
    </row>
    <row r="44" spans="2:5" x14ac:dyDescent="0.25">
      <c r="C44" s="7">
        <v>350</v>
      </c>
      <c r="D44" s="7" t="s">
        <v>108</v>
      </c>
      <c r="E44" s="12">
        <f>HLOOKUP($D$5,'Syndicats comptes 2021'!$E$4:$AF$168,38,0)</f>
        <v>0</v>
      </c>
    </row>
    <row r="45" spans="2:5" x14ac:dyDescent="0.25">
      <c r="C45" s="7">
        <v>351</v>
      </c>
      <c r="D45" s="7" t="s">
        <v>107</v>
      </c>
      <c r="E45" s="12">
        <f>HLOOKUP($D$5,'Syndicats comptes 2021'!$E$4:$AF$168,39,0)</f>
        <v>581760</v>
      </c>
    </row>
    <row r="46" spans="2:5" x14ac:dyDescent="0.25">
      <c r="E46" s="12"/>
    </row>
    <row r="47" spans="2:5" x14ac:dyDescent="0.25">
      <c r="B47" s="66">
        <v>36</v>
      </c>
      <c r="C47" s="66"/>
      <c r="D47" s="66" t="s">
        <v>109</v>
      </c>
      <c r="E47" s="67">
        <f>HLOOKUP($D$5,'Syndicats comptes 2021'!$E$4:$AF$168,41,0)</f>
        <v>0</v>
      </c>
    </row>
    <row r="48" spans="2:5" x14ac:dyDescent="0.25">
      <c r="C48" s="7">
        <v>360</v>
      </c>
      <c r="D48" s="7" t="s">
        <v>110</v>
      </c>
      <c r="E48" s="12">
        <f>HLOOKUP($D$5,'Syndicats comptes 2021'!$E$4:$AF$168,42,0)</f>
        <v>0</v>
      </c>
    </row>
    <row r="49" spans="2:5" x14ac:dyDescent="0.25">
      <c r="C49" s="7">
        <v>361</v>
      </c>
      <c r="D49" s="7" t="s">
        <v>111</v>
      </c>
      <c r="E49" s="12">
        <f>HLOOKUP($D$5,'Syndicats comptes 2021'!$E$4:$AF$168,43,0)</f>
        <v>0</v>
      </c>
    </row>
    <row r="50" spans="2:5" x14ac:dyDescent="0.25">
      <c r="C50" s="7">
        <v>362</v>
      </c>
      <c r="D50" s="7" t="s">
        <v>112</v>
      </c>
      <c r="E50" s="12">
        <f>HLOOKUP($D$5,'Syndicats comptes 2021'!$E$4:$AF$168,44,0)</f>
        <v>0</v>
      </c>
    </row>
    <row r="51" spans="2:5" x14ac:dyDescent="0.25">
      <c r="C51" s="7">
        <v>363</v>
      </c>
      <c r="D51" s="7" t="s">
        <v>113</v>
      </c>
      <c r="E51" s="12">
        <f>HLOOKUP($D$5,'Syndicats comptes 2021'!$E$4:$AF$168,45,0)</f>
        <v>0</v>
      </c>
    </row>
    <row r="52" spans="2:5" x14ac:dyDescent="0.25">
      <c r="C52" s="7">
        <v>364</v>
      </c>
      <c r="D52" s="7" t="s">
        <v>114</v>
      </c>
      <c r="E52" s="12">
        <f>HLOOKUP($D$5,'Syndicats comptes 2021'!$E$4:$AF$168,46,0)</f>
        <v>0</v>
      </c>
    </row>
    <row r="53" spans="2:5" x14ac:dyDescent="0.25">
      <c r="C53" s="7">
        <v>365</v>
      </c>
      <c r="D53" s="7" t="s">
        <v>115</v>
      </c>
      <c r="E53" s="12">
        <f>HLOOKUP($D$5,'Syndicats comptes 2021'!$E$4:$AF$168,47,0)</f>
        <v>0</v>
      </c>
    </row>
    <row r="54" spans="2:5" x14ac:dyDescent="0.25">
      <c r="C54" s="7">
        <v>366</v>
      </c>
      <c r="D54" s="7" t="s">
        <v>116</v>
      </c>
      <c r="E54" s="12">
        <f>HLOOKUP($D$5,'Syndicats comptes 2021'!$E$4:$AF$168,48,0)</f>
        <v>0</v>
      </c>
    </row>
    <row r="55" spans="2:5" x14ac:dyDescent="0.25">
      <c r="C55" s="7">
        <v>369</v>
      </c>
      <c r="D55" s="7" t="s">
        <v>117</v>
      </c>
      <c r="E55" s="12">
        <f>HLOOKUP($D$5,'Syndicats comptes 2021'!$E$4:$AF$168,49,0)</f>
        <v>0</v>
      </c>
    </row>
    <row r="56" spans="2:5" x14ac:dyDescent="0.25">
      <c r="E56" s="12"/>
    </row>
    <row r="57" spans="2:5" x14ac:dyDescent="0.25">
      <c r="B57" s="66">
        <v>37</v>
      </c>
      <c r="C57" s="66"/>
      <c r="D57" s="66" t="s">
        <v>118</v>
      </c>
      <c r="E57" s="67">
        <f>HLOOKUP($D$5,'Syndicats comptes 2021'!$E$4:$AF$168,51,0)</f>
        <v>0</v>
      </c>
    </row>
    <row r="58" spans="2:5" x14ac:dyDescent="0.25">
      <c r="C58" s="7">
        <v>370</v>
      </c>
      <c r="D58" s="7" t="s">
        <v>119</v>
      </c>
      <c r="E58" s="12">
        <f>HLOOKUP($D$5,'Syndicats comptes 2021'!$E$4:$AF$168,52,0)</f>
        <v>0</v>
      </c>
    </row>
    <row r="59" spans="2:5" x14ac:dyDescent="0.25">
      <c r="E59" s="12"/>
    </row>
    <row r="60" spans="2:5" x14ac:dyDescent="0.25">
      <c r="B60" s="66">
        <v>38</v>
      </c>
      <c r="C60" s="66"/>
      <c r="D60" s="66" t="s">
        <v>120</v>
      </c>
      <c r="E60" s="67">
        <f>HLOOKUP($D$5,'Syndicats comptes 2021'!$E$4:$AF$168,54,0)</f>
        <v>0</v>
      </c>
    </row>
    <row r="61" spans="2:5" x14ac:dyDescent="0.25">
      <c r="C61" s="7">
        <v>380</v>
      </c>
      <c r="D61" s="7" t="s">
        <v>121</v>
      </c>
      <c r="E61" s="12">
        <f>HLOOKUP($D$5,'Syndicats comptes 2021'!$E$4:$AF$168,55,0)</f>
        <v>0</v>
      </c>
    </row>
    <row r="62" spans="2:5" x14ac:dyDescent="0.25">
      <c r="C62" s="7">
        <v>381</v>
      </c>
      <c r="D62" s="7" t="s">
        <v>122</v>
      </c>
      <c r="E62" s="12">
        <f>HLOOKUP($D$5,'Syndicats comptes 2021'!$E$4:$AF$168,56,0)</f>
        <v>0</v>
      </c>
    </row>
    <row r="63" spans="2:5" x14ac:dyDescent="0.25">
      <c r="C63" s="7">
        <v>384</v>
      </c>
      <c r="D63" s="7" t="s">
        <v>123</v>
      </c>
      <c r="E63" s="12">
        <f>HLOOKUP($D$5,'Syndicats comptes 2021'!$E$4:$AF$168,57,0)</f>
        <v>0</v>
      </c>
    </row>
    <row r="64" spans="2:5" x14ac:dyDescent="0.25">
      <c r="C64" s="7">
        <v>385</v>
      </c>
      <c r="D64" s="7" t="s">
        <v>124</v>
      </c>
      <c r="E64" s="12">
        <f>HLOOKUP($D$5,'Syndicats comptes 2021'!$E$4:$AF$168,58,0)</f>
        <v>0</v>
      </c>
    </row>
    <row r="65" spans="1:5" x14ac:dyDescent="0.25">
      <c r="C65" s="7">
        <v>386</v>
      </c>
      <c r="D65" s="7" t="s">
        <v>125</v>
      </c>
      <c r="E65" s="12">
        <f>HLOOKUP($D$5,'Syndicats comptes 2021'!$E$4:$AF$168,59,0)</f>
        <v>0</v>
      </c>
    </row>
    <row r="66" spans="1:5" x14ac:dyDescent="0.25">
      <c r="C66" s="7">
        <v>389</v>
      </c>
      <c r="D66" s="7" t="s">
        <v>289</v>
      </c>
      <c r="E66" s="12">
        <f>HLOOKUP($D$5,'Syndicats comptes 2021'!$E$4:$AF$168,60,0)</f>
        <v>0</v>
      </c>
    </row>
    <row r="67" spans="1:5" x14ac:dyDescent="0.25">
      <c r="E67" s="12"/>
    </row>
    <row r="68" spans="1:5" x14ac:dyDescent="0.25">
      <c r="B68" s="66">
        <v>39</v>
      </c>
      <c r="C68" s="66"/>
      <c r="D68" s="66" t="s">
        <v>127</v>
      </c>
      <c r="E68" s="67">
        <f>HLOOKUP($D$5,'Syndicats comptes 2021'!$E$4:$AF$168,62,0)</f>
        <v>0</v>
      </c>
    </row>
    <row r="69" spans="1:5" x14ac:dyDescent="0.25">
      <c r="C69" s="7">
        <v>390</v>
      </c>
      <c r="D69" s="7" t="s">
        <v>128</v>
      </c>
      <c r="E69" s="12">
        <f>HLOOKUP($D$5,'Syndicats comptes 2021'!$E$4:$AF$168,63,0)</f>
        <v>0</v>
      </c>
    </row>
    <row r="70" spans="1:5" x14ac:dyDescent="0.25">
      <c r="C70" s="7">
        <v>391</v>
      </c>
      <c r="D70" s="7" t="s">
        <v>129</v>
      </c>
      <c r="E70" s="12">
        <f>HLOOKUP($D$5,'Syndicats comptes 2021'!$E$4:$AF$168,64,0)</f>
        <v>0</v>
      </c>
    </row>
    <row r="71" spans="1:5" x14ac:dyDescent="0.25">
      <c r="C71" s="7">
        <v>392</v>
      </c>
      <c r="D71" s="7" t="s">
        <v>130</v>
      </c>
      <c r="E71" s="12">
        <f>HLOOKUP($D$5,'Syndicats comptes 2021'!$E$4:$AF$168,65,0)</f>
        <v>0</v>
      </c>
    </row>
    <row r="72" spans="1:5" x14ac:dyDescent="0.25">
      <c r="C72" s="7">
        <v>393</v>
      </c>
      <c r="D72" s="7" t="s">
        <v>131</v>
      </c>
      <c r="E72" s="12">
        <f>HLOOKUP($D$5,'Syndicats comptes 2021'!$E$4:$AF$168,66,0)</f>
        <v>0</v>
      </c>
    </row>
    <row r="73" spans="1:5" x14ac:dyDescent="0.25">
      <c r="C73" s="7">
        <v>394</v>
      </c>
      <c r="D73" s="7" t="s">
        <v>132</v>
      </c>
      <c r="E73" s="12">
        <f>HLOOKUP($D$5,'Syndicats comptes 2021'!$E$4:$AF$168,67,0)</f>
        <v>0</v>
      </c>
    </row>
    <row r="74" spans="1:5" x14ac:dyDescent="0.25">
      <c r="C74" s="7">
        <v>395</v>
      </c>
      <c r="D74" s="7" t="s">
        <v>133</v>
      </c>
      <c r="E74" s="12">
        <f>HLOOKUP($D$5,'Syndicats comptes 2021'!$E$4:$AF$168,68,0)</f>
        <v>0</v>
      </c>
    </row>
    <row r="75" spans="1:5" x14ac:dyDescent="0.25">
      <c r="C75" s="7">
        <v>398</v>
      </c>
      <c r="D75" s="7" t="s">
        <v>134</v>
      </c>
      <c r="E75" s="12">
        <f>HLOOKUP($D$5,'Syndicats comptes 2021'!$E$4:$AF$168,69,0)</f>
        <v>0</v>
      </c>
    </row>
    <row r="76" spans="1:5" x14ac:dyDescent="0.25">
      <c r="C76" s="7">
        <v>399</v>
      </c>
      <c r="D76" s="7" t="s">
        <v>135</v>
      </c>
      <c r="E76" s="12">
        <f>HLOOKUP($D$5,'Syndicats comptes 2021'!$E$4:$AF$168,70,0)</f>
        <v>0</v>
      </c>
    </row>
    <row r="77" spans="1:5" x14ac:dyDescent="0.25">
      <c r="E77" s="12"/>
    </row>
    <row r="78" spans="1:5" x14ac:dyDescent="0.25">
      <c r="E78" s="12"/>
    </row>
    <row r="79" spans="1:5" ht="21" x14ac:dyDescent="0.4">
      <c r="A79" s="13">
        <v>4</v>
      </c>
      <c r="B79" s="13"/>
      <c r="C79" s="13"/>
      <c r="D79" s="13" t="s">
        <v>136</v>
      </c>
      <c r="E79" s="85">
        <f>HLOOKUP($D$5,'Syndicats comptes 2021'!$E$4:$AF$168,73,0)</f>
        <v>1691547.51</v>
      </c>
    </row>
    <row r="80" spans="1:5" x14ac:dyDescent="0.25">
      <c r="A80" s="6"/>
      <c r="B80" s="68">
        <v>40</v>
      </c>
      <c r="C80" s="68"/>
      <c r="D80" s="68" t="s">
        <v>79</v>
      </c>
      <c r="E80" s="69">
        <f>HLOOKUP($D$5,'Syndicats comptes 2021'!$E$4:$AF$168,74,0)</f>
        <v>0</v>
      </c>
    </row>
    <row r="81" spans="2:5" x14ac:dyDescent="0.25">
      <c r="C81" s="7">
        <v>400</v>
      </c>
      <c r="D81" s="7" t="s">
        <v>137</v>
      </c>
      <c r="E81" s="12">
        <f>HLOOKUP($D$5,'Syndicats comptes 2021'!$E$4:$AF$168,75,0)</f>
        <v>0</v>
      </c>
    </row>
    <row r="82" spans="2:5" x14ac:dyDescent="0.25">
      <c r="C82" s="7">
        <v>401</v>
      </c>
      <c r="D82" s="7" t="s">
        <v>138</v>
      </c>
      <c r="E82" s="12">
        <f>HLOOKUP($D$5,'Syndicats comptes 2021'!$E$4:$AF$168,76,0)</f>
        <v>0</v>
      </c>
    </row>
    <row r="83" spans="2:5" x14ac:dyDescent="0.25">
      <c r="C83" s="7">
        <v>402</v>
      </c>
      <c r="D83" s="7" t="s">
        <v>139</v>
      </c>
      <c r="E83" s="12">
        <f>HLOOKUP($D$5,'Syndicats comptes 2021'!$E$4:$AF$168,77,0)</f>
        <v>0</v>
      </c>
    </row>
    <row r="84" spans="2:5" x14ac:dyDescent="0.25">
      <c r="C84" s="7">
        <v>403</v>
      </c>
      <c r="D84" s="7" t="s">
        <v>140</v>
      </c>
      <c r="E84" s="12">
        <f>HLOOKUP($D$5,'Syndicats comptes 2021'!$E$4:$AF$168,78,0)</f>
        <v>0</v>
      </c>
    </row>
    <row r="85" spans="2:5" x14ac:dyDescent="0.25">
      <c r="E85" s="12"/>
    </row>
    <row r="86" spans="2:5" x14ac:dyDescent="0.25">
      <c r="B86" s="68">
        <v>41</v>
      </c>
      <c r="C86" s="68"/>
      <c r="D86" s="68" t="s">
        <v>141</v>
      </c>
      <c r="E86" s="69">
        <f>HLOOKUP($D$5,'Syndicats comptes 2021'!$E$4:$AF$168,80,0)</f>
        <v>0</v>
      </c>
    </row>
    <row r="87" spans="2:5" x14ac:dyDescent="0.25">
      <c r="C87" s="7">
        <v>410</v>
      </c>
      <c r="D87" s="7" t="s">
        <v>142</v>
      </c>
      <c r="E87" s="12">
        <f>HLOOKUP($D$5,'Syndicats comptes 2021'!$E$4:$AF$168,81,0)</f>
        <v>0</v>
      </c>
    </row>
    <row r="88" spans="2:5" x14ac:dyDescent="0.25">
      <c r="C88" s="7">
        <v>411</v>
      </c>
      <c r="D88" s="7" t="s">
        <v>143</v>
      </c>
      <c r="E88" s="12">
        <f>HLOOKUP($D$5,'Syndicats comptes 2021'!$E$4:$AF$168,82,0)</f>
        <v>0</v>
      </c>
    </row>
    <row r="89" spans="2:5" x14ac:dyDescent="0.25">
      <c r="C89" s="7">
        <v>412</v>
      </c>
      <c r="D89" s="7" t="s">
        <v>144</v>
      </c>
      <c r="E89" s="12">
        <f>HLOOKUP($D$5,'Syndicats comptes 2021'!$E$4:$AF$168,83,0)</f>
        <v>0</v>
      </c>
    </row>
    <row r="90" spans="2:5" x14ac:dyDescent="0.25">
      <c r="C90" s="7">
        <v>413</v>
      </c>
      <c r="D90" s="7" t="s">
        <v>145</v>
      </c>
      <c r="E90" s="12">
        <f>HLOOKUP($D$5,'Syndicats comptes 2021'!$E$4:$AF$168,84,0)</f>
        <v>0</v>
      </c>
    </row>
    <row r="91" spans="2:5" x14ac:dyDescent="0.25">
      <c r="E91" s="12"/>
    </row>
    <row r="92" spans="2:5" x14ac:dyDescent="0.25">
      <c r="B92" s="68">
        <v>42</v>
      </c>
      <c r="C92" s="68"/>
      <c r="D92" s="68" t="s">
        <v>146</v>
      </c>
      <c r="E92" s="69">
        <f>HLOOKUP($D$5,'Syndicats comptes 2021'!$E$4:$AF$168,86,0)</f>
        <v>159366.85</v>
      </c>
    </row>
    <row r="93" spans="2:5" x14ac:dyDescent="0.25">
      <c r="C93" s="7">
        <v>420</v>
      </c>
      <c r="D93" s="7" t="s">
        <v>147</v>
      </c>
      <c r="E93" s="12">
        <f>HLOOKUP($D$5,'Syndicats comptes 2021'!$E$4:$AF$168,87,0)</f>
        <v>0</v>
      </c>
    </row>
    <row r="94" spans="2:5" x14ac:dyDescent="0.25">
      <c r="C94" s="7">
        <v>421</v>
      </c>
      <c r="D94" s="7" t="s">
        <v>148</v>
      </c>
      <c r="E94" s="12">
        <f>HLOOKUP($D$5,'Syndicats comptes 2021'!$E$4:$AF$168,88,0)</f>
        <v>4800</v>
      </c>
    </row>
    <row r="95" spans="2:5" x14ac:dyDescent="0.25">
      <c r="C95" s="7">
        <v>422</v>
      </c>
      <c r="D95" s="7" t="s">
        <v>149</v>
      </c>
      <c r="E95" s="12">
        <f>HLOOKUP($D$5,'Syndicats comptes 2021'!$E$4:$AF$168,89,0)</f>
        <v>0</v>
      </c>
    </row>
    <row r="96" spans="2:5" x14ac:dyDescent="0.25">
      <c r="C96" s="7">
        <v>423</v>
      </c>
      <c r="D96" s="7" t="s">
        <v>150</v>
      </c>
      <c r="E96" s="12">
        <f>HLOOKUP($D$5,'Syndicats comptes 2021'!$E$4:$AF$168,90,0)</f>
        <v>0</v>
      </c>
    </row>
    <row r="97" spans="2:5" x14ac:dyDescent="0.25">
      <c r="C97" s="7">
        <v>424</v>
      </c>
      <c r="D97" s="7" t="s">
        <v>151</v>
      </c>
      <c r="E97" s="12">
        <f>HLOOKUP($D$5,'Syndicats comptes 2021'!$E$4:$AF$168,91,0)</f>
        <v>4232.75</v>
      </c>
    </row>
    <row r="98" spans="2:5" x14ac:dyDescent="0.25">
      <c r="C98" s="7">
        <v>425</v>
      </c>
      <c r="D98" s="7" t="s">
        <v>152</v>
      </c>
      <c r="E98" s="12">
        <f>HLOOKUP($D$5,'Syndicats comptes 2021'!$E$4:$AF$168,92,0)</f>
        <v>25927.599999999999</v>
      </c>
    </row>
    <row r="99" spans="2:5" x14ac:dyDescent="0.25">
      <c r="C99" s="7">
        <v>426</v>
      </c>
      <c r="D99" s="7" t="s">
        <v>153</v>
      </c>
      <c r="E99" s="12">
        <f>HLOOKUP($D$5,'Syndicats comptes 2021'!$E$4:$AF$168,93,0)</f>
        <v>124406.5</v>
      </c>
    </row>
    <row r="100" spans="2:5" x14ac:dyDescent="0.25">
      <c r="C100" s="7">
        <v>427</v>
      </c>
      <c r="D100" s="7" t="s">
        <v>154</v>
      </c>
      <c r="E100" s="12">
        <f>HLOOKUP($D$5,'Syndicats comptes 2021'!$E$4:$AF$168,94,0)</f>
        <v>0</v>
      </c>
    </row>
    <row r="101" spans="2:5" x14ac:dyDescent="0.25">
      <c r="C101" s="7">
        <v>429</v>
      </c>
      <c r="D101" s="7" t="s">
        <v>155</v>
      </c>
      <c r="E101" s="12">
        <f>HLOOKUP($D$5,'Syndicats comptes 2021'!$E$4:$AF$168,95,0)</f>
        <v>0</v>
      </c>
    </row>
    <row r="102" spans="2:5" x14ac:dyDescent="0.25">
      <c r="E102" s="12"/>
    </row>
    <row r="103" spans="2:5" x14ac:dyDescent="0.25">
      <c r="B103" s="68">
        <v>43</v>
      </c>
      <c r="C103" s="68"/>
      <c r="D103" s="68" t="s">
        <v>156</v>
      </c>
      <c r="E103" s="69">
        <f>HLOOKUP($D$5,'Syndicats comptes 2021'!$E$4:$AF$168,97,0)</f>
        <v>69580</v>
      </c>
    </row>
    <row r="104" spans="2:5" x14ac:dyDescent="0.25">
      <c r="C104" s="7">
        <v>430</v>
      </c>
      <c r="D104" s="7" t="s">
        <v>157</v>
      </c>
      <c r="E104" s="12">
        <f>HLOOKUP($D$5,'Syndicats comptes 2021'!$E$4:$AF$168,98,0)</f>
        <v>69580</v>
      </c>
    </row>
    <row r="105" spans="2:5" x14ac:dyDescent="0.25">
      <c r="C105" s="7">
        <v>431</v>
      </c>
      <c r="D105" s="7" t="s">
        <v>158</v>
      </c>
      <c r="E105" s="12">
        <f>HLOOKUP($D$5,'Syndicats comptes 2021'!$E$4:$AF$168,99,0)</f>
        <v>0</v>
      </c>
    </row>
    <row r="106" spans="2:5" x14ac:dyDescent="0.25">
      <c r="C106" s="7">
        <v>432</v>
      </c>
      <c r="D106" s="7" t="s">
        <v>159</v>
      </c>
      <c r="E106" s="12">
        <f>HLOOKUP($D$5,'Syndicats comptes 2021'!$E$4:$AF$168,100,0)</f>
        <v>0</v>
      </c>
    </row>
    <row r="107" spans="2:5" x14ac:dyDescent="0.25">
      <c r="C107" s="7">
        <v>439</v>
      </c>
      <c r="D107" s="7" t="s">
        <v>160</v>
      </c>
      <c r="E107" s="12">
        <f>HLOOKUP($D$5,'Syndicats comptes 2021'!$E$4:$AF$168,101,0)</f>
        <v>0</v>
      </c>
    </row>
    <row r="108" spans="2:5" x14ac:dyDescent="0.25">
      <c r="E108" s="12"/>
    </row>
    <row r="109" spans="2:5" x14ac:dyDescent="0.25">
      <c r="B109" s="68">
        <v>44</v>
      </c>
      <c r="C109" s="68"/>
      <c r="D109" s="68" t="s">
        <v>161</v>
      </c>
      <c r="E109" s="69">
        <f>HLOOKUP($D$5,'Syndicats comptes 2021'!$E$4:$AF$168,103,0)</f>
        <v>88.3</v>
      </c>
    </row>
    <row r="110" spans="2:5" x14ac:dyDescent="0.25">
      <c r="C110" s="7">
        <v>440</v>
      </c>
      <c r="D110" s="7" t="s">
        <v>162</v>
      </c>
      <c r="E110" s="12">
        <f>HLOOKUP($D$5,'Syndicats comptes 2021'!$E$4:$AF$168,104,0)</f>
        <v>88.3</v>
      </c>
    </row>
    <row r="111" spans="2:5" x14ac:dyDescent="0.25">
      <c r="C111" s="7">
        <v>441</v>
      </c>
      <c r="D111" s="7" t="s">
        <v>163</v>
      </c>
      <c r="E111" s="12">
        <f>HLOOKUP($D$5,'Syndicats comptes 2021'!$E$4:$AF$168,105,0)</f>
        <v>0</v>
      </c>
    </row>
    <row r="112" spans="2:5" x14ac:dyDescent="0.25">
      <c r="C112" s="7">
        <v>442</v>
      </c>
      <c r="D112" s="7" t="s">
        <v>164</v>
      </c>
      <c r="E112" s="12">
        <f>HLOOKUP($D$5,'Syndicats comptes 2021'!$E$4:$AF$168,106,0)</f>
        <v>0</v>
      </c>
    </row>
    <row r="113" spans="2:5" x14ac:dyDescent="0.25">
      <c r="C113" s="7">
        <v>443</v>
      </c>
      <c r="D113" s="7" t="s">
        <v>165</v>
      </c>
      <c r="E113" s="12">
        <f>HLOOKUP($D$5,'Syndicats comptes 2021'!$E$4:$AF$168,107,0)</f>
        <v>0</v>
      </c>
    </row>
    <row r="114" spans="2:5" x14ac:dyDescent="0.25">
      <c r="C114" s="7">
        <v>444</v>
      </c>
      <c r="D114" s="7" t="s">
        <v>105</v>
      </c>
      <c r="E114" s="12">
        <f>HLOOKUP($D$5,'Syndicats comptes 2021'!$E$4:$AF$168,108,0)</f>
        <v>0</v>
      </c>
    </row>
    <row r="115" spans="2:5" x14ac:dyDescent="0.25">
      <c r="C115" s="7">
        <v>445</v>
      </c>
      <c r="D115" s="7" t="s">
        <v>166</v>
      </c>
      <c r="E115" s="12">
        <f>HLOOKUP($D$5,'Syndicats comptes 2021'!$E$4:$AF$168,109,0)</f>
        <v>0</v>
      </c>
    </row>
    <row r="116" spans="2:5" x14ac:dyDescent="0.25">
      <c r="C116" s="7">
        <v>446</v>
      </c>
      <c r="D116" s="7" t="s">
        <v>167</v>
      </c>
      <c r="E116" s="12">
        <f>HLOOKUP($D$5,'Syndicats comptes 2021'!$E$4:$AF$168,110,0)</f>
        <v>0</v>
      </c>
    </row>
    <row r="117" spans="2:5" x14ac:dyDescent="0.25">
      <c r="C117" s="7">
        <v>447</v>
      </c>
      <c r="D117" s="7" t="s">
        <v>168</v>
      </c>
      <c r="E117" s="12">
        <f>HLOOKUP($D$5,'Syndicats comptes 2021'!$E$4:$AF$168,111,0)</f>
        <v>0</v>
      </c>
    </row>
    <row r="118" spans="2:5" x14ac:dyDescent="0.25">
      <c r="C118" s="7">
        <v>448</v>
      </c>
      <c r="D118" s="7" t="s">
        <v>169</v>
      </c>
      <c r="E118" s="12">
        <f>HLOOKUP($D$5,'Syndicats comptes 2021'!$E$4:$AF$168,112,0)</f>
        <v>0</v>
      </c>
    </row>
    <row r="119" spans="2:5" x14ac:dyDescent="0.25">
      <c r="C119" s="7">
        <v>449</v>
      </c>
      <c r="D119" s="7" t="s">
        <v>170</v>
      </c>
      <c r="E119" s="12">
        <f>HLOOKUP($D$5,'Syndicats comptes 2021'!$E$4:$AF$168,113,0)</f>
        <v>0</v>
      </c>
    </row>
    <row r="120" spans="2:5" x14ac:dyDescent="0.25">
      <c r="E120" s="12"/>
    </row>
    <row r="121" spans="2:5" x14ac:dyDescent="0.25">
      <c r="B121" s="68">
        <v>45</v>
      </c>
      <c r="C121" s="68"/>
      <c r="D121" s="68" t="s">
        <v>173</v>
      </c>
      <c r="E121" s="69">
        <f>HLOOKUP($D$5,'Syndicats comptes 2021'!$E$4:$AF$168,115,0)</f>
        <v>177420.79999999999</v>
      </c>
    </row>
    <row r="122" spans="2:5" x14ac:dyDescent="0.25">
      <c r="C122" s="7">
        <v>450</v>
      </c>
      <c r="D122" s="7" t="s">
        <v>171</v>
      </c>
      <c r="E122" s="12">
        <f>HLOOKUP($D$5,'Syndicats comptes 2021'!$E$4:$AF$168,116,0)</f>
        <v>0</v>
      </c>
    </row>
    <row r="123" spans="2:5" x14ac:dyDescent="0.25">
      <c r="C123" s="7">
        <v>451</v>
      </c>
      <c r="D123" s="7" t="s">
        <v>172</v>
      </c>
      <c r="E123" s="12">
        <f>HLOOKUP($D$5,'Syndicats comptes 2021'!$E$4:$AF$168,117,0)</f>
        <v>177420.79999999999</v>
      </c>
    </row>
    <row r="124" spans="2:5" x14ac:dyDescent="0.25">
      <c r="E124" s="12"/>
    </row>
    <row r="125" spans="2:5" x14ac:dyDescent="0.25">
      <c r="B125" s="68">
        <v>46</v>
      </c>
      <c r="C125" s="68"/>
      <c r="D125" s="68" t="s">
        <v>174</v>
      </c>
      <c r="E125" s="69">
        <f>HLOOKUP($D$5,'Syndicats comptes 2021'!$E$4:$AF$168,119,0)</f>
        <v>1285091.56</v>
      </c>
    </row>
    <row r="126" spans="2:5" x14ac:dyDescent="0.25">
      <c r="C126" s="7">
        <v>460</v>
      </c>
      <c r="D126" s="7" t="s">
        <v>175</v>
      </c>
      <c r="E126" s="12">
        <f>HLOOKUP($D$5,'Syndicats comptes 2021'!$E$4:$AF$168,120,0)</f>
        <v>0</v>
      </c>
    </row>
    <row r="127" spans="2:5" x14ac:dyDescent="0.25">
      <c r="C127" s="7">
        <v>461</v>
      </c>
      <c r="D127" s="7" t="s">
        <v>176</v>
      </c>
      <c r="E127" s="12">
        <f>HLOOKUP($D$5,'Syndicats comptes 2021'!$E$4:$AF$168,121,0)</f>
        <v>1284803.01</v>
      </c>
    </row>
    <row r="128" spans="2:5" x14ac:dyDescent="0.25">
      <c r="C128" s="7">
        <v>462</v>
      </c>
      <c r="D128" s="7" t="s">
        <v>112</v>
      </c>
      <c r="E128" s="12">
        <f>HLOOKUP($D$5,'Syndicats comptes 2021'!$E$4:$AF$168,122,0)</f>
        <v>0</v>
      </c>
    </row>
    <row r="129" spans="2:5" x14ac:dyDescent="0.25">
      <c r="C129" s="7">
        <v>463</v>
      </c>
      <c r="D129" s="7" t="s">
        <v>177</v>
      </c>
      <c r="E129" s="12">
        <f>HLOOKUP($D$5,'Syndicats comptes 2021'!$E$4:$AF$168,123,0)</f>
        <v>0</v>
      </c>
    </row>
    <row r="130" spans="2:5" x14ac:dyDescent="0.25">
      <c r="C130" s="7">
        <v>469</v>
      </c>
      <c r="D130" s="7" t="s">
        <v>178</v>
      </c>
      <c r="E130" s="12">
        <f>HLOOKUP($D$5,'Syndicats comptes 2021'!$E$4:$AF$168,124,0)</f>
        <v>288.55</v>
      </c>
    </row>
    <row r="131" spans="2:5" x14ac:dyDescent="0.25">
      <c r="E131" s="12"/>
    </row>
    <row r="132" spans="2:5" x14ac:dyDescent="0.25">
      <c r="B132" s="68">
        <v>47</v>
      </c>
      <c r="C132" s="68"/>
      <c r="D132" s="68" t="s">
        <v>118</v>
      </c>
      <c r="E132" s="69">
        <f>HLOOKUP($D$5,'Syndicats comptes 2021'!$E$4:$AF$168,126,0)</f>
        <v>0</v>
      </c>
    </row>
    <row r="133" spans="2:5" x14ac:dyDescent="0.25">
      <c r="C133" s="7">
        <v>470</v>
      </c>
      <c r="D133" s="7" t="s">
        <v>179</v>
      </c>
      <c r="E133" s="12">
        <f>HLOOKUP($D$5,'Syndicats comptes 2021'!$E$4:$AF$168,127,0)</f>
        <v>0</v>
      </c>
    </row>
    <row r="134" spans="2:5" x14ac:dyDescent="0.25">
      <c r="E134" s="12"/>
    </row>
    <row r="135" spans="2:5" x14ac:dyDescent="0.25">
      <c r="B135" s="68">
        <v>48</v>
      </c>
      <c r="C135" s="68"/>
      <c r="D135" s="68" t="s">
        <v>180</v>
      </c>
      <c r="E135" s="69">
        <f>HLOOKUP($D$5,'Syndicats comptes 2021'!$E$4:$AF$168,129,0)</f>
        <v>0</v>
      </c>
    </row>
    <row r="136" spans="2:5" x14ac:dyDescent="0.25">
      <c r="C136" s="7">
        <v>481</v>
      </c>
      <c r="D136" s="7" t="s">
        <v>181</v>
      </c>
      <c r="E136" s="12">
        <f>HLOOKUP($D$5,'Syndicats comptes 2021'!$E$4:$AF$168,130,0)</f>
        <v>0</v>
      </c>
    </row>
    <row r="137" spans="2:5" x14ac:dyDescent="0.25">
      <c r="C137" s="7">
        <v>482</v>
      </c>
      <c r="D137" s="7" t="s">
        <v>182</v>
      </c>
      <c r="E137" s="12">
        <f>HLOOKUP($D$5,'Syndicats comptes 2021'!$E$4:$AF$168,131,0)</f>
        <v>0</v>
      </c>
    </row>
    <row r="138" spans="2:5" x14ac:dyDescent="0.25">
      <c r="C138" s="7">
        <v>483</v>
      </c>
      <c r="D138" s="7" t="s">
        <v>183</v>
      </c>
      <c r="E138" s="12">
        <f>HLOOKUP($D$5,'Syndicats comptes 2021'!$E$4:$AF$168,132,0)</f>
        <v>0</v>
      </c>
    </row>
    <row r="139" spans="2:5" x14ac:dyDescent="0.25">
      <c r="C139" s="7">
        <v>484</v>
      </c>
      <c r="D139" s="7" t="s">
        <v>184</v>
      </c>
      <c r="E139" s="12">
        <f>HLOOKUP($D$5,'Syndicats comptes 2021'!$E$4:$AF$168,133,0)</f>
        <v>0</v>
      </c>
    </row>
    <row r="140" spans="2:5" x14ac:dyDescent="0.25">
      <c r="C140" s="7">
        <v>485</v>
      </c>
      <c r="D140" s="7" t="s">
        <v>185</v>
      </c>
      <c r="E140" s="12">
        <f>HLOOKUP($D$5,'Syndicats comptes 2021'!$E$4:$AF$168,134,0)</f>
        <v>0</v>
      </c>
    </row>
    <row r="141" spans="2:5" x14ac:dyDescent="0.25">
      <c r="C141" s="7">
        <v>486</v>
      </c>
      <c r="D141" s="7" t="s">
        <v>186</v>
      </c>
      <c r="E141" s="12">
        <f>HLOOKUP($D$5,'Syndicats comptes 2021'!$E$4:$AF$168,135,0)</f>
        <v>0</v>
      </c>
    </row>
    <row r="142" spans="2:5" x14ac:dyDescent="0.25">
      <c r="C142" s="7">
        <v>489</v>
      </c>
      <c r="D142" s="7" t="s">
        <v>187</v>
      </c>
      <c r="E142" s="12">
        <f>HLOOKUP($D$5,'Syndicats comptes 2021'!$E$4:$AF$168,136,0)</f>
        <v>0</v>
      </c>
    </row>
    <row r="143" spans="2:5" x14ac:dyDescent="0.25">
      <c r="E143" s="12"/>
    </row>
    <row r="144" spans="2:5" x14ac:dyDescent="0.25">
      <c r="B144" s="68">
        <v>49</v>
      </c>
      <c r="C144" s="68"/>
      <c r="D144" s="68" t="s">
        <v>127</v>
      </c>
      <c r="E144" s="69">
        <f>HLOOKUP($D$5,'Syndicats comptes 2021'!$E$4:$AF$168,138,0)</f>
        <v>0</v>
      </c>
    </row>
    <row r="145" spans="1:5" x14ac:dyDescent="0.25">
      <c r="C145" s="7">
        <v>490</v>
      </c>
      <c r="D145" s="7" t="s">
        <v>128</v>
      </c>
      <c r="E145" s="12">
        <f>HLOOKUP($D$5,'Syndicats comptes 2021'!$E$4:$AF$168,139,0)</f>
        <v>0</v>
      </c>
    </row>
    <row r="146" spans="1:5" x14ac:dyDescent="0.25">
      <c r="C146" s="7">
        <v>491</v>
      </c>
      <c r="D146" s="7" t="s">
        <v>129</v>
      </c>
      <c r="E146" s="12">
        <f>HLOOKUP($D$5,'Syndicats comptes 2021'!$E$4:$AF$168,140,0)</f>
        <v>0</v>
      </c>
    </row>
    <row r="147" spans="1:5" x14ac:dyDescent="0.25">
      <c r="C147" s="7">
        <v>492</v>
      </c>
      <c r="D147" s="7" t="s">
        <v>188</v>
      </c>
      <c r="E147" s="12">
        <f>HLOOKUP($D$5,'Syndicats comptes 2021'!$E$4:$AF$168,141,0)</f>
        <v>0</v>
      </c>
    </row>
    <row r="148" spans="1:5" x14ac:dyDescent="0.25">
      <c r="C148" s="7">
        <v>493</v>
      </c>
      <c r="D148" s="7" t="s">
        <v>189</v>
      </c>
      <c r="E148" s="12">
        <f>HLOOKUP($D$5,'Syndicats comptes 2021'!$E$4:$AF$168,142,0)</f>
        <v>0</v>
      </c>
    </row>
    <row r="149" spans="1:5" x14ac:dyDescent="0.25">
      <c r="C149" s="7">
        <v>494</v>
      </c>
      <c r="D149" s="7" t="s">
        <v>132</v>
      </c>
      <c r="E149" s="12">
        <f>HLOOKUP($D$5,'Syndicats comptes 2021'!$E$4:$AF$168,143,0)</f>
        <v>0</v>
      </c>
    </row>
    <row r="150" spans="1:5" x14ac:dyDescent="0.25">
      <c r="C150" s="7">
        <v>495</v>
      </c>
      <c r="D150" s="7" t="s">
        <v>190</v>
      </c>
      <c r="E150" s="12">
        <f>HLOOKUP($D$5,'Syndicats comptes 2021'!$E$4:$AF$168,144,0)</f>
        <v>0</v>
      </c>
    </row>
    <row r="151" spans="1:5" x14ac:dyDescent="0.25">
      <c r="C151" s="7">
        <v>498</v>
      </c>
      <c r="D151" s="7" t="s">
        <v>191</v>
      </c>
      <c r="E151" s="12">
        <f>HLOOKUP($D$5,'Syndicats comptes 2021'!$E$4:$AF$168,145,0)</f>
        <v>0</v>
      </c>
    </row>
    <row r="152" spans="1:5" x14ac:dyDescent="0.25">
      <c r="C152" s="7">
        <v>499</v>
      </c>
      <c r="D152" s="7" t="s">
        <v>135</v>
      </c>
      <c r="E152" s="12">
        <f>HLOOKUP($D$5,'Syndicats comptes 2021'!$E$4:$AF$168,146,0)</f>
        <v>0</v>
      </c>
    </row>
    <row r="153" spans="1:5" x14ac:dyDescent="0.25">
      <c r="E153" s="12"/>
    </row>
    <row r="154" spans="1:5" x14ac:dyDescent="0.25">
      <c r="E154" s="12"/>
    </row>
    <row r="155" spans="1:5" x14ac:dyDescent="0.25">
      <c r="E155" s="12"/>
    </row>
    <row r="156" spans="1:5" x14ac:dyDescent="0.25">
      <c r="A156" s="70">
        <v>9</v>
      </c>
      <c r="B156" s="70"/>
      <c r="C156" s="70"/>
      <c r="D156" s="70" t="s">
        <v>193</v>
      </c>
      <c r="E156" s="72"/>
    </row>
    <row r="157" spans="1:5" x14ac:dyDescent="0.25">
      <c r="A157" s="70"/>
      <c r="B157" s="70">
        <v>90</v>
      </c>
      <c r="C157" s="70"/>
      <c r="D157" s="70" t="s">
        <v>194</v>
      </c>
      <c r="E157" s="72">
        <f>HLOOKUP($D$5,'Syndicats comptes 2021'!$E$4:$AF$168,151,0)</f>
        <v>0</v>
      </c>
    </row>
    <row r="158" spans="1:5" x14ac:dyDescent="0.25">
      <c r="C158" s="7">
        <v>900</v>
      </c>
      <c r="D158" s="7" t="s">
        <v>195</v>
      </c>
      <c r="E158" s="12">
        <f>HLOOKUP($D$5,'Syndicats comptes 2021'!$E$4:$AF$168,152,0)</f>
        <v>0</v>
      </c>
    </row>
    <row r="159" spans="1:5" x14ac:dyDescent="0.25">
      <c r="C159" s="7">
        <v>901</v>
      </c>
      <c r="D159" s="7" t="s">
        <v>196</v>
      </c>
      <c r="E159" s="12">
        <f>HLOOKUP($D$5,'Syndicats comptes 2021'!$E$4:$AF$168,153,0)</f>
        <v>0</v>
      </c>
    </row>
    <row r="160" spans="1:5" x14ac:dyDescent="0.25">
      <c r="E160" s="12"/>
    </row>
    <row r="161" spans="4:5" x14ac:dyDescent="0.25">
      <c r="D161" s="6" t="s">
        <v>197</v>
      </c>
      <c r="E161" s="12">
        <f>HLOOKUP($D$5,'Syndicats comptes 2021'!$E$4:$AF$168,155,0)</f>
        <v>0</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400-000000000000}">
          <x14:formula1>
            <xm:f>'Syndicats comptes 2021'!$E$4:$AF$4</xm:f>
          </x14:formula1>
          <xm:sqref>D5</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FF0000"/>
  </sheetPr>
  <dimension ref="A2:C9"/>
  <sheetViews>
    <sheetView workbookViewId="0">
      <selection activeCell="C7" sqref="C7"/>
    </sheetView>
  </sheetViews>
  <sheetFormatPr baseColWidth="10" defaultColWidth="11.44140625" defaultRowHeight="13.8" x14ac:dyDescent="0.25"/>
  <cols>
    <col min="1" max="1" width="9.109375" style="7" customWidth="1"/>
    <col min="2" max="2" width="38.5546875" style="7" customWidth="1"/>
    <col min="3" max="3" width="22.88671875" style="7" customWidth="1"/>
    <col min="4" max="16384" width="11.44140625" style="7"/>
  </cols>
  <sheetData>
    <row r="2" spans="1:3" ht="21" x14ac:dyDescent="0.4">
      <c r="A2" s="79" t="s">
        <v>828</v>
      </c>
    </row>
    <row r="4" spans="1:3" x14ac:dyDescent="0.25">
      <c r="A4" s="6" t="s">
        <v>812</v>
      </c>
    </row>
    <row r="6" spans="1:3" x14ac:dyDescent="0.25">
      <c r="A6" s="86" t="s">
        <v>215</v>
      </c>
      <c r="B6" s="86" t="s">
        <v>200</v>
      </c>
      <c r="C6" s="86" t="s">
        <v>852</v>
      </c>
    </row>
    <row r="7" spans="1:3" x14ac:dyDescent="0.25">
      <c r="A7" s="87">
        <v>90</v>
      </c>
      <c r="B7" s="88" t="s">
        <v>217</v>
      </c>
      <c r="C7" s="89">
        <f>'Syndicats comptes 2021'!AF154</f>
        <v>585942.46</v>
      </c>
    </row>
    <row r="8" spans="1:3" x14ac:dyDescent="0.25">
      <c r="A8" s="87">
        <v>900</v>
      </c>
      <c r="B8" s="88" t="s">
        <v>218</v>
      </c>
      <c r="C8" s="89">
        <f>'Syndicats comptes 2021'!AF155</f>
        <v>618691.94999999995</v>
      </c>
    </row>
    <row r="9" spans="1:3" x14ac:dyDescent="0.25">
      <c r="A9" s="87">
        <v>901</v>
      </c>
      <c r="B9" s="88" t="s">
        <v>219</v>
      </c>
      <c r="C9" s="89">
        <f>'Syndicats comptes 2021'!AF156</f>
        <v>-32749.489999999998</v>
      </c>
    </row>
  </sheetData>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FF0000"/>
  </sheetPr>
  <dimension ref="A2:C17"/>
  <sheetViews>
    <sheetView workbookViewId="0">
      <selection activeCell="B6" sqref="B6"/>
    </sheetView>
  </sheetViews>
  <sheetFormatPr baseColWidth="10" defaultColWidth="11.44140625" defaultRowHeight="13.8" x14ac:dyDescent="0.25"/>
  <cols>
    <col min="1" max="1" width="9.33203125" style="7" customWidth="1"/>
    <col min="2" max="2" width="39.6640625" style="7" customWidth="1"/>
    <col min="3" max="3" width="27.88671875" style="7" customWidth="1"/>
    <col min="4" max="4" width="23" style="7" customWidth="1"/>
    <col min="5" max="16384" width="11.44140625" style="7"/>
  </cols>
  <sheetData>
    <row r="2" spans="1:3" ht="21" x14ac:dyDescent="0.4">
      <c r="A2" s="79" t="s">
        <v>826</v>
      </c>
    </row>
    <row r="5" spans="1:3" ht="14.4" thickBot="1" x14ac:dyDescent="0.3">
      <c r="B5" s="7" t="s">
        <v>813</v>
      </c>
    </row>
    <row r="6" spans="1:3" ht="14.4" thickBot="1" x14ac:dyDescent="0.3">
      <c r="B6" s="83" t="s">
        <v>807</v>
      </c>
    </row>
    <row r="9" spans="1:3" x14ac:dyDescent="0.25">
      <c r="A9" s="86" t="s">
        <v>215</v>
      </c>
      <c r="B9" s="86" t="s">
        <v>200</v>
      </c>
      <c r="C9" s="86" t="s">
        <v>852</v>
      </c>
    </row>
    <row r="10" spans="1:3" x14ac:dyDescent="0.25">
      <c r="A10" s="87">
        <v>90</v>
      </c>
      <c r="B10" s="88" t="s">
        <v>217</v>
      </c>
      <c r="C10" s="89">
        <f>HLOOKUP($B$6,'Syndicats comptes 2021'!$E$4:$AF$169,151,0)</f>
        <v>0</v>
      </c>
    </row>
    <row r="11" spans="1:3" x14ac:dyDescent="0.25">
      <c r="A11" s="87">
        <v>900</v>
      </c>
      <c r="B11" s="88" t="s">
        <v>218</v>
      </c>
      <c r="C11" s="89">
        <f>HLOOKUP($B$6,'Syndicats comptes 2021'!$E$4:$AF$169,152,0)</f>
        <v>0</v>
      </c>
    </row>
    <row r="12" spans="1:3" x14ac:dyDescent="0.25">
      <c r="A12" s="87">
        <v>901</v>
      </c>
      <c r="B12" s="88" t="s">
        <v>219</v>
      </c>
      <c r="C12" s="89">
        <f>HLOOKUP($B$6,'Syndicats comptes 2021'!$E$4:$AF$169,153,0)</f>
        <v>0</v>
      </c>
    </row>
    <row r="14" spans="1:3" x14ac:dyDescent="0.25">
      <c r="C14" s="58"/>
    </row>
    <row r="15" spans="1:3" x14ac:dyDescent="0.25">
      <c r="C15" s="12"/>
    </row>
    <row r="16" spans="1:3" x14ac:dyDescent="0.25">
      <c r="C16" s="12"/>
    </row>
    <row r="17" spans="3:3" x14ac:dyDescent="0.25">
      <c r="C17" s="1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600-000000000000}">
          <x14:formula1>
            <xm:f>'Syndicats comptes 2021'!$E$4:$AF$4</xm:f>
          </x14:formula1>
          <xm:sqref>B6</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FF0000"/>
  </sheetPr>
  <dimension ref="A2:C23"/>
  <sheetViews>
    <sheetView workbookViewId="0">
      <selection activeCell="A7" sqref="A7"/>
    </sheetView>
  </sheetViews>
  <sheetFormatPr baseColWidth="10" defaultColWidth="11.44140625" defaultRowHeight="13.8" x14ac:dyDescent="0.25"/>
  <cols>
    <col min="1" max="1" width="22.6640625" style="7" customWidth="1"/>
    <col min="2" max="2" width="34.44140625" style="7" customWidth="1"/>
    <col min="3" max="3" width="23" style="7" customWidth="1"/>
    <col min="4" max="16384" width="11.44140625" style="7"/>
  </cols>
  <sheetData>
    <row r="2" spans="1:3" ht="21" x14ac:dyDescent="0.4">
      <c r="A2" s="79" t="s">
        <v>825</v>
      </c>
    </row>
    <row r="5" spans="1:3" x14ac:dyDescent="0.25">
      <c r="A5" s="6" t="s">
        <v>812</v>
      </c>
    </row>
    <row r="6" spans="1:3" x14ac:dyDescent="0.25">
      <c r="A6" s="6" t="s">
        <v>853</v>
      </c>
    </row>
    <row r="8" spans="1:3" x14ac:dyDescent="0.25">
      <c r="A8" s="86" t="s">
        <v>199</v>
      </c>
      <c r="B8" s="86" t="s">
        <v>200</v>
      </c>
      <c r="C8" s="86" t="s">
        <v>201</v>
      </c>
    </row>
    <row r="9" spans="1:3" x14ac:dyDescent="0.25">
      <c r="A9" s="87" t="s">
        <v>208</v>
      </c>
      <c r="B9" s="88" t="s">
        <v>202</v>
      </c>
      <c r="C9" s="89">
        <f>'Syndicats comptes 2021'!AF6+'Syndicats comptes 2021'!AF16+'Syndicats comptes 2021'!AF28+'Syndicats comptes 2021'!AF40+'Syndicats comptes 2021'!AF44+'Syndicats comptes 2021'!AF54</f>
        <v>31309349.210000001</v>
      </c>
    </row>
    <row r="10" spans="1:3" x14ac:dyDescent="0.25">
      <c r="A10" s="87" t="s">
        <v>209</v>
      </c>
      <c r="B10" s="88" t="s">
        <v>203</v>
      </c>
      <c r="C10" s="89">
        <f>'Syndicats comptes 2021'!AF77+'Syndicats comptes 2021'!AF83+'Syndicats comptes 2021'!AF89+'Syndicats comptes 2021'!AF100+'Syndicats comptes 2021'!AF118+'Syndicats comptes 2021'!AF122+'Syndicats comptes 2021'!AF129</f>
        <v>31928439.870000001</v>
      </c>
    </row>
    <row r="11" spans="1:3" x14ac:dyDescent="0.25">
      <c r="A11" s="88"/>
      <c r="B11" s="90" t="s">
        <v>204</v>
      </c>
      <c r="C11" s="91">
        <f>C10-C9</f>
        <v>619090.66000000015</v>
      </c>
    </row>
    <row r="12" spans="1:3" x14ac:dyDescent="0.25">
      <c r="A12" s="88"/>
      <c r="B12" s="88"/>
      <c r="C12" s="88"/>
    </row>
    <row r="13" spans="1:3" x14ac:dyDescent="0.25">
      <c r="A13" s="88">
        <v>34</v>
      </c>
      <c r="B13" s="88" t="s">
        <v>100</v>
      </c>
      <c r="C13" s="89">
        <f>'Syndicats comptes 2021'!AF32</f>
        <v>580685.42000000004</v>
      </c>
    </row>
    <row r="14" spans="1:3" x14ac:dyDescent="0.25">
      <c r="A14" s="88">
        <v>44</v>
      </c>
      <c r="B14" s="88" t="s">
        <v>161</v>
      </c>
      <c r="C14" s="89">
        <f>'Syndicats comptes 2021'!AF106</f>
        <v>752673.88000000012</v>
      </c>
    </row>
    <row r="15" spans="1:3" x14ac:dyDescent="0.25">
      <c r="A15" s="88"/>
      <c r="B15" s="90" t="s">
        <v>237</v>
      </c>
      <c r="C15" s="91">
        <f>C14-C13</f>
        <v>171988.46000000008</v>
      </c>
    </row>
    <row r="16" spans="1:3" x14ac:dyDescent="0.25">
      <c r="A16" s="88"/>
      <c r="B16" s="88"/>
      <c r="C16" s="88"/>
    </row>
    <row r="17" spans="1:3" x14ac:dyDescent="0.25">
      <c r="A17" s="88"/>
      <c r="B17" s="90" t="s">
        <v>205</v>
      </c>
      <c r="C17" s="91">
        <f>C11+C15</f>
        <v>791079.12000000023</v>
      </c>
    </row>
    <row r="18" spans="1:3" x14ac:dyDescent="0.25">
      <c r="A18" s="88"/>
      <c r="B18" s="88"/>
      <c r="C18" s="88"/>
    </row>
    <row r="19" spans="1:3" x14ac:dyDescent="0.25">
      <c r="A19" s="88">
        <v>38</v>
      </c>
      <c r="B19" s="88" t="s">
        <v>120</v>
      </c>
      <c r="C19" s="89">
        <f>'Syndicats comptes 2021'!AF57</f>
        <v>2277000</v>
      </c>
    </row>
    <row r="20" spans="1:3" x14ac:dyDescent="0.25">
      <c r="A20" s="88">
        <v>48</v>
      </c>
      <c r="B20" s="88" t="s">
        <v>180</v>
      </c>
      <c r="C20" s="89">
        <f>'Syndicats comptes 2021'!AF132</f>
        <v>2071863.34</v>
      </c>
    </row>
    <row r="21" spans="1:3" x14ac:dyDescent="0.25">
      <c r="A21" s="88"/>
      <c r="B21" s="90" t="s">
        <v>206</v>
      </c>
      <c r="C21" s="91">
        <f>C20-C19</f>
        <v>-205136.65999999992</v>
      </c>
    </row>
    <row r="22" spans="1:3" x14ac:dyDescent="0.25">
      <c r="A22" s="88"/>
      <c r="B22" s="88"/>
      <c r="C22" s="88"/>
    </row>
    <row r="23" spans="1:3" x14ac:dyDescent="0.25">
      <c r="A23" s="88"/>
      <c r="B23" s="90" t="s">
        <v>207</v>
      </c>
      <c r="C23" s="91">
        <f>C17+C21</f>
        <v>585942.46000000031</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FF0000"/>
  </sheetPr>
  <dimension ref="A2:C28"/>
  <sheetViews>
    <sheetView workbookViewId="0">
      <selection activeCell="B6" sqref="B6"/>
    </sheetView>
  </sheetViews>
  <sheetFormatPr baseColWidth="10" defaultColWidth="11.44140625" defaultRowHeight="13.8" x14ac:dyDescent="0.25"/>
  <cols>
    <col min="1" max="1" width="21.88671875" style="7" customWidth="1"/>
    <col min="2" max="2" width="40.44140625" style="7" customWidth="1"/>
    <col min="3" max="3" width="22.88671875" style="7" customWidth="1"/>
    <col min="4" max="16384" width="11.44140625" style="7"/>
  </cols>
  <sheetData>
    <row r="2" spans="1:3" ht="21" x14ac:dyDescent="0.4">
      <c r="A2" s="79" t="s">
        <v>825</v>
      </c>
    </row>
    <row r="5" spans="1:3" ht="14.4" thickBot="1" x14ac:dyDescent="0.3">
      <c r="B5" s="7" t="s">
        <v>813</v>
      </c>
    </row>
    <row r="6" spans="1:3" ht="14.4" thickBot="1" x14ac:dyDescent="0.3">
      <c r="B6" s="83" t="s">
        <v>807</v>
      </c>
    </row>
    <row r="8" spans="1:3" x14ac:dyDescent="0.25">
      <c r="A8" s="86" t="s">
        <v>199</v>
      </c>
      <c r="B8" s="86" t="s">
        <v>200</v>
      </c>
      <c r="C8" s="86" t="s">
        <v>201</v>
      </c>
    </row>
    <row r="9" spans="1:3" x14ac:dyDescent="0.25">
      <c r="A9" s="87" t="s">
        <v>208</v>
      </c>
      <c r="B9" s="88" t="s">
        <v>202</v>
      </c>
      <c r="C9" s="89">
        <f>HLOOKUP($B$6,'Syndicats comptes 2021'!$E$4:$AF$168,164,0)</f>
        <v>1667241.07</v>
      </c>
    </row>
    <row r="10" spans="1:3" x14ac:dyDescent="0.25">
      <c r="A10" s="87" t="s">
        <v>209</v>
      </c>
      <c r="B10" s="88" t="s">
        <v>203</v>
      </c>
      <c r="C10" s="89">
        <f>HLOOKUP($B$6,'Syndicats comptes 2021'!$E$4:$AF$168,165,0)</f>
        <v>1691459.21</v>
      </c>
    </row>
    <row r="11" spans="1:3" x14ac:dyDescent="0.25">
      <c r="A11" s="88"/>
      <c r="B11" s="90" t="s">
        <v>204</v>
      </c>
      <c r="C11" s="91">
        <f>C10-C9</f>
        <v>24218.139999999898</v>
      </c>
    </row>
    <row r="12" spans="1:3" x14ac:dyDescent="0.25">
      <c r="A12" s="88"/>
      <c r="B12" s="88"/>
      <c r="C12" s="88"/>
    </row>
    <row r="13" spans="1:3" x14ac:dyDescent="0.25">
      <c r="A13" s="88">
        <v>34</v>
      </c>
      <c r="B13" s="88" t="s">
        <v>100</v>
      </c>
      <c r="C13" s="89">
        <f>HLOOKUP($B$6,'Syndicats comptes 2021'!$E$4:$AF$168,29,0)</f>
        <v>24306.44</v>
      </c>
    </row>
    <row r="14" spans="1:3" x14ac:dyDescent="0.25">
      <c r="A14" s="88">
        <v>44</v>
      </c>
      <c r="B14" s="88" t="s">
        <v>161</v>
      </c>
      <c r="C14" s="89">
        <f>HLOOKUP($B$6,'Syndicats comptes 2021'!$E$4:$AF$168,103,0)</f>
        <v>88.3</v>
      </c>
    </row>
    <row r="15" spans="1:3" x14ac:dyDescent="0.25">
      <c r="A15" s="88"/>
      <c r="B15" s="90" t="s">
        <v>237</v>
      </c>
      <c r="C15" s="91">
        <f>C14-C13</f>
        <v>-24218.14</v>
      </c>
    </row>
    <row r="16" spans="1:3" x14ac:dyDescent="0.25">
      <c r="A16" s="88"/>
      <c r="B16" s="88"/>
      <c r="C16" s="88"/>
    </row>
    <row r="17" spans="1:3" x14ac:dyDescent="0.25">
      <c r="A17" s="88"/>
      <c r="B17" s="90" t="s">
        <v>205</v>
      </c>
      <c r="C17" s="91">
        <f>C11+C15</f>
        <v>-1.0186340659856796E-10</v>
      </c>
    </row>
    <row r="18" spans="1:3" x14ac:dyDescent="0.25">
      <c r="A18" s="88"/>
      <c r="B18" s="88"/>
      <c r="C18" s="88"/>
    </row>
    <row r="19" spans="1:3" x14ac:dyDescent="0.25">
      <c r="A19" s="88">
        <v>38</v>
      </c>
      <c r="B19" s="88" t="s">
        <v>120</v>
      </c>
      <c r="C19" s="89">
        <f>HLOOKUP($B$6,'Syndicats comptes 2021'!$E$4:$AF$168,54,0)</f>
        <v>0</v>
      </c>
    </row>
    <row r="20" spans="1:3" x14ac:dyDescent="0.25">
      <c r="A20" s="88">
        <v>48</v>
      </c>
      <c r="B20" s="88" t="s">
        <v>180</v>
      </c>
      <c r="C20" s="89">
        <f>HLOOKUP($B$6,'Syndicats comptes 2021'!$E$4:$AF$168,129,0)</f>
        <v>0</v>
      </c>
    </row>
    <row r="21" spans="1:3" x14ac:dyDescent="0.25">
      <c r="A21" s="88"/>
      <c r="B21" s="90" t="s">
        <v>206</v>
      </c>
      <c r="C21" s="91">
        <f>C20-C19</f>
        <v>0</v>
      </c>
    </row>
    <row r="22" spans="1:3" x14ac:dyDescent="0.25">
      <c r="A22" s="88"/>
      <c r="B22" s="88"/>
      <c r="C22" s="88"/>
    </row>
    <row r="23" spans="1:3" x14ac:dyDescent="0.25">
      <c r="A23" s="88"/>
      <c r="B23" s="90" t="s">
        <v>207</v>
      </c>
      <c r="C23" s="91">
        <f>C17+C21</f>
        <v>-1.0186340659856796E-10</v>
      </c>
    </row>
    <row r="26" spans="1:3" x14ac:dyDescent="0.25">
      <c r="C26" s="15"/>
    </row>
    <row r="27" spans="1:3" x14ac:dyDescent="0.25">
      <c r="C27" s="12"/>
    </row>
    <row r="28" spans="1:3" x14ac:dyDescent="0.25">
      <c r="C28" s="15"/>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800-000000000000}">
          <x14:formula1>
            <xm:f>'Syndicats comptes 2021'!$E$4:$AF$4</xm:f>
          </x14:formula1>
          <xm:sqref>B6</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FF0000"/>
  </sheetPr>
  <dimension ref="A2:AH228"/>
  <sheetViews>
    <sheetView zoomScale="90" zoomScaleNormal="90" workbookViewId="0">
      <pane xSplit="5" ySplit="4" topLeftCell="AB197" activePane="bottomRight" state="frozen"/>
      <selection pane="topRight" activeCell="F1" sqref="F1"/>
      <selection pane="bottomLeft" activeCell="A4" sqref="A4"/>
      <selection pane="bottomRight" activeCell="AB219" sqref="AB219"/>
    </sheetView>
  </sheetViews>
  <sheetFormatPr baseColWidth="10" defaultColWidth="11.44140625" defaultRowHeight="13.8" x14ac:dyDescent="0.25"/>
  <cols>
    <col min="1" max="3" width="4.6640625" style="7" customWidth="1"/>
    <col min="4" max="4" width="9" style="7" customWidth="1"/>
    <col min="5" max="5" width="63.5546875" style="7" customWidth="1"/>
    <col min="6" max="33" width="16.33203125" style="7" customWidth="1"/>
    <col min="34" max="16384" width="11.44140625" style="7"/>
  </cols>
  <sheetData>
    <row r="2" spans="1:34" ht="21" x14ac:dyDescent="0.4">
      <c r="A2" s="79" t="s">
        <v>824</v>
      </c>
      <c r="B2" s="6"/>
      <c r="C2" s="6"/>
      <c r="D2" s="6"/>
      <c r="E2" s="6"/>
    </row>
    <row r="3" spans="1:34" ht="17.399999999999999" x14ac:dyDescent="0.3">
      <c r="A3" s="136" t="s">
        <v>732</v>
      </c>
      <c r="F3" s="8">
        <v>1</v>
      </c>
      <c r="G3" s="8">
        <v>2</v>
      </c>
      <c r="H3" s="8">
        <v>3</v>
      </c>
      <c r="I3" s="8">
        <v>4</v>
      </c>
      <c r="J3" s="8">
        <v>5</v>
      </c>
      <c r="K3" s="8">
        <v>6</v>
      </c>
      <c r="L3" s="8">
        <v>7</v>
      </c>
      <c r="M3" s="8">
        <v>8</v>
      </c>
      <c r="N3" s="8">
        <v>9</v>
      </c>
      <c r="O3" s="8">
        <v>10</v>
      </c>
      <c r="P3" s="8">
        <v>11</v>
      </c>
      <c r="Q3" s="8">
        <v>12</v>
      </c>
      <c r="R3" s="8">
        <v>13</v>
      </c>
      <c r="S3" s="8"/>
      <c r="T3" s="8"/>
      <c r="U3" s="8"/>
      <c r="V3" s="8"/>
      <c r="W3" s="8"/>
      <c r="X3" s="8"/>
      <c r="Y3" s="8"/>
      <c r="Z3" s="8"/>
      <c r="AA3" s="8"/>
      <c r="AB3" s="8"/>
      <c r="AC3" s="8"/>
      <c r="AD3" s="8"/>
      <c r="AE3" s="8"/>
      <c r="AF3" s="8"/>
      <c r="AG3" s="8">
        <f>SUM(F3:AF3)</f>
        <v>91</v>
      </c>
    </row>
    <row r="4" spans="1:34" x14ac:dyDescent="0.25">
      <c r="F4" s="81" t="s">
        <v>786</v>
      </c>
      <c r="G4" s="81" t="s">
        <v>787</v>
      </c>
      <c r="H4" s="81" t="s">
        <v>788</v>
      </c>
      <c r="I4" s="81" t="s">
        <v>789</v>
      </c>
      <c r="J4" s="81" t="s">
        <v>790</v>
      </c>
      <c r="K4" s="81" t="s">
        <v>791</v>
      </c>
      <c r="L4" s="81" t="s">
        <v>792</v>
      </c>
      <c r="M4" s="81" t="s">
        <v>815</v>
      </c>
      <c r="N4" s="81" t="s">
        <v>793</v>
      </c>
      <c r="O4" s="81" t="s">
        <v>794</v>
      </c>
      <c r="P4" s="81" t="s">
        <v>795</v>
      </c>
      <c r="Q4" s="81" t="s">
        <v>796</v>
      </c>
      <c r="R4" s="81" t="s">
        <v>797</v>
      </c>
      <c r="S4" s="81" t="s">
        <v>798</v>
      </c>
      <c r="T4" s="81" t="s">
        <v>799</v>
      </c>
      <c r="U4" s="81" t="s">
        <v>800</v>
      </c>
      <c r="V4" s="81" t="s">
        <v>801</v>
      </c>
      <c r="W4" s="81" t="s">
        <v>802</v>
      </c>
      <c r="X4" s="81" t="s">
        <v>803</v>
      </c>
      <c r="Y4" s="81" t="s">
        <v>804</v>
      </c>
      <c r="Z4" s="81" t="s">
        <v>805</v>
      </c>
      <c r="AA4" s="81" t="s">
        <v>806</v>
      </c>
      <c r="AB4" s="81" t="s">
        <v>807</v>
      </c>
      <c r="AC4" s="81" t="s">
        <v>808</v>
      </c>
      <c r="AD4" s="81" t="s">
        <v>809</v>
      </c>
      <c r="AE4" s="81" t="s">
        <v>810</v>
      </c>
      <c r="AF4" s="81" t="s">
        <v>811</v>
      </c>
      <c r="AG4" s="81" t="s">
        <v>65</v>
      </c>
      <c r="AH4" s="7">
        <v>1</v>
      </c>
    </row>
    <row r="5" spans="1:34" ht="21" x14ac:dyDescent="0.4">
      <c r="A5" s="102">
        <v>1</v>
      </c>
      <c r="B5" s="102"/>
      <c r="C5" s="102"/>
      <c r="D5" s="102"/>
      <c r="E5" s="102" t="s">
        <v>238</v>
      </c>
      <c r="F5" s="103">
        <f>F7+F15+F25+F31+F41+F48+F54+F62+F69+F80+F86+F97+F108</f>
        <v>2850281.72</v>
      </c>
      <c r="G5" s="103">
        <f t="shared" ref="G5:AF5" si="0">G7+G15+G25+G31+G41+G48+G54+G62+G69+G80+G86+G97+G108</f>
        <v>68215309.879999995</v>
      </c>
      <c r="H5" s="103">
        <f t="shared" si="0"/>
        <v>237308.6</v>
      </c>
      <c r="I5" s="103">
        <f t="shared" si="0"/>
        <v>12676809.619999999</v>
      </c>
      <c r="J5" s="103">
        <f t="shared" si="0"/>
        <v>0</v>
      </c>
      <c r="K5" s="103">
        <f t="shared" si="0"/>
        <v>3574739.3</v>
      </c>
      <c r="L5" s="103">
        <f t="shared" si="0"/>
        <v>917605.83000000007</v>
      </c>
      <c r="M5" s="103">
        <f t="shared" si="0"/>
        <v>5224648.4799999995</v>
      </c>
      <c r="N5" s="103">
        <f t="shared" si="0"/>
        <v>106191.56</v>
      </c>
      <c r="O5" s="103">
        <f t="shared" si="0"/>
        <v>149710.46</v>
      </c>
      <c r="P5" s="103">
        <f t="shared" si="0"/>
        <v>14901863.089999998</v>
      </c>
      <c r="Q5" s="103">
        <f t="shared" si="0"/>
        <v>82445.78</v>
      </c>
      <c r="R5" s="103">
        <f t="shared" si="0"/>
        <v>31437.19</v>
      </c>
      <c r="S5" s="103">
        <f t="shared" si="0"/>
        <v>44908.02</v>
      </c>
      <c r="T5" s="103">
        <f t="shared" si="0"/>
        <v>0</v>
      </c>
      <c r="U5" s="103">
        <f t="shared" si="0"/>
        <v>0</v>
      </c>
      <c r="V5" s="103">
        <f t="shared" si="0"/>
        <v>0</v>
      </c>
      <c r="W5" s="103">
        <f t="shared" si="0"/>
        <v>1370270.22</v>
      </c>
      <c r="X5" s="103">
        <f t="shared" si="0"/>
        <v>0</v>
      </c>
      <c r="Y5" s="103">
        <f t="shared" si="0"/>
        <v>3631934.16</v>
      </c>
      <c r="Z5" s="103">
        <f t="shared" si="0"/>
        <v>24833608.269999996</v>
      </c>
      <c r="AA5" s="103">
        <f t="shared" si="0"/>
        <v>2230784.61</v>
      </c>
      <c r="AB5" s="103">
        <f t="shared" si="0"/>
        <v>6061166.0599999996</v>
      </c>
      <c r="AC5" s="103">
        <f t="shared" si="0"/>
        <v>349120.01</v>
      </c>
      <c r="AD5" s="103">
        <f t="shared" si="0"/>
        <v>0</v>
      </c>
      <c r="AE5" s="103">
        <f t="shared" si="0"/>
        <v>8438276.0800000001</v>
      </c>
      <c r="AF5" s="103">
        <f t="shared" si="0"/>
        <v>817996.3</v>
      </c>
      <c r="AG5" s="103">
        <f t="shared" ref="AG5:AG13" si="1">SUM(F5:AF5)</f>
        <v>156746415.24000001</v>
      </c>
      <c r="AH5" s="7">
        <v>2</v>
      </c>
    </row>
    <row r="6" spans="1:34" x14ac:dyDescent="0.25">
      <c r="A6" s="6"/>
      <c r="B6" s="104">
        <v>10</v>
      </c>
      <c r="C6" s="104"/>
      <c r="D6" s="104"/>
      <c r="E6" s="104" t="s">
        <v>239</v>
      </c>
      <c r="F6" s="105">
        <f>F7+F15+F25+F31+F41+F48+F54+F62</f>
        <v>242513.35</v>
      </c>
      <c r="G6" s="105">
        <f t="shared" ref="G6:AF6" si="2">G7+G15+G25+G31+G41+G48+G54+G62</f>
        <v>3350374.54</v>
      </c>
      <c r="H6" s="105">
        <f t="shared" si="2"/>
        <v>237306.6</v>
      </c>
      <c r="I6" s="105">
        <f t="shared" si="2"/>
        <v>9725657.9199999999</v>
      </c>
      <c r="J6" s="105">
        <f t="shared" si="2"/>
        <v>0</v>
      </c>
      <c r="K6" s="105">
        <f t="shared" si="2"/>
        <v>208880.24</v>
      </c>
      <c r="L6" s="105">
        <f t="shared" si="2"/>
        <v>470335.83</v>
      </c>
      <c r="M6" s="105">
        <f t="shared" si="2"/>
        <v>1469114.96</v>
      </c>
      <c r="N6" s="105">
        <f t="shared" si="2"/>
        <v>106191.56</v>
      </c>
      <c r="O6" s="105">
        <f t="shared" si="2"/>
        <v>149710.46</v>
      </c>
      <c r="P6" s="105">
        <f t="shared" si="2"/>
        <v>9504041.7899999991</v>
      </c>
      <c r="Q6" s="105">
        <f t="shared" si="2"/>
        <v>41148.58</v>
      </c>
      <c r="R6" s="105">
        <f t="shared" si="2"/>
        <v>6637.19</v>
      </c>
      <c r="S6" s="105">
        <f t="shared" si="2"/>
        <v>42708.02</v>
      </c>
      <c r="T6" s="105">
        <f t="shared" si="2"/>
        <v>0</v>
      </c>
      <c r="U6" s="105">
        <f t="shared" si="2"/>
        <v>0</v>
      </c>
      <c r="V6" s="105">
        <f t="shared" si="2"/>
        <v>0</v>
      </c>
      <c r="W6" s="105">
        <f t="shared" si="2"/>
        <v>15235.58</v>
      </c>
      <c r="X6" s="105">
        <f t="shared" si="2"/>
        <v>0</v>
      </c>
      <c r="Y6" s="105">
        <f t="shared" si="2"/>
        <v>3061072.16</v>
      </c>
      <c r="Z6" s="105">
        <f t="shared" si="2"/>
        <v>2691321.33</v>
      </c>
      <c r="AA6" s="105">
        <f t="shared" si="2"/>
        <v>449280.11</v>
      </c>
      <c r="AB6" s="105">
        <f t="shared" si="2"/>
        <v>3378690.4199999995</v>
      </c>
      <c r="AC6" s="105">
        <f t="shared" si="2"/>
        <v>349120.01</v>
      </c>
      <c r="AD6" s="105">
        <f t="shared" si="2"/>
        <v>0</v>
      </c>
      <c r="AE6" s="105">
        <f t="shared" si="2"/>
        <v>643247.32999999996</v>
      </c>
      <c r="AF6" s="105">
        <f t="shared" si="2"/>
        <v>813679.3</v>
      </c>
      <c r="AG6" s="105">
        <f t="shared" si="1"/>
        <v>36956267.279999994</v>
      </c>
      <c r="AH6" s="7">
        <v>3</v>
      </c>
    </row>
    <row r="7" spans="1:34" x14ac:dyDescent="0.25">
      <c r="C7" s="76">
        <v>100</v>
      </c>
      <c r="D7" s="76"/>
      <c r="E7" s="76" t="s">
        <v>240</v>
      </c>
      <c r="F7" s="96">
        <f>F8+F9+F10+F11+F12+F13</f>
        <v>197118.75</v>
      </c>
      <c r="G7" s="96">
        <f t="shared" ref="G7:AF7" si="3">G8+G9+G10+G11+G12+G13</f>
        <v>1112963.2</v>
      </c>
      <c r="H7" s="96">
        <f t="shared" si="3"/>
        <v>236556.6</v>
      </c>
      <c r="I7" s="96">
        <f t="shared" si="3"/>
        <v>7069148.4100000001</v>
      </c>
      <c r="J7" s="96">
        <f t="shared" si="3"/>
        <v>0</v>
      </c>
      <c r="K7" s="96">
        <f t="shared" si="3"/>
        <v>197031.79</v>
      </c>
      <c r="L7" s="96">
        <f t="shared" si="3"/>
        <v>83034.570000000007</v>
      </c>
      <c r="M7" s="96">
        <f t="shared" si="3"/>
        <v>1385841.96</v>
      </c>
      <c r="N7" s="96">
        <f t="shared" si="3"/>
        <v>42197.31</v>
      </c>
      <c r="O7" s="96">
        <f t="shared" si="3"/>
        <v>69070.23</v>
      </c>
      <c r="P7" s="96">
        <f t="shared" si="3"/>
        <v>3219802.49</v>
      </c>
      <c r="Q7" s="96">
        <f t="shared" si="3"/>
        <v>20329.079999999998</v>
      </c>
      <c r="R7" s="96">
        <f t="shared" si="3"/>
        <v>1716.24</v>
      </c>
      <c r="S7" s="96">
        <f t="shared" si="3"/>
        <v>40057.119999999995</v>
      </c>
      <c r="T7" s="96">
        <f t="shared" si="3"/>
        <v>0</v>
      </c>
      <c r="U7" s="96">
        <f t="shared" si="3"/>
        <v>0</v>
      </c>
      <c r="V7" s="96">
        <f t="shared" si="3"/>
        <v>0</v>
      </c>
      <c r="W7" s="96">
        <f t="shared" si="3"/>
        <v>0</v>
      </c>
      <c r="X7" s="96">
        <f t="shared" si="3"/>
        <v>0</v>
      </c>
      <c r="Y7" s="96">
        <f t="shared" si="3"/>
        <v>2205378.38</v>
      </c>
      <c r="Z7" s="96">
        <f t="shared" si="3"/>
        <v>1629095.26</v>
      </c>
      <c r="AA7" s="96">
        <f t="shared" si="3"/>
        <v>304397.27</v>
      </c>
      <c r="AB7" s="96">
        <f t="shared" si="3"/>
        <v>3283899.32</v>
      </c>
      <c r="AC7" s="96">
        <f t="shared" si="3"/>
        <v>348278.56</v>
      </c>
      <c r="AD7" s="96">
        <f t="shared" si="3"/>
        <v>0</v>
      </c>
      <c r="AE7" s="96">
        <f t="shared" si="3"/>
        <v>314393.27999999997</v>
      </c>
      <c r="AF7" s="96">
        <f t="shared" si="3"/>
        <v>563663.05000000005</v>
      </c>
      <c r="AG7" s="96">
        <f t="shared" si="1"/>
        <v>22323972.870000005</v>
      </c>
      <c r="AH7" s="7">
        <v>4</v>
      </c>
    </row>
    <row r="8" spans="1:34" x14ac:dyDescent="0.25">
      <c r="D8" s="7">
        <v>1000</v>
      </c>
      <c r="E8" s="7" t="s">
        <v>310</v>
      </c>
      <c r="F8" s="12">
        <v>0</v>
      </c>
      <c r="G8" s="12">
        <v>50.95</v>
      </c>
      <c r="H8" s="12">
        <v>0</v>
      </c>
      <c r="I8" s="12">
        <v>1967.7</v>
      </c>
      <c r="J8" s="12"/>
      <c r="K8" s="12">
        <v>1022.5</v>
      </c>
      <c r="L8" s="12">
        <v>634.79999999999995</v>
      </c>
      <c r="M8" s="12">
        <v>0</v>
      </c>
      <c r="N8" s="12">
        <v>723.95</v>
      </c>
      <c r="O8" s="12">
        <v>0</v>
      </c>
      <c r="P8" s="12">
        <v>13.9</v>
      </c>
      <c r="Q8" s="12">
        <v>20</v>
      </c>
      <c r="R8" s="12">
        <v>0</v>
      </c>
      <c r="S8" s="12">
        <v>7.95</v>
      </c>
      <c r="T8" s="12"/>
      <c r="U8" s="12"/>
      <c r="V8" s="12"/>
      <c r="W8" s="12">
        <v>0</v>
      </c>
      <c r="X8" s="12"/>
      <c r="Y8" s="12">
        <v>0</v>
      </c>
      <c r="Z8" s="12">
        <v>6362.61</v>
      </c>
      <c r="AA8" s="12">
        <v>583.20000000000005</v>
      </c>
      <c r="AB8" s="12">
        <v>0</v>
      </c>
      <c r="AC8" s="12">
        <v>166.2</v>
      </c>
      <c r="AD8" s="12"/>
      <c r="AE8" s="12">
        <v>1080.7</v>
      </c>
      <c r="AF8" s="12">
        <v>105</v>
      </c>
      <c r="AG8" s="75">
        <f t="shared" si="1"/>
        <v>12739.460000000001</v>
      </c>
      <c r="AH8" s="7">
        <v>5</v>
      </c>
    </row>
    <row r="9" spans="1:34" x14ac:dyDescent="0.25">
      <c r="D9" s="7">
        <v>1001</v>
      </c>
      <c r="E9" s="7" t="s">
        <v>311</v>
      </c>
      <c r="F9" s="12">
        <v>0</v>
      </c>
      <c r="G9" s="12">
        <v>0</v>
      </c>
      <c r="H9" s="12">
        <v>0</v>
      </c>
      <c r="I9" s="12">
        <v>245431.26</v>
      </c>
      <c r="J9" s="12"/>
      <c r="K9" s="12">
        <v>400</v>
      </c>
      <c r="L9" s="12">
        <v>8011.02</v>
      </c>
      <c r="M9" s="12">
        <v>0</v>
      </c>
      <c r="N9" s="12">
        <v>0</v>
      </c>
      <c r="O9" s="12">
        <v>0</v>
      </c>
      <c r="P9" s="12">
        <v>583751.01</v>
      </c>
      <c r="Q9" s="12">
        <v>21472.55</v>
      </c>
      <c r="R9" s="12">
        <v>0</v>
      </c>
      <c r="S9" s="12">
        <v>33238.42</v>
      </c>
      <c r="T9" s="12"/>
      <c r="U9" s="12"/>
      <c r="V9" s="12"/>
      <c r="W9" s="12">
        <v>0</v>
      </c>
      <c r="X9" s="12"/>
      <c r="Y9" s="12">
        <v>5028.21</v>
      </c>
      <c r="Z9" s="12">
        <v>43640</v>
      </c>
      <c r="AA9" s="12">
        <v>0</v>
      </c>
      <c r="AB9" s="12">
        <v>0</v>
      </c>
      <c r="AC9" s="12">
        <v>0</v>
      </c>
      <c r="AD9" s="12"/>
      <c r="AE9" s="12">
        <v>130193.11</v>
      </c>
      <c r="AF9" s="12">
        <v>0</v>
      </c>
      <c r="AG9" s="75">
        <f t="shared" si="1"/>
        <v>1071165.58</v>
      </c>
      <c r="AH9" s="7">
        <v>6</v>
      </c>
    </row>
    <row r="10" spans="1:34" x14ac:dyDescent="0.25">
      <c r="D10" s="7">
        <v>1002</v>
      </c>
      <c r="E10" s="7" t="s">
        <v>319</v>
      </c>
      <c r="F10" s="12">
        <v>197118.75</v>
      </c>
      <c r="G10" s="12">
        <v>1112912.25</v>
      </c>
      <c r="H10" s="12">
        <v>236556.6</v>
      </c>
      <c r="I10" s="12">
        <v>6821749.4500000002</v>
      </c>
      <c r="J10" s="12"/>
      <c r="K10" s="12">
        <v>195609.29</v>
      </c>
      <c r="L10" s="12">
        <v>74388.75</v>
      </c>
      <c r="M10" s="12">
        <v>1385841.96</v>
      </c>
      <c r="N10" s="12">
        <v>41473.360000000001</v>
      </c>
      <c r="O10" s="12">
        <v>69070.23</v>
      </c>
      <c r="P10" s="12">
        <v>2636037.58</v>
      </c>
      <c r="Q10" s="12">
        <v>-1163.47</v>
      </c>
      <c r="R10" s="12">
        <v>1716.24</v>
      </c>
      <c r="S10" s="12">
        <v>6810.75</v>
      </c>
      <c r="T10" s="12"/>
      <c r="U10" s="12"/>
      <c r="V10" s="12"/>
      <c r="W10" s="12">
        <v>0</v>
      </c>
      <c r="X10" s="12"/>
      <c r="Y10" s="12">
        <v>2200350.17</v>
      </c>
      <c r="Z10" s="12">
        <v>1579092.65</v>
      </c>
      <c r="AA10" s="12">
        <v>303814.07</v>
      </c>
      <c r="AB10" s="12">
        <v>3283899.32</v>
      </c>
      <c r="AC10" s="12">
        <v>348112.36</v>
      </c>
      <c r="AD10" s="12"/>
      <c r="AE10" s="12">
        <v>158609.92000000001</v>
      </c>
      <c r="AF10" s="12">
        <v>563558.05000000005</v>
      </c>
      <c r="AG10" s="75">
        <f t="shared" si="1"/>
        <v>21215558.280000001</v>
      </c>
      <c r="AH10" s="7">
        <v>7</v>
      </c>
    </row>
    <row r="11" spans="1:34" x14ac:dyDescent="0.25">
      <c r="D11" s="7">
        <v>1003</v>
      </c>
      <c r="E11" s="7" t="s">
        <v>312</v>
      </c>
      <c r="F11" s="12">
        <v>0</v>
      </c>
      <c r="G11" s="12">
        <v>0</v>
      </c>
      <c r="H11" s="12">
        <v>0</v>
      </c>
      <c r="I11" s="12">
        <v>0</v>
      </c>
      <c r="J11" s="12"/>
      <c r="K11" s="12">
        <v>0</v>
      </c>
      <c r="L11" s="12">
        <v>0</v>
      </c>
      <c r="M11" s="12">
        <v>0</v>
      </c>
      <c r="N11" s="12">
        <v>0</v>
      </c>
      <c r="O11" s="12">
        <v>0</v>
      </c>
      <c r="P11" s="12">
        <v>0</v>
      </c>
      <c r="Q11" s="12">
        <v>0</v>
      </c>
      <c r="R11" s="12">
        <v>0</v>
      </c>
      <c r="S11" s="12">
        <v>0</v>
      </c>
      <c r="T11" s="12"/>
      <c r="U11" s="12"/>
      <c r="V11" s="12"/>
      <c r="W11" s="12">
        <v>0</v>
      </c>
      <c r="X11" s="12"/>
      <c r="Y11" s="12">
        <v>0</v>
      </c>
      <c r="Z11" s="12">
        <v>0</v>
      </c>
      <c r="AA11" s="12">
        <v>0</v>
      </c>
      <c r="AB11" s="12">
        <v>0</v>
      </c>
      <c r="AC11" s="12">
        <v>0</v>
      </c>
      <c r="AD11" s="12"/>
      <c r="AE11" s="12">
        <v>24509.55</v>
      </c>
      <c r="AF11" s="12">
        <v>0</v>
      </c>
      <c r="AG11" s="75">
        <f t="shared" si="1"/>
        <v>24509.55</v>
      </c>
      <c r="AH11" s="7">
        <v>8</v>
      </c>
    </row>
    <row r="12" spans="1:34" x14ac:dyDescent="0.25">
      <c r="D12" s="7">
        <v>1004</v>
      </c>
      <c r="E12" s="7" t="s">
        <v>313</v>
      </c>
      <c r="F12" s="12">
        <v>0</v>
      </c>
      <c r="G12" s="12">
        <v>0</v>
      </c>
      <c r="H12" s="12">
        <v>0</v>
      </c>
      <c r="I12" s="12">
        <v>0</v>
      </c>
      <c r="J12" s="12"/>
      <c r="K12" s="12">
        <v>0</v>
      </c>
      <c r="L12" s="12">
        <v>0</v>
      </c>
      <c r="M12" s="12">
        <v>0</v>
      </c>
      <c r="N12" s="12">
        <v>0</v>
      </c>
      <c r="O12" s="12">
        <v>0</v>
      </c>
      <c r="P12" s="12">
        <v>0</v>
      </c>
      <c r="Q12" s="12">
        <v>0</v>
      </c>
      <c r="R12" s="12">
        <v>0</v>
      </c>
      <c r="S12" s="12">
        <v>0</v>
      </c>
      <c r="T12" s="12"/>
      <c r="U12" s="12"/>
      <c r="V12" s="12"/>
      <c r="W12" s="12">
        <v>0</v>
      </c>
      <c r="X12" s="12"/>
      <c r="Y12" s="12">
        <v>0</v>
      </c>
      <c r="Z12" s="12">
        <v>0</v>
      </c>
      <c r="AA12" s="12">
        <v>0</v>
      </c>
      <c r="AB12" s="12">
        <v>0</v>
      </c>
      <c r="AC12" s="12">
        <v>0</v>
      </c>
      <c r="AD12" s="12"/>
      <c r="AE12" s="12">
        <v>0</v>
      </c>
      <c r="AF12" s="12">
        <v>0</v>
      </c>
      <c r="AG12" s="75">
        <f t="shared" si="1"/>
        <v>0</v>
      </c>
      <c r="AH12" s="7">
        <v>9</v>
      </c>
    </row>
    <row r="13" spans="1:34" x14ac:dyDescent="0.25">
      <c r="D13" s="7">
        <v>1009</v>
      </c>
      <c r="E13" s="7" t="s">
        <v>314</v>
      </c>
      <c r="F13" s="12">
        <v>0</v>
      </c>
      <c r="G13" s="12">
        <v>0</v>
      </c>
      <c r="H13" s="12">
        <v>0</v>
      </c>
      <c r="I13" s="12">
        <v>0</v>
      </c>
      <c r="J13" s="12"/>
      <c r="K13" s="12">
        <v>0</v>
      </c>
      <c r="L13" s="12">
        <v>0</v>
      </c>
      <c r="M13" s="12">
        <v>0</v>
      </c>
      <c r="N13" s="12">
        <v>0</v>
      </c>
      <c r="O13" s="12">
        <v>0</v>
      </c>
      <c r="P13" s="12">
        <v>0</v>
      </c>
      <c r="Q13" s="12">
        <v>0</v>
      </c>
      <c r="R13" s="12">
        <v>0</v>
      </c>
      <c r="S13" s="12">
        <v>0</v>
      </c>
      <c r="T13" s="12"/>
      <c r="U13" s="12"/>
      <c r="V13" s="12"/>
      <c r="W13" s="12">
        <v>0</v>
      </c>
      <c r="X13" s="12"/>
      <c r="Y13" s="12">
        <v>0</v>
      </c>
      <c r="Z13" s="12">
        <v>0</v>
      </c>
      <c r="AA13" s="12">
        <v>0</v>
      </c>
      <c r="AB13" s="12">
        <v>0</v>
      </c>
      <c r="AC13" s="12">
        <v>0</v>
      </c>
      <c r="AD13" s="12"/>
      <c r="AE13" s="12">
        <v>0</v>
      </c>
      <c r="AF13" s="12">
        <v>0</v>
      </c>
      <c r="AG13" s="75">
        <f t="shared" si="1"/>
        <v>0</v>
      </c>
      <c r="AH13" s="7">
        <v>10</v>
      </c>
    </row>
    <row r="14" spans="1:34" x14ac:dyDescent="0.25">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75"/>
      <c r="AH14" s="7">
        <v>11</v>
      </c>
    </row>
    <row r="15" spans="1:34" x14ac:dyDescent="0.25">
      <c r="C15" s="76">
        <v>101</v>
      </c>
      <c r="D15" s="76"/>
      <c r="E15" s="76" t="s">
        <v>241</v>
      </c>
      <c r="F15" s="96">
        <f>F16+F17+F18+F19+F20+F21+F22+F23</f>
        <v>0</v>
      </c>
      <c r="G15" s="96">
        <f t="shared" ref="G15:AF15" si="4">G16+G17+G18+G19+G20+G21+G22+G23</f>
        <v>133075.70000000001</v>
      </c>
      <c r="H15" s="96">
        <f t="shared" si="4"/>
        <v>750</v>
      </c>
      <c r="I15" s="96">
        <f t="shared" si="4"/>
        <v>1736187.06</v>
      </c>
      <c r="J15" s="96">
        <f t="shared" si="4"/>
        <v>0</v>
      </c>
      <c r="K15" s="96">
        <f t="shared" si="4"/>
        <v>0.4</v>
      </c>
      <c r="L15" s="96">
        <f t="shared" si="4"/>
        <v>0.01</v>
      </c>
      <c r="M15" s="96">
        <f t="shared" si="4"/>
        <v>83273</v>
      </c>
      <c r="N15" s="96">
        <f t="shared" si="4"/>
        <v>0</v>
      </c>
      <c r="O15" s="96">
        <f t="shared" si="4"/>
        <v>80640.23</v>
      </c>
      <c r="P15" s="96">
        <f t="shared" si="4"/>
        <v>283966.8</v>
      </c>
      <c r="Q15" s="96">
        <f t="shared" si="4"/>
        <v>20819.5</v>
      </c>
      <c r="R15" s="96">
        <f t="shared" si="4"/>
        <v>4920.95</v>
      </c>
      <c r="S15" s="96">
        <f t="shared" si="4"/>
        <v>1800</v>
      </c>
      <c r="T15" s="96">
        <f t="shared" si="4"/>
        <v>0</v>
      </c>
      <c r="U15" s="96">
        <f t="shared" si="4"/>
        <v>0</v>
      </c>
      <c r="V15" s="96">
        <f t="shared" si="4"/>
        <v>0</v>
      </c>
      <c r="W15" s="96">
        <f t="shared" si="4"/>
        <v>15235.58</v>
      </c>
      <c r="X15" s="96">
        <f t="shared" si="4"/>
        <v>0</v>
      </c>
      <c r="Y15" s="96">
        <f t="shared" si="4"/>
        <v>285726.43</v>
      </c>
      <c r="Z15" s="96">
        <f t="shared" si="4"/>
        <v>702303.58000000007</v>
      </c>
      <c r="AA15" s="96">
        <f t="shared" si="4"/>
        <v>1.75</v>
      </c>
      <c r="AB15" s="96">
        <f t="shared" si="4"/>
        <v>67751.549999999988</v>
      </c>
      <c r="AC15" s="96">
        <f t="shared" si="4"/>
        <v>0</v>
      </c>
      <c r="AD15" s="96">
        <f t="shared" si="4"/>
        <v>0</v>
      </c>
      <c r="AE15" s="96">
        <f t="shared" si="4"/>
        <v>261722.35</v>
      </c>
      <c r="AF15" s="96">
        <f t="shared" si="4"/>
        <v>150293.5</v>
      </c>
      <c r="AG15" s="96">
        <f t="shared" ref="AG15:AG23" si="5">SUM(F15:AF15)</f>
        <v>3828468.39</v>
      </c>
      <c r="AH15" s="7">
        <v>12</v>
      </c>
    </row>
    <row r="16" spans="1:34" x14ac:dyDescent="0.25">
      <c r="D16" s="7">
        <v>1010</v>
      </c>
      <c r="E16" s="7" t="s">
        <v>816</v>
      </c>
      <c r="F16" s="12">
        <v>0</v>
      </c>
      <c r="G16" s="12">
        <v>131500.70000000001</v>
      </c>
      <c r="H16" s="12">
        <v>750</v>
      </c>
      <c r="I16" s="12">
        <v>1736187.06</v>
      </c>
      <c r="J16" s="12"/>
      <c r="K16" s="12">
        <v>0</v>
      </c>
      <c r="L16" s="12">
        <v>0</v>
      </c>
      <c r="M16" s="12">
        <v>83217.899999999994</v>
      </c>
      <c r="N16" s="12">
        <v>0</v>
      </c>
      <c r="O16" s="12">
        <v>0</v>
      </c>
      <c r="P16" s="12">
        <v>283444.45</v>
      </c>
      <c r="Q16" s="12">
        <v>20819.5</v>
      </c>
      <c r="R16" s="12">
        <v>0</v>
      </c>
      <c r="S16" s="12">
        <v>1800</v>
      </c>
      <c r="T16" s="12"/>
      <c r="U16" s="12"/>
      <c r="V16" s="12"/>
      <c r="W16" s="12">
        <v>0</v>
      </c>
      <c r="X16" s="12"/>
      <c r="Y16" s="12">
        <v>285034.44</v>
      </c>
      <c r="Z16" s="12">
        <v>450001.27</v>
      </c>
      <c r="AA16" s="12">
        <v>0</v>
      </c>
      <c r="AB16" s="12">
        <v>47993.2</v>
      </c>
      <c r="AC16" s="12">
        <v>0</v>
      </c>
      <c r="AD16" s="12"/>
      <c r="AE16" s="12">
        <v>261722.35</v>
      </c>
      <c r="AF16" s="12">
        <v>150293.5</v>
      </c>
      <c r="AG16" s="75">
        <f t="shared" si="5"/>
        <v>3452764.37</v>
      </c>
      <c r="AH16" s="7">
        <v>13</v>
      </c>
    </row>
    <row r="17" spans="3:34" x14ac:dyDescent="0.25">
      <c r="D17" s="7">
        <v>1011</v>
      </c>
      <c r="E17" s="7" t="s">
        <v>396</v>
      </c>
      <c r="F17" s="12">
        <v>0</v>
      </c>
      <c r="G17" s="12">
        <v>0</v>
      </c>
      <c r="H17" s="12">
        <v>0</v>
      </c>
      <c r="I17" s="12">
        <v>0</v>
      </c>
      <c r="J17" s="12"/>
      <c r="K17" s="12">
        <v>0</v>
      </c>
      <c r="L17" s="12">
        <v>0</v>
      </c>
      <c r="M17" s="12">
        <v>0</v>
      </c>
      <c r="N17" s="12">
        <v>0</v>
      </c>
      <c r="O17" s="12">
        <v>80640.23</v>
      </c>
      <c r="P17" s="12">
        <v>0</v>
      </c>
      <c r="Q17" s="12">
        <v>0</v>
      </c>
      <c r="R17" s="12">
        <v>4920.95</v>
      </c>
      <c r="S17" s="12">
        <v>0</v>
      </c>
      <c r="T17" s="12"/>
      <c r="U17" s="12"/>
      <c r="V17" s="12"/>
      <c r="W17" s="12">
        <v>15235.58</v>
      </c>
      <c r="X17" s="12"/>
      <c r="Y17" s="12">
        <v>0</v>
      </c>
      <c r="Z17" s="12">
        <v>0</v>
      </c>
      <c r="AA17" s="12">
        <v>0</v>
      </c>
      <c r="AB17" s="12">
        <v>0</v>
      </c>
      <c r="AC17" s="12">
        <v>0</v>
      </c>
      <c r="AD17" s="12"/>
      <c r="AE17" s="12">
        <v>0</v>
      </c>
      <c r="AF17" s="12">
        <v>0</v>
      </c>
      <c r="AG17" s="75">
        <f t="shared" si="5"/>
        <v>100796.76</v>
      </c>
      <c r="AH17" s="7">
        <v>14</v>
      </c>
    </row>
    <row r="18" spans="3:34" x14ac:dyDescent="0.25">
      <c r="D18" s="7">
        <v>1012</v>
      </c>
      <c r="E18" s="7" t="s">
        <v>316</v>
      </c>
      <c r="F18" s="12">
        <v>0</v>
      </c>
      <c r="G18" s="12">
        <v>0</v>
      </c>
      <c r="H18" s="12">
        <v>0</v>
      </c>
      <c r="I18" s="12">
        <v>0</v>
      </c>
      <c r="J18" s="12"/>
      <c r="K18" s="12">
        <v>0</v>
      </c>
      <c r="L18" s="12">
        <v>0</v>
      </c>
      <c r="M18" s="12">
        <v>0</v>
      </c>
      <c r="N18" s="12">
        <v>0</v>
      </c>
      <c r="O18" s="12">
        <v>0</v>
      </c>
      <c r="P18" s="12">
        <v>0</v>
      </c>
      <c r="Q18" s="12">
        <v>0</v>
      </c>
      <c r="R18" s="12">
        <v>0</v>
      </c>
      <c r="S18" s="12">
        <v>0</v>
      </c>
      <c r="T18" s="12"/>
      <c r="U18" s="12"/>
      <c r="V18" s="12"/>
      <c r="W18" s="12">
        <v>0</v>
      </c>
      <c r="X18" s="12"/>
      <c r="Y18" s="12">
        <v>0</v>
      </c>
      <c r="Z18" s="12">
        <v>0</v>
      </c>
      <c r="AA18" s="12">
        <v>0</v>
      </c>
      <c r="AB18" s="12">
        <v>0</v>
      </c>
      <c r="AC18" s="12">
        <v>0</v>
      </c>
      <c r="AD18" s="12"/>
      <c r="AE18" s="12">
        <v>0</v>
      </c>
      <c r="AF18" s="12">
        <v>0</v>
      </c>
      <c r="AG18" s="75">
        <f t="shared" si="5"/>
        <v>0</v>
      </c>
      <c r="AH18" s="7">
        <v>15</v>
      </c>
    </row>
    <row r="19" spans="3:34" x14ac:dyDescent="0.25">
      <c r="D19" s="7">
        <v>1013</v>
      </c>
      <c r="E19" s="7" t="s">
        <v>317</v>
      </c>
      <c r="F19" s="12">
        <v>0</v>
      </c>
      <c r="G19" s="12">
        <v>0</v>
      </c>
      <c r="H19" s="12">
        <v>0</v>
      </c>
      <c r="I19" s="12">
        <v>0</v>
      </c>
      <c r="J19" s="12"/>
      <c r="K19" s="12">
        <v>0</v>
      </c>
      <c r="L19" s="12">
        <v>0</v>
      </c>
      <c r="M19" s="12">
        <v>0</v>
      </c>
      <c r="N19" s="12">
        <v>0</v>
      </c>
      <c r="O19" s="12">
        <v>0</v>
      </c>
      <c r="P19" s="12">
        <v>0</v>
      </c>
      <c r="Q19" s="12">
        <v>0</v>
      </c>
      <c r="R19" s="12">
        <v>0</v>
      </c>
      <c r="S19" s="12">
        <v>0</v>
      </c>
      <c r="T19" s="12"/>
      <c r="U19" s="12"/>
      <c r="V19" s="12"/>
      <c r="W19" s="12">
        <v>0</v>
      </c>
      <c r="X19" s="12"/>
      <c r="Y19" s="12">
        <v>0</v>
      </c>
      <c r="Z19" s="12">
        <v>274383.84000000003</v>
      </c>
      <c r="AA19" s="12">
        <v>0</v>
      </c>
      <c r="AB19" s="12">
        <v>0</v>
      </c>
      <c r="AC19" s="12">
        <v>0</v>
      </c>
      <c r="AD19" s="12"/>
      <c r="AE19" s="12">
        <v>0</v>
      </c>
      <c r="AF19" s="12">
        <v>0</v>
      </c>
      <c r="AG19" s="75">
        <f t="shared" si="5"/>
        <v>274383.84000000003</v>
      </c>
      <c r="AH19" s="7">
        <v>16</v>
      </c>
    </row>
    <row r="20" spans="3:34" x14ac:dyDescent="0.25">
      <c r="D20" s="7">
        <v>1014</v>
      </c>
      <c r="E20" s="7" t="s">
        <v>318</v>
      </c>
      <c r="F20" s="12">
        <v>0</v>
      </c>
      <c r="G20" s="12">
        <v>0</v>
      </c>
      <c r="H20" s="12">
        <v>0</v>
      </c>
      <c r="I20" s="12">
        <v>0</v>
      </c>
      <c r="J20" s="12"/>
      <c r="K20" s="12">
        <v>0</v>
      </c>
      <c r="L20" s="12">
        <v>0</v>
      </c>
      <c r="M20" s="12">
        <v>0</v>
      </c>
      <c r="N20" s="12">
        <v>0</v>
      </c>
      <c r="O20" s="12">
        <v>0</v>
      </c>
      <c r="P20" s="12">
        <v>0</v>
      </c>
      <c r="Q20" s="12">
        <v>0</v>
      </c>
      <c r="R20" s="12">
        <v>0</v>
      </c>
      <c r="S20" s="12">
        <v>0</v>
      </c>
      <c r="T20" s="12"/>
      <c r="U20" s="12"/>
      <c r="V20" s="12"/>
      <c r="W20" s="12">
        <v>0</v>
      </c>
      <c r="X20" s="12"/>
      <c r="Y20" s="12">
        <v>0</v>
      </c>
      <c r="Z20" s="12">
        <v>-22081.53</v>
      </c>
      <c r="AA20" s="12">
        <v>0</v>
      </c>
      <c r="AB20" s="12">
        <v>0</v>
      </c>
      <c r="AC20" s="12">
        <v>0</v>
      </c>
      <c r="AD20" s="12"/>
      <c r="AE20" s="12">
        <v>0</v>
      </c>
      <c r="AF20" s="12">
        <v>0</v>
      </c>
      <c r="AG20" s="75">
        <f t="shared" si="5"/>
        <v>-22081.53</v>
      </c>
      <c r="AH20" s="7">
        <v>17</v>
      </c>
    </row>
    <row r="21" spans="3:34" x14ac:dyDescent="0.25">
      <c r="D21" s="7">
        <v>1015</v>
      </c>
      <c r="E21" s="7" t="s">
        <v>320</v>
      </c>
      <c r="F21" s="12">
        <v>0</v>
      </c>
      <c r="G21" s="12">
        <v>0</v>
      </c>
      <c r="H21" s="12">
        <v>0</v>
      </c>
      <c r="I21" s="12">
        <v>0</v>
      </c>
      <c r="J21" s="12"/>
      <c r="K21" s="12">
        <v>0</v>
      </c>
      <c r="L21" s="12">
        <v>0</v>
      </c>
      <c r="M21" s="12">
        <v>0</v>
      </c>
      <c r="N21" s="12">
        <v>0</v>
      </c>
      <c r="O21" s="12">
        <v>0</v>
      </c>
      <c r="P21" s="12">
        <v>0</v>
      </c>
      <c r="Q21" s="12">
        <v>0</v>
      </c>
      <c r="R21" s="12">
        <v>0</v>
      </c>
      <c r="S21" s="12">
        <v>0</v>
      </c>
      <c r="T21" s="12"/>
      <c r="U21" s="12"/>
      <c r="V21" s="12"/>
      <c r="W21" s="12">
        <v>0</v>
      </c>
      <c r="X21" s="12"/>
      <c r="Y21" s="12">
        <v>0</v>
      </c>
      <c r="Z21" s="12">
        <v>0</v>
      </c>
      <c r="AA21" s="12">
        <v>0</v>
      </c>
      <c r="AB21" s="12">
        <v>0</v>
      </c>
      <c r="AC21" s="12">
        <v>0</v>
      </c>
      <c r="AD21" s="12"/>
      <c r="AE21" s="12">
        <v>0</v>
      </c>
      <c r="AF21" s="12">
        <v>0</v>
      </c>
      <c r="AG21" s="75">
        <f t="shared" si="5"/>
        <v>0</v>
      </c>
      <c r="AH21" s="7">
        <v>18</v>
      </c>
    </row>
    <row r="22" spans="3:34" x14ac:dyDescent="0.25">
      <c r="D22" s="7">
        <v>1016</v>
      </c>
      <c r="E22" s="7" t="s">
        <v>321</v>
      </c>
      <c r="F22" s="12">
        <v>0</v>
      </c>
      <c r="G22" s="12">
        <v>0</v>
      </c>
      <c r="H22" s="12">
        <v>0</v>
      </c>
      <c r="I22" s="12">
        <v>0</v>
      </c>
      <c r="J22" s="12"/>
      <c r="K22" s="12">
        <v>0</v>
      </c>
      <c r="L22" s="12">
        <v>0</v>
      </c>
      <c r="M22" s="12">
        <v>0</v>
      </c>
      <c r="N22" s="12">
        <v>0</v>
      </c>
      <c r="O22" s="12">
        <v>0</v>
      </c>
      <c r="P22" s="12">
        <v>0</v>
      </c>
      <c r="Q22" s="12">
        <v>0</v>
      </c>
      <c r="R22" s="12">
        <v>0</v>
      </c>
      <c r="S22" s="12">
        <v>0</v>
      </c>
      <c r="T22" s="12"/>
      <c r="U22" s="12"/>
      <c r="V22" s="12"/>
      <c r="W22" s="12">
        <v>0</v>
      </c>
      <c r="X22" s="12"/>
      <c r="Y22" s="12">
        <v>0</v>
      </c>
      <c r="Z22" s="12">
        <v>0</v>
      </c>
      <c r="AA22" s="12">
        <v>0</v>
      </c>
      <c r="AB22" s="12">
        <v>0</v>
      </c>
      <c r="AC22" s="12">
        <v>0</v>
      </c>
      <c r="AD22" s="12"/>
      <c r="AE22" s="12">
        <v>0</v>
      </c>
      <c r="AF22" s="12">
        <v>0</v>
      </c>
      <c r="AG22" s="75">
        <f t="shared" si="5"/>
        <v>0</v>
      </c>
      <c r="AH22" s="7">
        <v>19</v>
      </c>
    </row>
    <row r="23" spans="3:34" x14ac:dyDescent="0.25">
      <c r="D23" s="7">
        <v>1019</v>
      </c>
      <c r="E23" s="7" t="s">
        <v>322</v>
      </c>
      <c r="F23" s="12">
        <v>0</v>
      </c>
      <c r="G23" s="12">
        <v>1575</v>
      </c>
      <c r="H23" s="12">
        <v>0</v>
      </c>
      <c r="I23" s="12">
        <v>0</v>
      </c>
      <c r="J23" s="12"/>
      <c r="K23" s="12">
        <v>0.4</v>
      </c>
      <c r="L23" s="12">
        <v>0.01</v>
      </c>
      <c r="M23" s="12">
        <v>55.1</v>
      </c>
      <c r="N23" s="12">
        <v>0</v>
      </c>
      <c r="O23" s="12">
        <v>0</v>
      </c>
      <c r="P23" s="12">
        <v>522.35</v>
      </c>
      <c r="Q23" s="12">
        <v>0</v>
      </c>
      <c r="R23" s="12">
        <v>0</v>
      </c>
      <c r="S23" s="12">
        <v>0</v>
      </c>
      <c r="T23" s="12"/>
      <c r="U23" s="12"/>
      <c r="V23" s="12"/>
      <c r="W23" s="12">
        <v>0</v>
      </c>
      <c r="X23" s="12"/>
      <c r="Y23" s="12">
        <v>691.99</v>
      </c>
      <c r="Z23" s="12">
        <v>0</v>
      </c>
      <c r="AA23" s="12">
        <v>1.75</v>
      </c>
      <c r="AB23" s="12">
        <v>19758.349999999999</v>
      </c>
      <c r="AC23" s="12">
        <v>0</v>
      </c>
      <c r="AD23" s="12"/>
      <c r="AE23" s="12">
        <v>0</v>
      </c>
      <c r="AF23" s="12">
        <v>0</v>
      </c>
      <c r="AG23" s="75">
        <f t="shared" si="5"/>
        <v>22604.949999999997</v>
      </c>
      <c r="AH23" s="7">
        <v>20</v>
      </c>
    </row>
    <row r="24" spans="3:34" x14ac:dyDescent="0.25">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75"/>
      <c r="AH24" s="7">
        <v>21</v>
      </c>
    </row>
    <row r="25" spans="3:34" x14ac:dyDescent="0.25">
      <c r="C25" s="76">
        <v>102</v>
      </c>
      <c r="D25" s="76"/>
      <c r="E25" s="76" t="s">
        <v>242</v>
      </c>
      <c r="F25" s="96">
        <f>F26+F27+F28+F29</f>
        <v>0</v>
      </c>
      <c r="G25" s="96">
        <f t="shared" ref="G25:AF25" si="6">G26+G27+G28+G29</f>
        <v>0</v>
      </c>
      <c r="H25" s="96">
        <f t="shared" si="6"/>
        <v>0</v>
      </c>
      <c r="I25" s="96">
        <f t="shared" si="6"/>
        <v>0</v>
      </c>
      <c r="J25" s="96">
        <f>J26+J27+J28+J29</f>
        <v>0</v>
      </c>
      <c r="K25" s="96">
        <f t="shared" si="6"/>
        <v>0</v>
      </c>
      <c r="L25" s="96">
        <f t="shared" si="6"/>
        <v>0</v>
      </c>
      <c r="M25" s="96">
        <f t="shared" si="6"/>
        <v>0</v>
      </c>
      <c r="N25" s="96">
        <f t="shared" si="6"/>
        <v>0</v>
      </c>
      <c r="O25" s="96">
        <f t="shared" si="6"/>
        <v>0</v>
      </c>
      <c r="P25" s="96">
        <f t="shared" si="6"/>
        <v>0</v>
      </c>
      <c r="Q25" s="96">
        <f t="shared" si="6"/>
        <v>0</v>
      </c>
      <c r="R25" s="96">
        <f t="shared" si="6"/>
        <v>0</v>
      </c>
      <c r="S25" s="96">
        <f t="shared" si="6"/>
        <v>0</v>
      </c>
      <c r="T25" s="96">
        <f t="shared" si="6"/>
        <v>0</v>
      </c>
      <c r="U25" s="96">
        <f t="shared" si="6"/>
        <v>0</v>
      </c>
      <c r="V25" s="96">
        <f t="shared" si="6"/>
        <v>0</v>
      </c>
      <c r="W25" s="96">
        <f t="shared" si="6"/>
        <v>0</v>
      </c>
      <c r="X25" s="96">
        <f t="shared" si="6"/>
        <v>0</v>
      </c>
      <c r="Y25" s="96">
        <f t="shared" si="6"/>
        <v>282500</v>
      </c>
      <c r="Z25" s="96">
        <f t="shared" si="6"/>
        <v>0</v>
      </c>
      <c r="AA25" s="96">
        <f t="shared" si="6"/>
        <v>0</v>
      </c>
      <c r="AB25" s="96">
        <f t="shared" si="6"/>
        <v>0</v>
      </c>
      <c r="AC25" s="96">
        <f t="shared" si="6"/>
        <v>0</v>
      </c>
      <c r="AD25" s="96">
        <f t="shared" si="6"/>
        <v>0</v>
      </c>
      <c r="AE25" s="96">
        <f t="shared" si="6"/>
        <v>0</v>
      </c>
      <c r="AF25" s="96">
        <f t="shared" si="6"/>
        <v>0</v>
      </c>
      <c r="AG25" s="96">
        <f t="shared" ref="AG25:AG29" si="7">SUM(F25:AF25)</f>
        <v>282500</v>
      </c>
      <c r="AH25" s="7">
        <v>22</v>
      </c>
    </row>
    <row r="26" spans="3:34" x14ac:dyDescent="0.25">
      <c r="D26" s="7">
        <v>1020</v>
      </c>
      <c r="E26" s="7" t="s">
        <v>323</v>
      </c>
      <c r="F26" s="12">
        <v>0</v>
      </c>
      <c r="G26" s="12">
        <v>0</v>
      </c>
      <c r="H26" s="12">
        <v>0</v>
      </c>
      <c r="I26" s="12">
        <v>0</v>
      </c>
      <c r="J26" s="12"/>
      <c r="K26" s="12">
        <v>0</v>
      </c>
      <c r="L26" s="12">
        <v>0</v>
      </c>
      <c r="M26" s="12">
        <v>0</v>
      </c>
      <c r="N26" s="12">
        <v>0</v>
      </c>
      <c r="O26" s="12">
        <v>0</v>
      </c>
      <c r="P26" s="12">
        <v>0</v>
      </c>
      <c r="Q26" s="12">
        <v>0</v>
      </c>
      <c r="R26" s="12">
        <v>0</v>
      </c>
      <c r="S26" s="12">
        <v>0</v>
      </c>
      <c r="T26" s="12"/>
      <c r="U26" s="12"/>
      <c r="V26" s="12"/>
      <c r="W26" s="12">
        <v>0</v>
      </c>
      <c r="X26" s="12"/>
      <c r="Y26" s="12">
        <v>282500</v>
      </c>
      <c r="Z26" s="12">
        <v>0</v>
      </c>
      <c r="AA26" s="12">
        <v>0</v>
      </c>
      <c r="AB26" s="12">
        <v>0</v>
      </c>
      <c r="AC26" s="12">
        <v>0</v>
      </c>
      <c r="AD26" s="12"/>
      <c r="AE26" s="12">
        <v>0</v>
      </c>
      <c r="AF26" s="12">
        <v>0</v>
      </c>
      <c r="AG26" s="75">
        <f t="shared" si="7"/>
        <v>282500</v>
      </c>
      <c r="AH26" s="7">
        <v>23</v>
      </c>
    </row>
    <row r="27" spans="3:34" x14ac:dyDescent="0.25">
      <c r="D27" s="7">
        <v>1022</v>
      </c>
      <c r="E27" s="7" t="s">
        <v>324</v>
      </c>
      <c r="F27" s="12">
        <v>0</v>
      </c>
      <c r="G27" s="12">
        <v>0</v>
      </c>
      <c r="H27" s="12">
        <v>0</v>
      </c>
      <c r="I27" s="12">
        <v>0</v>
      </c>
      <c r="J27" s="12"/>
      <c r="K27" s="12">
        <v>0</v>
      </c>
      <c r="L27" s="12">
        <v>0</v>
      </c>
      <c r="M27" s="12">
        <v>0</v>
      </c>
      <c r="N27" s="12">
        <v>0</v>
      </c>
      <c r="O27" s="12">
        <v>0</v>
      </c>
      <c r="P27" s="12">
        <v>0</v>
      </c>
      <c r="Q27" s="12">
        <v>0</v>
      </c>
      <c r="R27" s="12">
        <v>0</v>
      </c>
      <c r="S27" s="12">
        <v>0</v>
      </c>
      <c r="T27" s="12"/>
      <c r="U27" s="12"/>
      <c r="V27" s="12"/>
      <c r="W27" s="12">
        <v>0</v>
      </c>
      <c r="X27" s="12"/>
      <c r="Y27" s="12">
        <v>0</v>
      </c>
      <c r="Z27" s="12">
        <v>0</v>
      </c>
      <c r="AA27" s="12">
        <v>0</v>
      </c>
      <c r="AB27" s="12">
        <v>0</v>
      </c>
      <c r="AC27" s="12">
        <v>0</v>
      </c>
      <c r="AD27" s="12"/>
      <c r="AE27" s="12">
        <v>0</v>
      </c>
      <c r="AF27" s="12">
        <v>0</v>
      </c>
      <c r="AG27" s="75">
        <f t="shared" si="7"/>
        <v>0</v>
      </c>
      <c r="AH27" s="7">
        <v>24</v>
      </c>
    </row>
    <row r="28" spans="3:34" x14ac:dyDescent="0.25">
      <c r="D28" s="7">
        <v>1023</v>
      </c>
      <c r="E28" s="7" t="s">
        <v>325</v>
      </c>
      <c r="F28" s="12">
        <v>0</v>
      </c>
      <c r="G28" s="12">
        <v>0</v>
      </c>
      <c r="H28" s="12">
        <v>0</v>
      </c>
      <c r="I28" s="12">
        <v>0</v>
      </c>
      <c r="J28" s="12"/>
      <c r="K28" s="12">
        <v>0</v>
      </c>
      <c r="L28" s="12">
        <v>0</v>
      </c>
      <c r="M28" s="12">
        <v>0</v>
      </c>
      <c r="N28" s="12">
        <v>0</v>
      </c>
      <c r="O28" s="12">
        <v>0</v>
      </c>
      <c r="P28" s="12">
        <v>0</v>
      </c>
      <c r="Q28" s="12">
        <v>0</v>
      </c>
      <c r="R28" s="12">
        <v>0</v>
      </c>
      <c r="S28" s="12">
        <v>0</v>
      </c>
      <c r="T28" s="12"/>
      <c r="U28" s="12"/>
      <c r="V28" s="12"/>
      <c r="W28" s="12">
        <v>0</v>
      </c>
      <c r="X28" s="12"/>
      <c r="Y28" s="12">
        <v>0</v>
      </c>
      <c r="Z28" s="12">
        <v>0</v>
      </c>
      <c r="AA28" s="12">
        <v>0</v>
      </c>
      <c r="AB28" s="12">
        <v>0</v>
      </c>
      <c r="AC28" s="12">
        <v>0</v>
      </c>
      <c r="AD28" s="12"/>
      <c r="AE28" s="12">
        <v>0</v>
      </c>
      <c r="AF28" s="12">
        <v>0</v>
      </c>
      <c r="AG28" s="75">
        <f t="shared" si="7"/>
        <v>0</v>
      </c>
      <c r="AH28" s="7">
        <v>25</v>
      </c>
    </row>
    <row r="29" spans="3:34" x14ac:dyDescent="0.25">
      <c r="D29" s="7">
        <v>1029</v>
      </c>
      <c r="E29" s="7" t="s">
        <v>326</v>
      </c>
      <c r="F29" s="12">
        <v>0</v>
      </c>
      <c r="G29" s="12">
        <v>0</v>
      </c>
      <c r="H29" s="12">
        <v>0</v>
      </c>
      <c r="I29" s="12">
        <v>0</v>
      </c>
      <c r="J29" s="12"/>
      <c r="K29" s="12">
        <v>0</v>
      </c>
      <c r="L29" s="12">
        <v>0</v>
      </c>
      <c r="M29" s="12">
        <v>0</v>
      </c>
      <c r="N29" s="12">
        <v>0</v>
      </c>
      <c r="O29" s="12">
        <v>0</v>
      </c>
      <c r="P29" s="12">
        <v>0</v>
      </c>
      <c r="Q29" s="12">
        <v>0</v>
      </c>
      <c r="R29" s="12">
        <v>0</v>
      </c>
      <c r="S29" s="12">
        <v>0</v>
      </c>
      <c r="T29" s="12"/>
      <c r="U29" s="12"/>
      <c r="V29" s="12"/>
      <c r="W29" s="12">
        <v>0</v>
      </c>
      <c r="X29" s="12"/>
      <c r="Y29" s="12">
        <v>0</v>
      </c>
      <c r="Z29" s="12">
        <v>0</v>
      </c>
      <c r="AA29" s="12">
        <v>0</v>
      </c>
      <c r="AB29" s="12">
        <v>0</v>
      </c>
      <c r="AC29" s="12">
        <v>0</v>
      </c>
      <c r="AD29" s="12"/>
      <c r="AE29" s="12">
        <v>0</v>
      </c>
      <c r="AF29" s="12">
        <v>0</v>
      </c>
      <c r="AG29" s="75">
        <f t="shared" si="7"/>
        <v>0</v>
      </c>
      <c r="AH29" s="7">
        <v>26</v>
      </c>
    </row>
    <row r="30" spans="3:34" x14ac:dyDescent="0.25">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75"/>
      <c r="AH30" s="7">
        <v>27</v>
      </c>
    </row>
    <row r="31" spans="3:34" x14ac:dyDescent="0.25">
      <c r="C31" s="76">
        <v>104</v>
      </c>
      <c r="D31" s="76"/>
      <c r="E31" s="76" t="s">
        <v>243</v>
      </c>
      <c r="F31" s="96">
        <f>F32+F33+F34+F35+F36+F37+F38+F39</f>
        <v>45394.6</v>
      </c>
      <c r="G31" s="96">
        <f t="shared" ref="G31:AF31" si="8">G32+G33+G34+G35+G36+G37+G38+G39</f>
        <v>1912335.64</v>
      </c>
      <c r="H31" s="96">
        <f t="shared" si="8"/>
        <v>0</v>
      </c>
      <c r="I31" s="96">
        <f t="shared" si="8"/>
        <v>120322.45</v>
      </c>
      <c r="J31" s="96">
        <f t="shared" si="8"/>
        <v>0</v>
      </c>
      <c r="K31" s="96">
        <f t="shared" si="8"/>
        <v>11848.05</v>
      </c>
      <c r="L31" s="96">
        <f t="shared" si="8"/>
        <v>387301.25</v>
      </c>
      <c r="M31" s="96">
        <f t="shared" si="8"/>
        <v>0</v>
      </c>
      <c r="N31" s="96">
        <f t="shared" si="8"/>
        <v>63994.25</v>
      </c>
      <c r="O31" s="96">
        <f t="shared" si="8"/>
        <v>0</v>
      </c>
      <c r="P31" s="96">
        <f t="shared" si="8"/>
        <v>0</v>
      </c>
      <c r="Q31" s="96">
        <f t="shared" si="8"/>
        <v>0</v>
      </c>
      <c r="R31" s="96">
        <f t="shared" si="8"/>
        <v>0</v>
      </c>
      <c r="S31" s="96">
        <f t="shared" si="8"/>
        <v>850.9</v>
      </c>
      <c r="T31" s="96">
        <f t="shared" si="8"/>
        <v>0</v>
      </c>
      <c r="U31" s="96">
        <f t="shared" si="8"/>
        <v>0</v>
      </c>
      <c r="V31" s="96">
        <f t="shared" si="8"/>
        <v>0</v>
      </c>
      <c r="W31" s="96">
        <f t="shared" si="8"/>
        <v>0</v>
      </c>
      <c r="X31" s="96">
        <f t="shared" si="8"/>
        <v>0</v>
      </c>
      <c r="Y31" s="96">
        <f t="shared" si="8"/>
        <v>5467.35</v>
      </c>
      <c r="Z31" s="96">
        <f t="shared" si="8"/>
        <v>102312.49</v>
      </c>
      <c r="AA31" s="96">
        <f t="shared" si="8"/>
        <v>144881.09</v>
      </c>
      <c r="AB31" s="96">
        <f t="shared" si="8"/>
        <v>27039.55</v>
      </c>
      <c r="AC31" s="96">
        <f t="shared" si="8"/>
        <v>841.45</v>
      </c>
      <c r="AD31" s="96">
        <f t="shared" si="8"/>
        <v>0</v>
      </c>
      <c r="AE31" s="96">
        <f t="shared" si="8"/>
        <v>67131.7</v>
      </c>
      <c r="AF31" s="96">
        <f t="shared" si="8"/>
        <v>99722.75</v>
      </c>
      <c r="AG31" s="96">
        <f t="shared" ref="AG31:AG39" si="9">SUM(F31:AF31)</f>
        <v>2989443.5200000005</v>
      </c>
      <c r="AH31" s="7">
        <v>28</v>
      </c>
    </row>
    <row r="32" spans="3:34" x14ac:dyDescent="0.25">
      <c r="D32" s="7">
        <v>1040</v>
      </c>
      <c r="E32" s="7" t="s">
        <v>61</v>
      </c>
      <c r="F32" s="12">
        <v>7372.14</v>
      </c>
      <c r="G32" s="12">
        <v>0</v>
      </c>
      <c r="H32" s="12">
        <v>0</v>
      </c>
      <c r="I32" s="12">
        <v>0</v>
      </c>
      <c r="J32" s="12"/>
      <c r="K32" s="12">
        <v>1560.2</v>
      </c>
      <c r="L32" s="12">
        <v>0</v>
      </c>
      <c r="M32" s="12">
        <v>0</v>
      </c>
      <c r="N32" s="12">
        <v>0</v>
      </c>
      <c r="O32" s="12">
        <v>0</v>
      </c>
      <c r="P32" s="12">
        <v>0</v>
      </c>
      <c r="Q32" s="12">
        <v>0</v>
      </c>
      <c r="R32" s="12">
        <v>0</v>
      </c>
      <c r="S32" s="12">
        <v>0</v>
      </c>
      <c r="T32" s="12"/>
      <c r="U32" s="12"/>
      <c r="V32" s="12"/>
      <c r="W32" s="12">
        <v>0</v>
      </c>
      <c r="X32" s="12"/>
      <c r="Y32" s="12">
        <v>0</v>
      </c>
      <c r="Z32" s="12">
        <v>0</v>
      </c>
      <c r="AA32" s="12">
        <v>0</v>
      </c>
      <c r="AB32" s="12">
        <v>0</v>
      </c>
      <c r="AC32" s="12">
        <v>0</v>
      </c>
      <c r="AD32" s="12"/>
      <c r="AE32" s="12">
        <v>0</v>
      </c>
      <c r="AF32" s="12">
        <v>0</v>
      </c>
      <c r="AG32" s="75">
        <f t="shared" si="9"/>
        <v>8932.34</v>
      </c>
      <c r="AH32" s="7">
        <v>29</v>
      </c>
    </row>
    <row r="33" spans="3:34" x14ac:dyDescent="0.25">
      <c r="D33" s="7">
        <v>1041</v>
      </c>
      <c r="E33" s="7" t="s">
        <v>327</v>
      </c>
      <c r="F33" s="12">
        <v>5360.8</v>
      </c>
      <c r="G33" s="12">
        <v>1812100.96</v>
      </c>
      <c r="H33" s="12">
        <v>0</v>
      </c>
      <c r="I33" s="12">
        <v>120322.45</v>
      </c>
      <c r="J33" s="12"/>
      <c r="K33" s="12">
        <v>5640.6</v>
      </c>
      <c r="L33" s="12">
        <v>1264</v>
      </c>
      <c r="M33" s="12">
        <v>0</v>
      </c>
      <c r="N33" s="12">
        <v>63994.25</v>
      </c>
      <c r="O33" s="12">
        <v>0</v>
      </c>
      <c r="P33" s="12">
        <v>0</v>
      </c>
      <c r="Q33" s="12">
        <v>0</v>
      </c>
      <c r="R33" s="12">
        <v>0</v>
      </c>
      <c r="S33" s="12">
        <v>850.9</v>
      </c>
      <c r="T33" s="12"/>
      <c r="U33" s="12"/>
      <c r="V33" s="12"/>
      <c r="W33" s="12">
        <v>0</v>
      </c>
      <c r="X33" s="12"/>
      <c r="Y33" s="12">
        <v>5467.35</v>
      </c>
      <c r="Z33" s="12">
        <v>102312.49</v>
      </c>
      <c r="AA33" s="12">
        <v>144881.09</v>
      </c>
      <c r="AB33" s="12">
        <v>27039.55</v>
      </c>
      <c r="AC33" s="12">
        <v>0</v>
      </c>
      <c r="AD33" s="12"/>
      <c r="AE33" s="12">
        <v>67131.7</v>
      </c>
      <c r="AF33" s="12">
        <v>99722.75</v>
      </c>
      <c r="AG33" s="75">
        <f t="shared" si="9"/>
        <v>2456088.89</v>
      </c>
      <c r="AH33" s="7">
        <v>30</v>
      </c>
    </row>
    <row r="34" spans="3:34" x14ac:dyDescent="0.25">
      <c r="D34" s="7">
        <v>1042</v>
      </c>
      <c r="E34" s="7" t="s">
        <v>328</v>
      </c>
      <c r="F34" s="12">
        <v>0</v>
      </c>
      <c r="G34" s="12">
        <v>0</v>
      </c>
      <c r="H34" s="12">
        <v>0</v>
      </c>
      <c r="I34" s="12">
        <v>0</v>
      </c>
      <c r="J34" s="12"/>
      <c r="K34" s="12">
        <v>0</v>
      </c>
      <c r="L34" s="12">
        <v>0</v>
      </c>
      <c r="M34" s="12">
        <v>0</v>
      </c>
      <c r="N34" s="12">
        <v>0</v>
      </c>
      <c r="O34" s="12">
        <v>0</v>
      </c>
      <c r="P34" s="12">
        <v>0</v>
      </c>
      <c r="Q34" s="12">
        <v>0</v>
      </c>
      <c r="R34" s="12">
        <v>0</v>
      </c>
      <c r="S34" s="12">
        <v>0</v>
      </c>
      <c r="T34" s="12"/>
      <c r="U34" s="12"/>
      <c r="V34" s="12"/>
      <c r="W34" s="12">
        <v>0</v>
      </c>
      <c r="X34" s="12"/>
      <c r="Y34" s="12">
        <v>0</v>
      </c>
      <c r="Z34" s="12">
        <v>0</v>
      </c>
      <c r="AA34" s="12">
        <v>0</v>
      </c>
      <c r="AB34" s="12">
        <v>0</v>
      </c>
      <c r="AC34" s="12">
        <v>841.45</v>
      </c>
      <c r="AD34" s="12"/>
      <c r="AE34" s="12">
        <v>0</v>
      </c>
      <c r="AF34" s="12">
        <v>0</v>
      </c>
      <c r="AG34" s="75">
        <f t="shared" si="9"/>
        <v>841.45</v>
      </c>
      <c r="AH34" s="7">
        <v>31</v>
      </c>
    </row>
    <row r="35" spans="3:34" x14ac:dyDescent="0.25">
      <c r="D35" s="7">
        <v>1043</v>
      </c>
      <c r="E35" s="7" t="s">
        <v>329</v>
      </c>
      <c r="F35" s="12">
        <v>0</v>
      </c>
      <c r="G35" s="12">
        <v>100234.68</v>
      </c>
      <c r="H35" s="12">
        <v>0</v>
      </c>
      <c r="I35" s="12">
        <v>0</v>
      </c>
      <c r="J35" s="12"/>
      <c r="K35" s="12">
        <v>0</v>
      </c>
      <c r="L35" s="12">
        <v>386037.25</v>
      </c>
      <c r="M35" s="12">
        <v>0</v>
      </c>
      <c r="N35" s="12">
        <v>0</v>
      </c>
      <c r="O35" s="12">
        <v>0</v>
      </c>
      <c r="P35" s="12">
        <v>0</v>
      </c>
      <c r="Q35" s="12">
        <v>0</v>
      </c>
      <c r="R35" s="12">
        <v>0</v>
      </c>
      <c r="S35" s="12">
        <v>0</v>
      </c>
      <c r="T35" s="12"/>
      <c r="U35" s="12"/>
      <c r="V35" s="12"/>
      <c r="W35" s="12">
        <v>0</v>
      </c>
      <c r="X35" s="12"/>
      <c r="Y35" s="12">
        <v>0</v>
      </c>
      <c r="Z35" s="12">
        <v>0</v>
      </c>
      <c r="AA35" s="12">
        <v>0</v>
      </c>
      <c r="AB35" s="12">
        <v>0</v>
      </c>
      <c r="AC35" s="12">
        <v>0</v>
      </c>
      <c r="AD35" s="12"/>
      <c r="AE35" s="12">
        <v>0</v>
      </c>
      <c r="AF35" s="12">
        <v>0</v>
      </c>
      <c r="AG35" s="75">
        <f t="shared" si="9"/>
        <v>486271.93</v>
      </c>
      <c r="AH35" s="7">
        <v>32</v>
      </c>
    </row>
    <row r="36" spans="3:34" x14ac:dyDescent="0.25">
      <c r="D36" s="7">
        <v>1044</v>
      </c>
      <c r="E36" s="7" t="s">
        <v>330</v>
      </c>
      <c r="F36" s="12">
        <v>32661.66</v>
      </c>
      <c r="G36" s="12">
        <v>0</v>
      </c>
      <c r="H36" s="12">
        <v>0</v>
      </c>
      <c r="I36" s="12">
        <v>0</v>
      </c>
      <c r="J36" s="12"/>
      <c r="K36" s="12">
        <v>4647.25</v>
      </c>
      <c r="L36" s="12">
        <v>0</v>
      </c>
      <c r="M36" s="12">
        <v>0</v>
      </c>
      <c r="N36" s="12">
        <v>0</v>
      </c>
      <c r="O36" s="12">
        <v>0</v>
      </c>
      <c r="P36" s="12">
        <v>0</v>
      </c>
      <c r="Q36" s="12">
        <v>0</v>
      </c>
      <c r="R36" s="12">
        <v>0</v>
      </c>
      <c r="S36" s="12">
        <v>0</v>
      </c>
      <c r="T36" s="12"/>
      <c r="U36" s="12"/>
      <c r="V36" s="12"/>
      <c r="W36" s="12">
        <v>0</v>
      </c>
      <c r="X36" s="12"/>
      <c r="Y36" s="12">
        <v>0</v>
      </c>
      <c r="Z36" s="12">
        <v>0</v>
      </c>
      <c r="AA36" s="12">
        <v>0</v>
      </c>
      <c r="AB36" s="12">
        <v>0</v>
      </c>
      <c r="AC36" s="12">
        <v>0</v>
      </c>
      <c r="AD36" s="12"/>
      <c r="AE36" s="12">
        <v>0</v>
      </c>
      <c r="AF36" s="12">
        <v>0</v>
      </c>
      <c r="AG36" s="75">
        <f t="shared" si="9"/>
        <v>37308.910000000003</v>
      </c>
      <c r="AH36" s="7">
        <v>33</v>
      </c>
    </row>
    <row r="37" spans="3:34" x14ac:dyDescent="0.25">
      <c r="D37" s="7">
        <v>1045</v>
      </c>
      <c r="E37" s="7" t="s">
        <v>331</v>
      </c>
      <c r="F37" s="12">
        <v>0</v>
      </c>
      <c r="G37" s="12">
        <v>0</v>
      </c>
      <c r="H37" s="12">
        <v>0</v>
      </c>
      <c r="I37" s="12">
        <v>0</v>
      </c>
      <c r="J37" s="12"/>
      <c r="K37" s="12">
        <v>0</v>
      </c>
      <c r="L37" s="12">
        <v>0</v>
      </c>
      <c r="M37" s="12">
        <v>0</v>
      </c>
      <c r="N37" s="12">
        <v>0</v>
      </c>
      <c r="O37" s="12">
        <v>0</v>
      </c>
      <c r="P37" s="12">
        <v>0</v>
      </c>
      <c r="Q37" s="12">
        <v>0</v>
      </c>
      <c r="R37" s="12">
        <v>0</v>
      </c>
      <c r="S37" s="12">
        <v>0</v>
      </c>
      <c r="T37" s="12"/>
      <c r="U37" s="12"/>
      <c r="V37" s="12"/>
      <c r="W37" s="12">
        <v>0</v>
      </c>
      <c r="X37" s="12"/>
      <c r="Y37" s="12">
        <v>0</v>
      </c>
      <c r="Z37" s="12">
        <v>0</v>
      </c>
      <c r="AA37" s="12">
        <v>0</v>
      </c>
      <c r="AB37" s="12">
        <v>0</v>
      </c>
      <c r="AC37" s="12">
        <v>0</v>
      </c>
      <c r="AD37" s="12"/>
      <c r="AE37" s="12">
        <v>0</v>
      </c>
      <c r="AF37" s="12">
        <v>0</v>
      </c>
      <c r="AG37" s="75">
        <f t="shared" si="9"/>
        <v>0</v>
      </c>
      <c r="AH37" s="7">
        <v>34</v>
      </c>
    </row>
    <row r="38" spans="3:34" x14ac:dyDescent="0.25">
      <c r="D38" s="7">
        <v>1046</v>
      </c>
      <c r="E38" s="7" t="s">
        <v>332</v>
      </c>
      <c r="F38" s="12">
        <v>0</v>
      </c>
      <c r="G38" s="12">
        <v>0</v>
      </c>
      <c r="H38" s="12">
        <v>0</v>
      </c>
      <c r="I38" s="12">
        <v>0</v>
      </c>
      <c r="J38" s="12"/>
      <c r="K38" s="12">
        <v>0</v>
      </c>
      <c r="L38" s="12">
        <v>0</v>
      </c>
      <c r="M38" s="12">
        <v>0</v>
      </c>
      <c r="N38" s="12">
        <v>0</v>
      </c>
      <c r="O38" s="12">
        <v>0</v>
      </c>
      <c r="P38" s="12">
        <v>0</v>
      </c>
      <c r="Q38" s="12">
        <v>0</v>
      </c>
      <c r="R38" s="12">
        <v>0</v>
      </c>
      <c r="S38" s="12">
        <v>0</v>
      </c>
      <c r="T38" s="12"/>
      <c r="U38" s="12"/>
      <c r="V38" s="12"/>
      <c r="W38" s="12">
        <v>0</v>
      </c>
      <c r="X38" s="12"/>
      <c r="Y38" s="12">
        <v>0</v>
      </c>
      <c r="Z38" s="12">
        <v>0</v>
      </c>
      <c r="AA38" s="12">
        <v>0</v>
      </c>
      <c r="AB38" s="12">
        <v>0</v>
      </c>
      <c r="AC38" s="12">
        <v>0</v>
      </c>
      <c r="AD38" s="12"/>
      <c r="AE38" s="12">
        <v>0</v>
      </c>
      <c r="AF38" s="12">
        <v>0</v>
      </c>
      <c r="AG38" s="75">
        <f t="shared" si="9"/>
        <v>0</v>
      </c>
      <c r="AH38" s="7">
        <v>35</v>
      </c>
    </row>
    <row r="39" spans="3:34" x14ac:dyDescent="0.25">
      <c r="D39" s="7">
        <v>1049</v>
      </c>
      <c r="E39" s="7" t="s">
        <v>333</v>
      </c>
      <c r="F39" s="12">
        <v>0</v>
      </c>
      <c r="G39" s="12">
        <v>0</v>
      </c>
      <c r="H39" s="12">
        <v>0</v>
      </c>
      <c r="I39" s="12">
        <v>0</v>
      </c>
      <c r="J39" s="12"/>
      <c r="K39" s="12">
        <v>0</v>
      </c>
      <c r="L39" s="12">
        <v>0</v>
      </c>
      <c r="M39" s="12">
        <v>0</v>
      </c>
      <c r="N39" s="12">
        <v>0</v>
      </c>
      <c r="O39" s="12">
        <v>0</v>
      </c>
      <c r="P39" s="12">
        <v>0</v>
      </c>
      <c r="Q39" s="12">
        <v>0</v>
      </c>
      <c r="R39" s="12">
        <v>0</v>
      </c>
      <c r="S39" s="12">
        <v>0</v>
      </c>
      <c r="T39" s="12"/>
      <c r="U39" s="12"/>
      <c r="V39" s="12"/>
      <c r="W39" s="12">
        <v>0</v>
      </c>
      <c r="X39" s="12"/>
      <c r="Y39" s="12">
        <v>0</v>
      </c>
      <c r="Z39" s="12">
        <v>0</v>
      </c>
      <c r="AA39" s="12">
        <v>0</v>
      </c>
      <c r="AB39" s="12">
        <v>0</v>
      </c>
      <c r="AC39" s="12">
        <v>0</v>
      </c>
      <c r="AD39" s="12"/>
      <c r="AE39" s="12">
        <v>0</v>
      </c>
      <c r="AF39" s="12">
        <v>0</v>
      </c>
      <c r="AG39" s="75">
        <f t="shared" si="9"/>
        <v>0</v>
      </c>
      <c r="AH39" s="7">
        <v>36</v>
      </c>
    </row>
    <row r="40" spans="3:34" x14ac:dyDescent="0.25">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75"/>
      <c r="AH40" s="7">
        <v>37</v>
      </c>
    </row>
    <row r="41" spans="3:34" x14ac:dyDescent="0.25">
      <c r="C41" s="76">
        <v>106</v>
      </c>
      <c r="D41" s="76"/>
      <c r="E41" s="76" t="s">
        <v>244</v>
      </c>
      <c r="F41" s="96">
        <f>F42+F43+F44+F45+F46</f>
        <v>0</v>
      </c>
      <c r="G41" s="96">
        <f t="shared" ref="G41:AF41" si="10">G42+G43+G44+G45+G46</f>
        <v>0</v>
      </c>
      <c r="H41" s="96">
        <f t="shared" si="10"/>
        <v>0</v>
      </c>
      <c r="I41" s="96">
        <f t="shared" si="10"/>
        <v>0</v>
      </c>
      <c r="J41" s="96">
        <f t="shared" si="10"/>
        <v>0</v>
      </c>
      <c r="K41" s="96">
        <f t="shared" si="10"/>
        <v>0</v>
      </c>
      <c r="L41" s="96">
        <f t="shared" si="10"/>
        <v>0</v>
      </c>
      <c r="M41" s="96">
        <f t="shared" si="10"/>
        <v>0</v>
      </c>
      <c r="N41" s="96">
        <f t="shared" si="10"/>
        <v>0</v>
      </c>
      <c r="O41" s="96">
        <f t="shared" si="10"/>
        <v>0</v>
      </c>
      <c r="P41" s="96">
        <f t="shared" si="10"/>
        <v>0</v>
      </c>
      <c r="Q41" s="96">
        <f t="shared" si="10"/>
        <v>0</v>
      </c>
      <c r="R41" s="96">
        <f t="shared" si="10"/>
        <v>0</v>
      </c>
      <c r="S41" s="96">
        <f t="shared" si="10"/>
        <v>0</v>
      </c>
      <c r="T41" s="96">
        <f t="shared" si="10"/>
        <v>0</v>
      </c>
      <c r="U41" s="96">
        <f t="shared" si="10"/>
        <v>0</v>
      </c>
      <c r="V41" s="96">
        <f t="shared" si="10"/>
        <v>0</v>
      </c>
      <c r="W41" s="96">
        <f t="shared" si="10"/>
        <v>0</v>
      </c>
      <c r="X41" s="96">
        <f t="shared" si="10"/>
        <v>0</v>
      </c>
      <c r="Y41" s="96">
        <f t="shared" si="10"/>
        <v>0</v>
      </c>
      <c r="Z41" s="96">
        <f t="shared" si="10"/>
        <v>0</v>
      </c>
      <c r="AA41" s="96">
        <f t="shared" si="10"/>
        <v>0</v>
      </c>
      <c r="AB41" s="96">
        <f t="shared" si="10"/>
        <v>0</v>
      </c>
      <c r="AC41" s="96">
        <f t="shared" si="10"/>
        <v>0</v>
      </c>
      <c r="AD41" s="96">
        <f t="shared" si="10"/>
        <v>0</v>
      </c>
      <c r="AE41" s="96">
        <f t="shared" si="10"/>
        <v>0</v>
      </c>
      <c r="AF41" s="96">
        <f t="shared" si="10"/>
        <v>0</v>
      </c>
      <c r="AG41" s="96">
        <f t="shared" ref="AG41:AG46" si="11">SUM(F41:AF41)</f>
        <v>0</v>
      </c>
      <c r="AH41" s="7">
        <v>38</v>
      </c>
    </row>
    <row r="42" spans="3:34" x14ac:dyDescent="0.25">
      <c r="D42" s="7">
        <v>1060</v>
      </c>
      <c r="E42" s="7" t="s">
        <v>334</v>
      </c>
      <c r="F42" s="12">
        <v>0</v>
      </c>
      <c r="G42" s="12">
        <v>0</v>
      </c>
      <c r="H42" s="12">
        <v>0</v>
      </c>
      <c r="I42" s="12">
        <v>0</v>
      </c>
      <c r="J42" s="12"/>
      <c r="K42" s="12">
        <v>0</v>
      </c>
      <c r="L42" s="12">
        <v>0</v>
      </c>
      <c r="M42" s="12">
        <v>0</v>
      </c>
      <c r="N42" s="12">
        <v>0</v>
      </c>
      <c r="O42" s="12">
        <v>0</v>
      </c>
      <c r="P42" s="12">
        <v>0</v>
      </c>
      <c r="Q42" s="12">
        <v>0</v>
      </c>
      <c r="R42" s="12">
        <v>0</v>
      </c>
      <c r="S42" s="12">
        <v>0</v>
      </c>
      <c r="T42" s="12"/>
      <c r="U42" s="12"/>
      <c r="V42" s="12"/>
      <c r="W42" s="12">
        <v>0</v>
      </c>
      <c r="X42" s="12"/>
      <c r="Y42" s="12">
        <v>0</v>
      </c>
      <c r="Z42" s="12">
        <v>0</v>
      </c>
      <c r="AA42" s="12">
        <v>0</v>
      </c>
      <c r="AB42" s="12">
        <v>0</v>
      </c>
      <c r="AC42" s="12">
        <v>0</v>
      </c>
      <c r="AD42" s="12"/>
      <c r="AE42" s="12">
        <v>0</v>
      </c>
      <c r="AF42" s="12">
        <v>0</v>
      </c>
      <c r="AG42" s="75">
        <f t="shared" si="11"/>
        <v>0</v>
      </c>
      <c r="AH42" s="7">
        <v>39</v>
      </c>
    </row>
    <row r="43" spans="3:34" x14ac:dyDescent="0.25">
      <c r="D43" s="7">
        <v>1061</v>
      </c>
      <c r="E43" s="7" t="s">
        <v>335</v>
      </c>
      <c r="F43" s="12">
        <v>0</v>
      </c>
      <c r="G43" s="12">
        <v>0</v>
      </c>
      <c r="H43" s="12">
        <v>0</v>
      </c>
      <c r="I43" s="12">
        <v>0</v>
      </c>
      <c r="J43" s="12"/>
      <c r="K43" s="12">
        <v>0</v>
      </c>
      <c r="L43" s="12">
        <v>0</v>
      </c>
      <c r="M43" s="12">
        <v>0</v>
      </c>
      <c r="N43" s="12">
        <v>0</v>
      </c>
      <c r="O43" s="12">
        <v>0</v>
      </c>
      <c r="P43" s="12">
        <v>0</v>
      </c>
      <c r="Q43" s="12">
        <v>0</v>
      </c>
      <c r="R43" s="12">
        <v>0</v>
      </c>
      <c r="S43" s="12">
        <v>0</v>
      </c>
      <c r="T43" s="12"/>
      <c r="U43" s="12"/>
      <c r="V43" s="12"/>
      <c r="W43" s="12">
        <v>0</v>
      </c>
      <c r="X43" s="12"/>
      <c r="Y43" s="12">
        <v>0</v>
      </c>
      <c r="Z43" s="12">
        <v>0</v>
      </c>
      <c r="AA43" s="12">
        <v>0</v>
      </c>
      <c r="AB43" s="12">
        <v>0</v>
      </c>
      <c r="AC43" s="12">
        <v>0</v>
      </c>
      <c r="AD43" s="12"/>
      <c r="AE43" s="12">
        <v>0</v>
      </c>
      <c r="AF43" s="12">
        <v>0</v>
      </c>
      <c r="AG43" s="75">
        <f t="shared" si="11"/>
        <v>0</v>
      </c>
      <c r="AH43" s="7">
        <v>40</v>
      </c>
    </row>
    <row r="44" spans="3:34" x14ac:dyDescent="0.25">
      <c r="D44" s="7">
        <v>1062</v>
      </c>
      <c r="E44" s="7" t="s">
        <v>336</v>
      </c>
      <c r="F44" s="12">
        <v>0</v>
      </c>
      <c r="G44" s="12">
        <v>0</v>
      </c>
      <c r="H44" s="12">
        <v>0</v>
      </c>
      <c r="I44" s="12">
        <v>0</v>
      </c>
      <c r="J44" s="12"/>
      <c r="K44" s="12">
        <v>0</v>
      </c>
      <c r="L44" s="12">
        <v>0</v>
      </c>
      <c r="M44" s="12">
        <v>0</v>
      </c>
      <c r="N44" s="12">
        <v>0</v>
      </c>
      <c r="O44" s="12">
        <v>0</v>
      </c>
      <c r="P44" s="12">
        <v>0</v>
      </c>
      <c r="Q44" s="12">
        <v>0</v>
      </c>
      <c r="R44" s="12">
        <v>0</v>
      </c>
      <c r="S44" s="12">
        <v>0</v>
      </c>
      <c r="T44" s="12"/>
      <c r="U44" s="12"/>
      <c r="V44" s="12"/>
      <c r="W44" s="12">
        <v>0</v>
      </c>
      <c r="X44" s="12"/>
      <c r="Y44" s="12">
        <v>0</v>
      </c>
      <c r="Z44" s="12">
        <v>0</v>
      </c>
      <c r="AA44" s="12">
        <v>0</v>
      </c>
      <c r="AB44" s="12">
        <v>0</v>
      </c>
      <c r="AC44" s="12">
        <v>0</v>
      </c>
      <c r="AD44" s="12"/>
      <c r="AE44" s="12">
        <v>0</v>
      </c>
      <c r="AF44" s="12">
        <v>0</v>
      </c>
      <c r="AG44" s="75">
        <f t="shared" si="11"/>
        <v>0</v>
      </c>
      <c r="AH44" s="7">
        <v>41</v>
      </c>
    </row>
    <row r="45" spans="3:34" x14ac:dyDescent="0.25">
      <c r="D45" s="7">
        <v>1063</v>
      </c>
      <c r="E45" s="7" t="s">
        <v>337</v>
      </c>
      <c r="F45" s="12">
        <v>0</v>
      </c>
      <c r="G45" s="12">
        <v>0</v>
      </c>
      <c r="H45" s="12">
        <v>0</v>
      </c>
      <c r="I45" s="12">
        <v>0</v>
      </c>
      <c r="J45" s="12"/>
      <c r="K45" s="12">
        <v>0</v>
      </c>
      <c r="L45" s="12">
        <v>0</v>
      </c>
      <c r="M45" s="12">
        <v>0</v>
      </c>
      <c r="N45" s="12">
        <v>0</v>
      </c>
      <c r="O45" s="12">
        <v>0</v>
      </c>
      <c r="P45" s="12">
        <v>0</v>
      </c>
      <c r="Q45" s="12">
        <v>0</v>
      </c>
      <c r="R45" s="12">
        <v>0</v>
      </c>
      <c r="S45" s="12">
        <v>0</v>
      </c>
      <c r="T45" s="12"/>
      <c r="U45" s="12"/>
      <c r="V45" s="12"/>
      <c r="W45" s="12">
        <v>0</v>
      </c>
      <c r="X45" s="12"/>
      <c r="Y45" s="12">
        <v>0</v>
      </c>
      <c r="Z45" s="12">
        <v>0</v>
      </c>
      <c r="AA45" s="12">
        <v>0</v>
      </c>
      <c r="AB45" s="12">
        <v>0</v>
      </c>
      <c r="AC45" s="12">
        <v>0</v>
      </c>
      <c r="AD45" s="12"/>
      <c r="AE45" s="12">
        <v>0</v>
      </c>
      <c r="AF45" s="12">
        <v>0</v>
      </c>
      <c r="AG45" s="75">
        <f t="shared" si="11"/>
        <v>0</v>
      </c>
      <c r="AH45" s="7">
        <v>42</v>
      </c>
    </row>
    <row r="46" spans="3:34" x14ac:dyDescent="0.25">
      <c r="D46" s="7">
        <v>1068</v>
      </c>
      <c r="E46" s="7" t="s">
        <v>338</v>
      </c>
      <c r="F46" s="12">
        <v>0</v>
      </c>
      <c r="G46" s="12">
        <v>0</v>
      </c>
      <c r="H46" s="12">
        <v>0</v>
      </c>
      <c r="I46" s="12">
        <v>0</v>
      </c>
      <c r="J46" s="12"/>
      <c r="K46" s="12">
        <v>0</v>
      </c>
      <c r="L46" s="12">
        <v>0</v>
      </c>
      <c r="M46" s="12">
        <v>0</v>
      </c>
      <c r="N46" s="12">
        <v>0</v>
      </c>
      <c r="O46" s="12">
        <v>0</v>
      </c>
      <c r="P46" s="12">
        <v>0</v>
      </c>
      <c r="Q46" s="12">
        <v>0</v>
      </c>
      <c r="R46" s="12">
        <v>0</v>
      </c>
      <c r="S46" s="12">
        <v>0</v>
      </c>
      <c r="T46" s="12"/>
      <c r="U46" s="12"/>
      <c r="V46" s="12"/>
      <c r="W46" s="12">
        <v>0</v>
      </c>
      <c r="X46" s="12"/>
      <c r="Y46" s="12">
        <v>0</v>
      </c>
      <c r="Z46" s="12">
        <v>0</v>
      </c>
      <c r="AA46" s="12">
        <v>0</v>
      </c>
      <c r="AB46" s="12">
        <v>0</v>
      </c>
      <c r="AC46" s="12">
        <v>0</v>
      </c>
      <c r="AD46" s="12"/>
      <c r="AE46" s="12">
        <v>0</v>
      </c>
      <c r="AF46" s="12">
        <v>0</v>
      </c>
      <c r="AG46" s="75">
        <f t="shared" si="11"/>
        <v>0</v>
      </c>
      <c r="AH46" s="7">
        <v>43</v>
      </c>
    </row>
    <row r="47" spans="3:34" x14ac:dyDescent="0.25">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75"/>
      <c r="AH47" s="7">
        <v>44</v>
      </c>
    </row>
    <row r="48" spans="3:34" x14ac:dyDescent="0.25">
      <c r="C48" s="76">
        <v>107</v>
      </c>
      <c r="D48" s="76"/>
      <c r="E48" s="76" t="s">
        <v>343</v>
      </c>
      <c r="F48" s="96">
        <f>F49+F50+F51+F52</f>
        <v>0</v>
      </c>
      <c r="G48" s="96">
        <f t="shared" ref="G48:AF48" si="12">G49+G50+G51+G52</f>
        <v>192000</v>
      </c>
      <c r="H48" s="96">
        <f t="shared" si="12"/>
        <v>0</v>
      </c>
      <c r="I48" s="96">
        <f t="shared" si="12"/>
        <v>800000</v>
      </c>
      <c r="J48" s="96">
        <f t="shared" si="12"/>
        <v>0</v>
      </c>
      <c r="K48" s="96">
        <f t="shared" si="12"/>
        <v>0</v>
      </c>
      <c r="L48" s="96">
        <f t="shared" si="12"/>
        <v>0</v>
      </c>
      <c r="M48" s="96">
        <f t="shared" si="12"/>
        <v>0</v>
      </c>
      <c r="N48" s="96">
        <f t="shared" si="12"/>
        <v>0</v>
      </c>
      <c r="O48" s="96">
        <f t="shared" si="12"/>
        <v>0</v>
      </c>
      <c r="P48" s="96">
        <f t="shared" si="12"/>
        <v>6000272.5</v>
      </c>
      <c r="Q48" s="96">
        <f t="shared" si="12"/>
        <v>0</v>
      </c>
      <c r="R48" s="96">
        <f t="shared" si="12"/>
        <v>0</v>
      </c>
      <c r="S48" s="96">
        <f t="shared" si="12"/>
        <v>0</v>
      </c>
      <c r="T48" s="96">
        <f t="shared" si="12"/>
        <v>0</v>
      </c>
      <c r="U48" s="96">
        <f t="shared" si="12"/>
        <v>0</v>
      </c>
      <c r="V48" s="96">
        <f t="shared" si="12"/>
        <v>0</v>
      </c>
      <c r="W48" s="96">
        <f t="shared" si="12"/>
        <v>0</v>
      </c>
      <c r="X48" s="96">
        <f t="shared" si="12"/>
        <v>0</v>
      </c>
      <c r="Y48" s="96">
        <f t="shared" si="12"/>
        <v>282000</v>
      </c>
      <c r="Z48" s="96">
        <f t="shared" si="12"/>
        <v>200</v>
      </c>
      <c r="AA48" s="96">
        <f t="shared" si="12"/>
        <v>0</v>
      </c>
      <c r="AB48" s="96">
        <f t="shared" si="12"/>
        <v>0</v>
      </c>
      <c r="AC48" s="96">
        <f t="shared" si="12"/>
        <v>0</v>
      </c>
      <c r="AD48" s="96">
        <f t="shared" si="12"/>
        <v>0</v>
      </c>
      <c r="AE48" s="96">
        <f t="shared" si="12"/>
        <v>0</v>
      </c>
      <c r="AF48" s="96">
        <f t="shared" si="12"/>
        <v>0</v>
      </c>
      <c r="AG48" s="96">
        <f>SUM(F48:AF48)</f>
        <v>7274472.5</v>
      </c>
      <c r="AH48" s="7">
        <v>45</v>
      </c>
    </row>
    <row r="49" spans="3:34" x14ac:dyDescent="0.25">
      <c r="D49" s="7">
        <v>1070</v>
      </c>
      <c r="E49" s="7" t="s">
        <v>339</v>
      </c>
      <c r="F49" s="12">
        <v>0</v>
      </c>
      <c r="G49" s="12">
        <v>0</v>
      </c>
      <c r="H49" s="12">
        <v>0</v>
      </c>
      <c r="I49" s="12">
        <v>0</v>
      </c>
      <c r="J49" s="12"/>
      <c r="K49" s="12">
        <v>0</v>
      </c>
      <c r="L49" s="12">
        <v>0</v>
      </c>
      <c r="M49" s="12">
        <v>0</v>
      </c>
      <c r="N49" s="12">
        <v>0</v>
      </c>
      <c r="O49" s="12">
        <v>0</v>
      </c>
      <c r="P49" s="12">
        <v>272.5</v>
      </c>
      <c r="Q49" s="12">
        <v>0</v>
      </c>
      <c r="R49" s="12">
        <v>0</v>
      </c>
      <c r="S49" s="12">
        <v>0</v>
      </c>
      <c r="T49" s="12"/>
      <c r="U49" s="12"/>
      <c r="V49" s="12"/>
      <c r="W49" s="12">
        <v>0</v>
      </c>
      <c r="X49" s="12"/>
      <c r="Y49" s="12">
        <v>0</v>
      </c>
      <c r="Z49" s="12">
        <v>200</v>
      </c>
      <c r="AA49" s="12">
        <v>0</v>
      </c>
      <c r="AB49" s="12">
        <v>0</v>
      </c>
      <c r="AC49" s="12">
        <v>0</v>
      </c>
      <c r="AD49" s="12"/>
      <c r="AE49" s="12">
        <v>0</v>
      </c>
      <c r="AF49" s="12">
        <v>0</v>
      </c>
      <c r="AG49" s="75">
        <f>SUM(F49:AF49)</f>
        <v>472.5</v>
      </c>
      <c r="AH49" s="7">
        <v>46</v>
      </c>
    </row>
    <row r="50" spans="3:34" x14ac:dyDescent="0.25">
      <c r="D50" s="7">
        <v>1071</v>
      </c>
      <c r="E50" s="7" t="s">
        <v>340</v>
      </c>
      <c r="F50" s="12">
        <v>0</v>
      </c>
      <c r="G50" s="12">
        <v>192000</v>
      </c>
      <c r="H50" s="12">
        <v>0</v>
      </c>
      <c r="I50" s="12">
        <v>800000</v>
      </c>
      <c r="J50" s="12"/>
      <c r="K50" s="12">
        <v>0</v>
      </c>
      <c r="L50" s="12">
        <v>0</v>
      </c>
      <c r="M50" s="12">
        <v>0</v>
      </c>
      <c r="N50" s="12">
        <v>0</v>
      </c>
      <c r="O50" s="12">
        <v>0</v>
      </c>
      <c r="P50" s="12">
        <v>6000000</v>
      </c>
      <c r="Q50" s="12">
        <v>0</v>
      </c>
      <c r="R50" s="12">
        <v>0</v>
      </c>
      <c r="S50" s="12">
        <v>0</v>
      </c>
      <c r="T50" s="12"/>
      <c r="U50" s="12"/>
      <c r="V50" s="12"/>
      <c r="W50" s="12">
        <v>0</v>
      </c>
      <c r="X50" s="12"/>
      <c r="Y50" s="12">
        <v>282000</v>
      </c>
      <c r="Z50" s="12">
        <v>0</v>
      </c>
      <c r="AA50" s="12">
        <v>0</v>
      </c>
      <c r="AB50" s="12">
        <v>0</v>
      </c>
      <c r="AC50" s="12">
        <v>0</v>
      </c>
      <c r="AD50" s="12"/>
      <c r="AE50" s="12">
        <v>0</v>
      </c>
      <c r="AF50" s="12">
        <v>0</v>
      </c>
      <c r="AG50" s="75">
        <f>SUM(F50:AF50)</f>
        <v>7274000</v>
      </c>
      <c r="AH50" s="7">
        <v>47</v>
      </c>
    </row>
    <row r="51" spans="3:34" x14ac:dyDescent="0.25">
      <c r="D51" s="7">
        <v>1072</v>
      </c>
      <c r="E51" s="7" t="s">
        <v>341</v>
      </c>
      <c r="F51" s="12">
        <v>0</v>
      </c>
      <c r="G51" s="12">
        <v>0</v>
      </c>
      <c r="H51" s="12">
        <v>0</v>
      </c>
      <c r="I51" s="12">
        <v>0</v>
      </c>
      <c r="J51" s="12"/>
      <c r="K51" s="12">
        <v>0</v>
      </c>
      <c r="L51" s="12">
        <v>0</v>
      </c>
      <c r="M51" s="12">
        <v>0</v>
      </c>
      <c r="N51" s="12">
        <v>0</v>
      </c>
      <c r="O51" s="12">
        <v>0</v>
      </c>
      <c r="P51" s="12">
        <v>0</v>
      </c>
      <c r="Q51" s="12">
        <v>0</v>
      </c>
      <c r="R51" s="12">
        <v>0</v>
      </c>
      <c r="S51" s="12">
        <v>0</v>
      </c>
      <c r="T51" s="12"/>
      <c r="U51" s="12"/>
      <c r="V51" s="12"/>
      <c r="W51" s="12">
        <v>0</v>
      </c>
      <c r="X51" s="12"/>
      <c r="Y51" s="12">
        <v>0</v>
      </c>
      <c r="Z51" s="12">
        <v>0</v>
      </c>
      <c r="AA51" s="12">
        <v>0</v>
      </c>
      <c r="AB51" s="12">
        <v>0</v>
      </c>
      <c r="AC51" s="12">
        <v>0</v>
      </c>
      <c r="AD51" s="12"/>
      <c r="AE51" s="12">
        <v>0</v>
      </c>
      <c r="AF51" s="12">
        <v>0</v>
      </c>
      <c r="AG51" s="75">
        <f>SUM(F51:AF51)</f>
        <v>0</v>
      </c>
      <c r="AH51" s="7">
        <v>48</v>
      </c>
    </row>
    <row r="52" spans="3:34" x14ac:dyDescent="0.25">
      <c r="D52" s="7">
        <v>1079</v>
      </c>
      <c r="E52" s="7" t="s">
        <v>342</v>
      </c>
      <c r="F52" s="12">
        <v>0</v>
      </c>
      <c r="G52" s="12">
        <v>0</v>
      </c>
      <c r="H52" s="12">
        <v>0</v>
      </c>
      <c r="I52" s="12">
        <v>0</v>
      </c>
      <c r="J52" s="12"/>
      <c r="K52" s="12">
        <v>0</v>
      </c>
      <c r="L52" s="12">
        <v>0</v>
      </c>
      <c r="M52" s="12">
        <v>0</v>
      </c>
      <c r="N52" s="12">
        <v>0</v>
      </c>
      <c r="O52" s="12">
        <v>0</v>
      </c>
      <c r="P52" s="12">
        <v>0</v>
      </c>
      <c r="Q52" s="12">
        <v>0</v>
      </c>
      <c r="R52" s="12">
        <v>0</v>
      </c>
      <c r="S52" s="12">
        <v>0</v>
      </c>
      <c r="T52" s="12"/>
      <c r="U52" s="12"/>
      <c r="V52" s="12"/>
      <c r="W52" s="12">
        <v>0</v>
      </c>
      <c r="X52" s="12"/>
      <c r="Y52" s="12">
        <v>0</v>
      </c>
      <c r="Z52" s="12">
        <v>0</v>
      </c>
      <c r="AA52" s="12">
        <v>0</v>
      </c>
      <c r="AB52" s="12">
        <v>0</v>
      </c>
      <c r="AC52" s="12">
        <v>0</v>
      </c>
      <c r="AD52" s="12"/>
      <c r="AE52" s="12">
        <v>0</v>
      </c>
      <c r="AF52" s="12">
        <v>0</v>
      </c>
      <c r="AG52" s="75">
        <f>SUM(F52:AF52)</f>
        <v>0</v>
      </c>
      <c r="AH52" s="7">
        <v>49</v>
      </c>
    </row>
    <row r="53" spans="3:34" x14ac:dyDescent="0.25">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75"/>
      <c r="AH53" s="7">
        <v>50</v>
      </c>
    </row>
    <row r="54" spans="3:34" x14ac:dyDescent="0.25">
      <c r="C54" s="76">
        <v>108</v>
      </c>
      <c r="D54" s="76"/>
      <c r="E54" s="76" t="s">
        <v>245</v>
      </c>
      <c r="F54" s="96">
        <f>F55+F56+F57+F58+F59+F60</f>
        <v>0</v>
      </c>
      <c r="G54" s="96">
        <f t="shared" ref="G54:AF54" si="13">G55+G56+G57+G58+G59+G60</f>
        <v>0</v>
      </c>
      <c r="H54" s="96">
        <f t="shared" si="13"/>
        <v>0</v>
      </c>
      <c r="I54" s="96">
        <f t="shared" si="13"/>
        <v>0</v>
      </c>
      <c r="J54" s="96">
        <f t="shared" si="13"/>
        <v>0</v>
      </c>
      <c r="K54" s="96">
        <f t="shared" si="13"/>
        <v>0</v>
      </c>
      <c r="L54" s="96">
        <f t="shared" si="13"/>
        <v>0</v>
      </c>
      <c r="M54" s="96">
        <f t="shared" si="13"/>
        <v>0</v>
      </c>
      <c r="N54" s="96">
        <f t="shared" si="13"/>
        <v>0</v>
      </c>
      <c r="O54" s="96">
        <f t="shared" si="13"/>
        <v>0</v>
      </c>
      <c r="P54" s="96">
        <f t="shared" si="13"/>
        <v>0</v>
      </c>
      <c r="Q54" s="96">
        <f t="shared" si="13"/>
        <v>0</v>
      </c>
      <c r="R54" s="96">
        <f t="shared" si="13"/>
        <v>0</v>
      </c>
      <c r="S54" s="96">
        <f t="shared" si="13"/>
        <v>0</v>
      </c>
      <c r="T54" s="96">
        <f t="shared" si="13"/>
        <v>0</v>
      </c>
      <c r="U54" s="96">
        <f t="shared" si="13"/>
        <v>0</v>
      </c>
      <c r="V54" s="96">
        <f t="shared" si="13"/>
        <v>0</v>
      </c>
      <c r="W54" s="96">
        <f t="shared" si="13"/>
        <v>0</v>
      </c>
      <c r="X54" s="96">
        <f t="shared" si="13"/>
        <v>0</v>
      </c>
      <c r="Y54" s="96">
        <f t="shared" si="13"/>
        <v>0</v>
      </c>
      <c r="Z54" s="96">
        <f t="shared" si="13"/>
        <v>257410</v>
      </c>
      <c r="AA54" s="96">
        <f t="shared" si="13"/>
        <v>0</v>
      </c>
      <c r="AB54" s="96">
        <f t="shared" si="13"/>
        <v>0</v>
      </c>
      <c r="AC54" s="96">
        <f t="shared" si="13"/>
        <v>0</v>
      </c>
      <c r="AD54" s="96">
        <f t="shared" si="13"/>
        <v>0</v>
      </c>
      <c r="AE54" s="96">
        <f t="shared" si="13"/>
        <v>0</v>
      </c>
      <c r="AF54" s="96">
        <f t="shared" si="13"/>
        <v>0</v>
      </c>
      <c r="AG54" s="96">
        <f t="shared" ref="AG54:AG60" si="14">SUM(F54:AF54)</f>
        <v>257410</v>
      </c>
      <c r="AH54" s="7">
        <v>51</v>
      </c>
    </row>
    <row r="55" spans="3:34" x14ac:dyDescent="0.25">
      <c r="D55" s="7">
        <v>1080</v>
      </c>
      <c r="E55" s="7" t="s">
        <v>344</v>
      </c>
      <c r="F55" s="12">
        <v>0</v>
      </c>
      <c r="G55" s="12">
        <v>0</v>
      </c>
      <c r="H55" s="12">
        <v>0</v>
      </c>
      <c r="I55" s="12">
        <v>0</v>
      </c>
      <c r="J55" s="12"/>
      <c r="K55" s="12">
        <v>0</v>
      </c>
      <c r="L55" s="12">
        <v>0</v>
      </c>
      <c r="M55" s="12">
        <v>0</v>
      </c>
      <c r="N55" s="12">
        <v>0</v>
      </c>
      <c r="O55" s="12">
        <v>0</v>
      </c>
      <c r="P55" s="12">
        <v>0</v>
      </c>
      <c r="Q55" s="12">
        <v>0</v>
      </c>
      <c r="R55" s="12">
        <v>0</v>
      </c>
      <c r="S55" s="12">
        <v>0</v>
      </c>
      <c r="T55" s="12"/>
      <c r="U55" s="12"/>
      <c r="V55" s="12"/>
      <c r="W55" s="12">
        <v>0</v>
      </c>
      <c r="X55" s="12"/>
      <c r="Y55" s="12">
        <v>0</v>
      </c>
      <c r="Z55" s="12">
        <v>257410</v>
      </c>
      <c r="AA55" s="12">
        <v>0</v>
      </c>
      <c r="AB55" s="12">
        <v>0</v>
      </c>
      <c r="AC55" s="12">
        <v>0</v>
      </c>
      <c r="AD55" s="12"/>
      <c r="AE55" s="12">
        <v>0</v>
      </c>
      <c r="AF55" s="12">
        <v>0</v>
      </c>
      <c r="AG55" s="75">
        <f t="shared" si="14"/>
        <v>257410</v>
      </c>
      <c r="AH55" s="7">
        <v>52</v>
      </c>
    </row>
    <row r="56" spans="3:34" x14ac:dyDescent="0.25">
      <c r="D56" s="7">
        <v>1084</v>
      </c>
      <c r="E56" s="7" t="s">
        <v>345</v>
      </c>
      <c r="F56" s="12">
        <v>0</v>
      </c>
      <c r="G56" s="12">
        <v>0</v>
      </c>
      <c r="H56" s="12">
        <v>0</v>
      </c>
      <c r="I56" s="12">
        <v>0</v>
      </c>
      <c r="J56" s="12"/>
      <c r="K56" s="12">
        <v>0</v>
      </c>
      <c r="L56" s="12">
        <v>0</v>
      </c>
      <c r="M56" s="12">
        <v>0</v>
      </c>
      <c r="N56" s="12">
        <v>0</v>
      </c>
      <c r="O56" s="12">
        <v>0</v>
      </c>
      <c r="P56" s="12">
        <v>0</v>
      </c>
      <c r="Q56" s="12">
        <v>0</v>
      </c>
      <c r="R56" s="12">
        <v>0</v>
      </c>
      <c r="S56" s="12">
        <v>0</v>
      </c>
      <c r="T56" s="12"/>
      <c r="U56" s="12"/>
      <c r="V56" s="12"/>
      <c r="W56" s="12">
        <v>0</v>
      </c>
      <c r="X56" s="12"/>
      <c r="Y56" s="12">
        <v>0</v>
      </c>
      <c r="Z56" s="12">
        <v>0</v>
      </c>
      <c r="AA56" s="12">
        <v>0</v>
      </c>
      <c r="AB56" s="12">
        <v>0</v>
      </c>
      <c r="AC56" s="12">
        <v>0</v>
      </c>
      <c r="AD56" s="12"/>
      <c r="AE56" s="12">
        <v>0</v>
      </c>
      <c r="AF56" s="12">
        <v>0</v>
      </c>
      <c r="AG56" s="75">
        <f t="shared" si="14"/>
        <v>0</v>
      </c>
      <c r="AH56" s="7">
        <v>53</v>
      </c>
    </row>
    <row r="57" spans="3:34" x14ac:dyDescent="0.25">
      <c r="D57" s="7">
        <v>1086</v>
      </c>
      <c r="E57" s="7" t="s">
        <v>346</v>
      </c>
      <c r="F57" s="12">
        <v>0</v>
      </c>
      <c r="G57" s="12">
        <v>0</v>
      </c>
      <c r="H57" s="12">
        <v>0</v>
      </c>
      <c r="I57" s="12">
        <v>0</v>
      </c>
      <c r="J57" s="12"/>
      <c r="K57" s="12">
        <v>0</v>
      </c>
      <c r="L57" s="12">
        <v>0</v>
      </c>
      <c r="M57" s="12">
        <v>0</v>
      </c>
      <c r="N57" s="12">
        <v>0</v>
      </c>
      <c r="O57" s="12">
        <v>0</v>
      </c>
      <c r="P57" s="12">
        <v>0</v>
      </c>
      <c r="Q57" s="12">
        <v>0</v>
      </c>
      <c r="R57" s="12">
        <v>0</v>
      </c>
      <c r="S57" s="12">
        <v>0</v>
      </c>
      <c r="T57" s="12"/>
      <c r="U57" s="12"/>
      <c r="V57" s="12"/>
      <c r="W57" s="12">
        <v>0</v>
      </c>
      <c r="X57" s="12"/>
      <c r="Y57" s="12">
        <v>0</v>
      </c>
      <c r="Z57" s="12">
        <v>0</v>
      </c>
      <c r="AA57" s="12">
        <v>0</v>
      </c>
      <c r="AB57" s="12">
        <v>0</v>
      </c>
      <c r="AC57" s="12">
        <v>0</v>
      </c>
      <c r="AD57" s="12"/>
      <c r="AE57" s="12">
        <v>0</v>
      </c>
      <c r="AF57" s="12">
        <v>0</v>
      </c>
      <c r="AG57" s="75">
        <f t="shared" si="14"/>
        <v>0</v>
      </c>
      <c r="AH57" s="7">
        <v>54</v>
      </c>
    </row>
    <row r="58" spans="3:34" x14ac:dyDescent="0.25">
      <c r="D58" s="7">
        <v>1087</v>
      </c>
      <c r="E58" s="7" t="s">
        <v>347</v>
      </c>
      <c r="F58" s="12">
        <v>0</v>
      </c>
      <c r="G58" s="12">
        <v>0</v>
      </c>
      <c r="H58" s="12">
        <v>0</v>
      </c>
      <c r="I58" s="12">
        <v>0</v>
      </c>
      <c r="J58" s="12"/>
      <c r="K58" s="12">
        <v>0</v>
      </c>
      <c r="L58" s="12">
        <v>0</v>
      </c>
      <c r="M58" s="12">
        <v>0</v>
      </c>
      <c r="N58" s="12">
        <v>0</v>
      </c>
      <c r="O58" s="12">
        <v>0</v>
      </c>
      <c r="P58" s="12">
        <v>0</v>
      </c>
      <c r="Q58" s="12">
        <v>0</v>
      </c>
      <c r="R58" s="12">
        <v>0</v>
      </c>
      <c r="S58" s="12">
        <v>0</v>
      </c>
      <c r="T58" s="12"/>
      <c r="U58" s="12"/>
      <c r="V58" s="12"/>
      <c r="W58" s="12">
        <v>0</v>
      </c>
      <c r="X58" s="12"/>
      <c r="Y58" s="12">
        <v>0</v>
      </c>
      <c r="Z58" s="12">
        <v>0</v>
      </c>
      <c r="AA58" s="12">
        <v>0</v>
      </c>
      <c r="AB58" s="12">
        <v>0</v>
      </c>
      <c r="AC58" s="12">
        <v>0</v>
      </c>
      <c r="AD58" s="12"/>
      <c r="AE58" s="12">
        <v>0</v>
      </c>
      <c r="AF58" s="12">
        <v>0</v>
      </c>
      <c r="AG58" s="75">
        <f t="shared" si="14"/>
        <v>0</v>
      </c>
      <c r="AH58" s="7">
        <v>55</v>
      </c>
    </row>
    <row r="59" spans="3:34" x14ac:dyDescent="0.25">
      <c r="D59" s="7">
        <v>1088</v>
      </c>
      <c r="E59" s="7" t="s">
        <v>348</v>
      </c>
      <c r="F59" s="12">
        <v>0</v>
      </c>
      <c r="G59" s="12">
        <v>0</v>
      </c>
      <c r="H59" s="12">
        <v>0</v>
      </c>
      <c r="I59" s="12">
        <v>0</v>
      </c>
      <c r="J59" s="12"/>
      <c r="K59" s="12">
        <v>0</v>
      </c>
      <c r="L59" s="12">
        <v>0</v>
      </c>
      <c r="M59" s="12">
        <v>0</v>
      </c>
      <c r="N59" s="12">
        <v>0</v>
      </c>
      <c r="O59" s="12">
        <v>0</v>
      </c>
      <c r="P59" s="12">
        <v>0</v>
      </c>
      <c r="Q59" s="12">
        <v>0</v>
      </c>
      <c r="R59" s="12">
        <v>0</v>
      </c>
      <c r="S59" s="12">
        <v>0</v>
      </c>
      <c r="T59" s="12"/>
      <c r="U59" s="12"/>
      <c r="V59" s="12"/>
      <c r="W59" s="12">
        <v>0</v>
      </c>
      <c r="X59" s="12"/>
      <c r="Y59" s="12">
        <v>0</v>
      </c>
      <c r="Z59" s="12">
        <v>0</v>
      </c>
      <c r="AA59" s="12">
        <v>0</v>
      </c>
      <c r="AB59" s="12">
        <v>0</v>
      </c>
      <c r="AC59" s="12">
        <v>0</v>
      </c>
      <c r="AD59" s="12"/>
      <c r="AE59" s="12">
        <v>0</v>
      </c>
      <c r="AF59" s="12">
        <v>0</v>
      </c>
      <c r="AG59" s="75">
        <f t="shared" si="14"/>
        <v>0</v>
      </c>
      <c r="AH59" s="7">
        <v>56</v>
      </c>
    </row>
    <row r="60" spans="3:34" x14ac:dyDescent="0.25">
      <c r="D60" s="7">
        <v>1089</v>
      </c>
      <c r="E60" s="7" t="s">
        <v>349</v>
      </c>
      <c r="F60" s="12">
        <v>0</v>
      </c>
      <c r="G60" s="12">
        <v>0</v>
      </c>
      <c r="H60" s="12">
        <v>0</v>
      </c>
      <c r="I60" s="12">
        <v>0</v>
      </c>
      <c r="J60" s="12"/>
      <c r="K60" s="12">
        <v>0</v>
      </c>
      <c r="L60" s="12">
        <v>0</v>
      </c>
      <c r="M60" s="12">
        <v>0</v>
      </c>
      <c r="N60" s="12">
        <v>0</v>
      </c>
      <c r="O60" s="12">
        <v>0</v>
      </c>
      <c r="P60" s="12">
        <v>0</v>
      </c>
      <c r="Q60" s="12">
        <v>0</v>
      </c>
      <c r="R60" s="12">
        <v>0</v>
      </c>
      <c r="S60" s="12">
        <v>0</v>
      </c>
      <c r="T60" s="12"/>
      <c r="U60" s="12"/>
      <c r="V60" s="12"/>
      <c r="W60" s="12">
        <v>0</v>
      </c>
      <c r="X60" s="12"/>
      <c r="Y60" s="12">
        <v>0</v>
      </c>
      <c r="Z60" s="12">
        <v>0</v>
      </c>
      <c r="AA60" s="12">
        <v>0</v>
      </c>
      <c r="AB60" s="12">
        <v>0</v>
      </c>
      <c r="AC60" s="12">
        <v>0</v>
      </c>
      <c r="AD60" s="12"/>
      <c r="AE60" s="12">
        <v>0</v>
      </c>
      <c r="AF60" s="12">
        <v>0</v>
      </c>
      <c r="AG60" s="75">
        <f t="shared" si="14"/>
        <v>0</v>
      </c>
      <c r="AH60" s="7">
        <v>57</v>
      </c>
    </row>
    <row r="61" spans="3:34" x14ac:dyDescent="0.25">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75"/>
      <c r="AH61" s="7">
        <v>58</v>
      </c>
    </row>
    <row r="62" spans="3:34" x14ac:dyDescent="0.25">
      <c r="C62" s="76">
        <v>109</v>
      </c>
      <c r="D62" s="76"/>
      <c r="E62" s="76" t="s">
        <v>350</v>
      </c>
      <c r="F62" s="96">
        <f>F63+F64+F65+F66</f>
        <v>0</v>
      </c>
      <c r="G62" s="96">
        <f t="shared" ref="G62:AF62" si="15">G63+G64+G65+G66</f>
        <v>0</v>
      </c>
      <c r="H62" s="96">
        <f t="shared" si="15"/>
        <v>0</v>
      </c>
      <c r="I62" s="96">
        <f t="shared" si="15"/>
        <v>0</v>
      </c>
      <c r="J62" s="96">
        <f t="shared" si="15"/>
        <v>0</v>
      </c>
      <c r="K62" s="96">
        <f t="shared" si="15"/>
        <v>0</v>
      </c>
      <c r="L62" s="96">
        <f t="shared" si="15"/>
        <v>0</v>
      </c>
      <c r="M62" s="96">
        <f t="shared" si="15"/>
        <v>0</v>
      </c>
      <c r="N62" s="96">
        <f t="shared" si="15"/>
        <v>0</v>
      </c>
      <c r="O62" s="96">
        <f t="shared" si="15"/>
        <v>0</v>
      </c>
      <c r="P62" s="96">
        <f t="shared" si="15"/>
        <v>0</v>
      </c>
      <c r="Q62" s="96">
        <f t="shared" si="15"/>
        <v>0</v>
      </c>
      <c r="R62" s="96">
        <f t="shared" si="15"/>
        <v>0</v>
      </c>
      <c r="S62" s="96">
        <f t="shared" si="15"/>
        <v>0</v>
      </c>
      <c r="T62" s="96">
        <f t="shared" si="15"/>
        <v>0</v>
      </c>
      <c r="U62" s="96">
        <f t="shared" si="15"/>
        <v>0</v>
      </c>
      <c r="V62" s="96">
        <f t="shared" si="15"/>
        <v>0</v>
      </c>
      <c r="W62" s="96">
        <f t="shared" si="15"/>
        <v>0</v>
      </c>
      <c r="X62" s="96">
        <f t="shared" si="15"/>
        <v>0</v>
      </c>
      <c r="Y62" s="96">
        <f t="shared" si="15"/>
        <v>0</v>
      </c>
      <c r="Z62" s="96">
        <f t="shared" si="15"/>
        <v>0</v>
      </c>
      <c r="AA62" s="96">
        <f t="shared" si="15"/>
        <v>0</v>
      </c>
      <c r="AB62" s="96">
        <f t="shared" si="15"/>
        <v>0</v>
      </c>
      <c r="AC62" s="96">
        <f t="shared" si="15"/>
        <v>0</v>
      </c>
      <c r="AD62" s="96">
        <f t="shared" si="15"/>
        <v>0</v>
      </c>
      <c r="AE62" s="96">
        <f t="shared" si="15"/>
        <v>0</v>
      </c>
      <c r="AF62" s="96">
        <f t="shared" si="15"/>
        <v>0</v>
      </c>
      <c r="AG62" s="96">
        <f>SUM(F62:AF62)</f>
        <v>0</v>
      </c>
      <c r="AH62" s="7">
        <v>59</v>
      </c>
    </row>
    <row r="63" spans="3:34" x14ac:dyDescent="0.25">
      <c r="D63" s="7">
        <v>1090</v>
      </c>
      <c r="E63" s="7" t="s">
        <v>350</v>
      </c>
      <c r="F63" s="12">
        <v>0</v>
      </c>
      <c r="G63" s="12">
        <v>0</v>
      </c>
      <c r="H63" s="12">
        <v>0</v>
      </c>
      <c r="I63" s="12">
        <v>0</v>
      </c>
      <c r="J63" s="12"/>
      <c r="K63" s="12">
        <v>0</v>
      </c>
      <c r="L63" s="12">
        <v>0</v>
      </c>
      <c r="M63" s="12">
        <v>0</v>
      </c>
      <c r="N63" s="12">
        <v>0</v>
      </c>
      <c r="O63" s="12">
        <v>0</v>
      </c>
      <c r="P63" s="12">
        <v>0</v>
      </c>
      <c r="Q63" s="12">
        <v>0</v>
      </c>
      <c r="R63" s="12">
        <v>0</v>
      </c>
      <c r="S63" s="12">
        <v>0</v>
      </c>
      <c r="T63" s="12"/>
      <c r="U63" s="12"/>
      <c r="V63" s="12"/>
      <c r="W63" s="12">
        <v>0</v>
      </c>
      <c r="X63" s="12"/>
      <c r="Y63" s="12">
        <v>0</v>
      </c>
      <c r="Z63" s="12">
        <v>0</v>
      </c>
      <c r="AA63" s="12">
        <v>0</v>
      </c>
      <c r="AB63" s="12">
        <v>0</v>
      </c>
      <c r="AC63" s="12">
        <v>0</v>
      </c>
      <c r="AD63" s="12"/>
      <c r="AE63" s="12">
        <v>0</v>
      </c>
      <c r="AF63" s="12">
        <v>0</v>
      </c>
      <c r="AG63" s="75">
        <f>SUM(F63:AF63)</f>
        <v>0</v>
      </c>
      <c r="AH63" s="7">
        <v>60</v>
      </c>
    </row>
    <row r="64" spans="3:34" x14ac:dyDescent="0.25">
      <c r="D64" s="7">
        <v>1091</v>
      </c>
      <c r="E64" s="7" t="s">
        <v>351</v>
      </c>
      <c r="F64" s="12">
        <v>0</v>
      </c>
      <c r="G64" s="12">
        <v>0</v>
      </c>
      <c r="H64" s="12">
        <v>0</v>
      </c>
      <c r="I64" s="12">
        <v>0</v>
      </c>
      <c r="J64" s="12"/>
      <c r="K64" s="12">
        <v>0</v>
      </c>
      <c r="L64" s="12">
        <v>0</v>
      </c>
      <c r="M64" s="12">
        <v>0</v>
      </c>
      <c r="N64" s="12">
        <v>0</v>
      </c>
      <c r="O64" s="12">
        <v>0</v>
      </c>
      <c r="P64" s="12">
        <v>0</v>
      </c>
      <c r="Q64" s="12">
        <v>0</v>
      </c>
      <c r="R64" s="12">
        <v>0</v>
      </c>
      <c r="S64" s="12">
        <v>0</v>
      </c>
      <c r="T64" s="12"/>
      <c r="U64" s="12"/>
      <c r="V64" s="12"/>
      <c r="W64" s="12">
        <v>0</v>
      </c>
      <c r="X64" s="12"/>
      <c r="Y64" s="12">
        <v>0</v>
      </c>
      <c r="Z64" s="12">
        <v>0</v>
      </c>
      <c r="AA64" s="12">
        <v>0</v>
      </c>
      <c r="AB64" s="12">
        <v>0</v>
      </c>
      <c r="AC64" s="12">
        <v>0</v>
      </c>
      <c r="AD64" s="12"/>
      <c r="AE64" s="12">
        <v>0</v>
      </c>
      <c r="AF64" s="12">
        <v>0</v>
      </c>
      <c r="AG64" s="75">
        <f>SUM(F64:AF64)</f>
        <v>0</v>
      </c>
      <c r="AH64" s="7">
        <v>61</v>
      </c>
    </row>
    <row r="65" spans="2:34" x14ac:dyDescent="0.25">
      <c r="D65" s="7">
        <v>1092</v>
      </c>
      <c r="E65" s="7" t="s">
        <v>352</v>
      </c>
      <c r="F65" s="12">
        <v>0</v>
      </c>
      <c r="G65" s="12">
        <v>0</v>
      </c>
      <c r="H65" s="12">
        <v>0</v>
      </c>
      <c r="I65" s="12">
        <v>0</v>
      </c>
      <c r="J65" s="12"/>
      <c r="K65" s="12">
        <v>0</v>
      </c>
      <c r="L65" s="12">
        <v>0</v>
      </c>
      <c r="M65" s="12">
        <v>0</v>
      </c>
      <c r="N65" s="12">
        <v>0</v>
      </c>
      <c r="O65" s="12">
        <v>0</v>
      </c>
      <c r="P65" s="12">
        <v>0</v>
      </c>
      <c r="Q65" s="12">
        <v>0</v>
      </c>
      <c r="R65" s="12">
        <v>0</v>
      </c>
      <c r="S65" s="12">
        <v>0</v>
      </c>
      <c r="T65" s="12"/>
      <c r="U65" s="12"/>
      <c r="V65" s="12"/>
      <c r="W65" s="12">
        <v>0</v>
      </c>
      <c r="X65" s="12"/>
      <c r="Y65" s="12">
        <v>0</v>
      </c>
      <c r="Z65" s="12">
        <v>0</v>
      </c>
      <c r="AA65" s="12">
        <v>0</v>
      </c>
      <c r="AB65" s="12">
        <v>0</v>
      </c>
      <c r="AC65" s="12">
        <v>0</v>
      </c>
      <c r="AD65" s="12"/>
      <c r="AE65" s="12">
        <v>0</v>
      </c>
      <c r="AF65" s="12">
        <v>0</v>
      </c>
      <c r="AG65" s="75">
        <f>SUM(F65:AF65)</f>
        <v>0</v>
      </c>
      <c r="AH65" s="7">
        <v>62</v>
      </c>
    </row>
    <row r="66" spans="2:34" x14ac:dyDescent="0.25">
      <c r="D66" s="7">
        <v>1093</v>
      </c>
      <c r="E66" s="7" t="s">
        <v>353</v>
      </c>
      <c r="F66" s="12">
        <v>0</v>
      </c>
      <c r="G66" s="12">
        <v>0</v>
      </c>
      <c r="H66" s="12">
        <v>0</v>
      </c>
      <c r="I66" s="12">
        <v>0</v>
      </c>
      <c r="J66" s="12"/>
      <c r="K66" s="12">
        <v>0</v>
      </c>
      <c r="L66" s="12">
        <v>0</v>
      </c>
      <c r="M66" s="12">
        <v>0</v>
      </c>
      <c r="N66" s="12">
        <v>0</v>
      </c>
      <c r="O66" s="12">
        <v>0</v>
      </c>
      <c r="P66" s="12">
        <v>0</v>
      </c>
      <c r="Q66" s="12">
        <v>0</v>
      </c>
      <c r="R66" s="12">
        <v>0</v>
      </c>
      <c r="S66" s="12">
        <v>0</v>
      </c>
      <c r="T66" s="12"/>
      <c r="U66" s="12"/>
      <c r="V66" s="12"/>
      <c r="W66" s="12">
        <v>0</v>
      </c>
      <c r="X66" s="12"/>
      <c r="Y66" s="12">
        <v>0</v>
      </c>
      <c r="Z66" s="12">
        <v>0</v>
      </c>
      <c r="AA66" s="12">
        <v>0</v>
      </c>
      <c r="AB66" s="12">
        <v>0</v>
      </c>
      <c r="AC66" s="12">
        <v>0</v>
      </c>
      <c r="AD66" s="12"/>
      <c r="AE66" s="12">
        <v>0</v>
      </c>
      <c r="AF66" s="12">
        <v>0</v>
      </c>
      <c r="AG66" s="75">
        <f>SUM(F66:AF66)</f>
        <v>0</v>
      </c>
      <c r="AH66" s="7">
        <v>63</v>
      </c>
    </row>
    <row r="67" spans="2:34" x14ac:dyDescent="0.25">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75"/>
      <c r="AH67" s="7">
        <v>64</v>
      </c>
    </row>
    <row r="68" spans="2:34" x14ac:dyDescent="0.25">
      <c r="B68" s="106">
        <v>14</v>
      </c>
      <c r="C68" s="106"/>
      <c r="D68" s="106"/>
      <c r="E68" s="106" t="s">
        <v>246</v>
      </c>
      <c r="F68" s="107">
        <f>F69+F80+F86+F97+F108</f>
        <v>2607768.37</v>
      </c>
      <c r="G68" s="107">
        <f t="shared" ref="G68:AF68" si="16">G69+G80+G86+G97+G108</f>
        <v>64864935.339999996</v>
      </c>
      <c r="H68" s="107">
        <f t="shared" si="16"/>
        <v>2</v>
      </c>
      <c r="I68" s="107">
        <f t="shared" si="16"/>
        <v>2951151.6999999997</v>
      </c>
      <c r="J68" s="107">
        <f t="shared" si="16"/>
        <v>0</v>
      </c>
      <c r="K68" s="107">
        <f t="shared" si="16"/>
        <v>3365859.06</v>
      </c>
      <c r="L68" s="107">
        <f t="shared" si="16"/>
        <v>447270</v>
      </c>
      <c r="M68" s="107">
        <f t="shared" si="16"/>
        <v>3755533.5199999996</v>
      </c>
      <c r="N68" s="107">
        <f t="shared" si="16"/>
        <v>0</v>
      </c>
      <c r="O68" s="107">
        <f t="shared" si="16"/>
        <v>0</v>
      </c>
      <c r="P68" s="107">
        <f t="shared" si="16"/>
        <v>5397821.2999999998</v>
      </c>
      <c r="Q68" s="107">
        <f t="shared" si="16"/>
        <v>41297.199999999997</v>
      </c>
      <c r="R68" s="107">
        <f t="shared" si="16"/>
        <v>24800</v>
      </c>
      <c r="S68" s="107">
        <f t="shared" si="16"/>
        <v>2200</v>
      </c>
      <c r="T68" s="107">
        <f t="shared" si="16"/>
        <v>0</v>
      </c>
      <c r="U68" s="107">
        <f t="shared" si="16"/>
        <v>0</v>
      </c>
      <c r="V68" s="107">
        <f t="shared" si="16"/>
        <v>0</v>
      </c>
      <c r="W68" s="107">
        <f t="shared" si="16"/>
        <v>1355034.64</v>
      </c>
      <c r="X68" s="107">
        <f t="shared" si="16"/>
        <v>0</v>
      </c>
      <c r="Y68" s="107">
        <f t="shared" si="16"/>
        <v>570862</v>
      </c>
      <c r="Z68" s="107">
        <f t="shared" si="16"/>
        <v>22142286.939999998</v>
      </c>
      <c r="AA68" s="107">
        <f t="shared" si="16"/>
        <v>1781504.5</v>
      </c>
      <c r="AB68" s="107">
        <f t="shared" si="16"/>
        <v>2682475.64</v>
      </c>
      <c r="AC68" s="107">
        <f t="shared" si="16"/>
        <v>0</v>
      </c>
      <c r="AD68" s="107">
        <f t="shared" si="16"/>
        <v>0</v>
      </c>
      <c r="AE68" s="107">
        <f t="shared" si="16"/>
        <v>7795028.75</v>
      </c>
      <c r="AF68" s="107">
        <f t="shared" si="16"/>
        <v>4317</v>
      </c>
      <c r="AG68" s="107">
        <f t="shared" ref="AG68:AG78" si="17">SUM(F68:AF68)</f>
        <v>119790147.95999999</v>
      </c>
      <c r="AH68" s="7">
        <v>65</v>
      </c>
    </row>
    <row r="69" spans="2:34" x14ac:dyDescent="0.25">
      <c r="C69" s="76">
        <v>140</v>
      </c>
      <c r="D69" s="76"/>
      <c r="E69" s="76" t="s">
        <v>248</v>
      </c>
      <c r="F69" s="96">
        <f>F70+F71+F72+F73+F74+F75+F76+F77+F78</f>
        <v>2607768.37</v>
      </c>
      <c r="G69" s="96">
        <f t="shared" ref="G69:AF69" si="18">G70+G71+G72+G73+G74+G75+G76+G77+G78</f>
        <v>64864935.339999996</v>
      </c>
      <c r="H69" s="96">
        <f t="shared" si="18"/>
        <v>2</v>
      </c>
      <c r="I69" s="96">
        <f t="shared" si="18"/>
        <v>2937151.6999999997</v>
      </c>
      <c r="J69" s="96">
        <f t="shared" si="18"/>
        <v>0</v>
      </c>
      <c r="K69" s="96">
        <f t="shared" si="18"/>
        <v>3365859.06</v>
      </c>
      <c r="L69" s="96">
        <f t="shared" si="18"/>
        <v>447270</v>
      </c>
      <c r="M69" s="96">
        <f t="shared" si="18"/>
        <v>3708001.2199999997</v>
      </c>
      <c r="N69" s="96">
        <f t="shared" si="18"/>
        <v>0</v>
      </c>
      <c r="O69" s="96">
        <f t="shared" si="18"/>
        <v>0</v>
      </c>
      <c r="P69" s="96">
        <f t="shared" si="18"/>
        <v>5031216.1499999994</v>
      </c>
      <c r="Q69" s="96">
        <f t="shared" si="18"/>
        <v>41297.199999999997</v>
      </c>
      <c r="R69" s="96">
        <f t="shared" si="18"/>
        <v>24800</v>
      </c>
      <c r="S69" s="96">
        <f t="shared" si="18"/>
        <v>2200</v>
      </c>
      <c r="T69" s="96">
        <f t="shared" si="18"/>
        <v>0</v>
      </c>
      <c r="U69" s="96">
        <f t="shared" si="18"/>
        <v>0</v>
      </c>
      <c r="V69" s="96">
        <f t="shared" si="18"/>
        <v>0</v>
      </c>
      <c r="W69" s="96">
        <f t="shared" si="18"/>
        <v>1355034.64</v>
      </c>
      <c r="X69" s="96">
        <f t="shared" si="18"/>
        <v>0</v>
      </c>
      <c r="Y69" s="96">
        <f t="shared" si="18"/>
        <v>570862</v>
      </c>
      <c r="Z69" s="96">
        <f t="shared" si="18"/>
        <v>22142284.939999998</v>
      </c>
      <c r="AA69" s="96">
        <f t="shared" si="18"/>
        <v>1707990.7</v>
      </c>
      <c r="AB69" s="96">
        <f t="shared" si="18"/>
        <v>2682475.64</v>
      </c>
      <c r="AC69" s="96">
        <f t="shared" si="18"/>
        <v>0</v>
      </c>
      <c r="AD69" s="96">
        <f t="shared" si="18"/>
        <v>0</v>
      </c>
      <c r="AE69" s="96">
        <f t="shared" si="18"/>
        <v>7795028.75</v>
      </c>
      <c r="AF69" s="96">
        <f t="shared" si="18"/>
        <v>4317</v>
      </c>
      <c r="AG69" s="96">
        <f t="shared" si="17"/>
        <v>119288494.71000001</v>
      </c>
      <c r="AH69" s="7">
        <v>66</v>
      </c>
    </row>
    <row r="70" spans="2:34" x14ac:dyDescent="0.25">
      <c r="D70" s="7">
        <v>1400</v>
      </c>
      <c r="E70" s="7" t="s">
        <v>354</v>
      </c>
      <c r="F70" s="12">
        <v>0</v>
      </c>
      <c r="G70" s="12">
        <v>0</v>
      </c>
      <c r="H70" s="12">
        <v>0</v>
      </c>
      <c r="I70" s="12">
        <v>0</v>
      </c>
      <c r="J70" s="12"/>
      <c r="K70" s="12">
        <v>0</v>
      </c>
      <c r="L70" s="12">
        <v>0</v>
      </c>
      <c r="M70" s="12">
        <v>0</v>
      </c>
      <c r="N70" s="12">
        <v>0</v>
      </c>
      <c r="O70" s="12">
        <v>0</v>
      </c>
      <c r="P70" s="12">
        <v>0</v>
      </c>
      <c r="Q70" s="12">
        <v>0</v>
      </c>
      <c r="R70" s="12">
        <v>24800</v>
      </c>
      <c r="S70" s="12">
        <v>0</v>
      </c>
      <c r="T70" s="12"/>
      <c r="U70" s="12"/>
      <c r="V70" s="12"/>
      <c r="W70" s="12">
        <v>0</v>
      </c>
      <c r="X70" s="12"/>
      <c r="Y70" s="12">
        <v>16120</v>
      </c>
      <c r="Z70" s="12">
        <v>0</v>
      </c>
      <c r="AA70" s="12">
        <v>0</v>
      </c>
      <c r="AB70" s="12">
        <v>0</v>
      </c>
      <c r="AC70" s="12">
        <v>0</v>
      </c>
      <c r="AD70" s="12"/>
      <c r="AE70" s="12">
        <v>0</v>
      </c>
      <c r="AF70" s="12">
        <v>4317</v>
      </c>
      <c r="AG70" s="75">
        <f t="shared" si="17"/>
        <v>45237</v>
      </c>
      <c r="AH70" s="7">
        <v>67</v>
      </c>
    </row>
    <row r="71" spans="2:34" x14ac:dyDescent="0.25">
      <c r="D71" s="7">
        <v>1401</v>
      </c>
      <c r="E71" s="7" t="s">
        <v>355</v>
      </c>
      <c r="F71" s="12">
        <v>0</v>
      </c>
      <c r="G71" s="12">
        <v>0</v>
      </c>
      <c r="H71" s="12">
        <v>0</v>
      </c>
      <c r="I71" s="12">
        <v>321913.7</v>
      </c>
      <c r="J71" s="12"/>
      <c r="K71" s="12">
        <v>0</v>
      </c>
      <c r="L71" s="12">
        <v>0</v>
      </c>
      <c r="M71" s="12">
        <v>0</v>
      </c>
      <c r="N71" s="12">
        <v>0</v>
      </c>
      <c r="O71" s="12">
        <v>0</v>
      </c>
      <c r="P71" s="12">
        <v>0</v>
      </c>
      <c r="Q71" s="12">
        <v>0</v>
      </c>
      <c r="R71" s="12">
        <v>0</v>
      </c>
      <c r="S71" s="12">
        <v>0</v>
      </c>
      <c r="T71" s="12"/>
      <c r="U71" s="12"/>
      <c r="V71" s="12"/>
      <c r="W71" s="12">
        <v>0</v>
      </c>
      <c r="X71" s="12"/>
      <c r="Y71" s="12">
        <v>0</v>
      </c>
      <c r="Z71" s="12">
        <v>0</v>
      </c>
      <c r="AA71" s="12">
        <v>0</v>
      </c>
      <c r="AB71" s="12">
        <v>0</v>
      </c>
      <c r="AC71" s="12">
        <v>0</v>
      </c>
      <c r="AD71" s="12"/>
      <c r="AE71" s="12">
        <v>0</v>
      </c>
      <c r="AF71" s="12">
        <v>0</v>
      </c>
      <c r="AG71" s="75">
        <f t="shared" si="17"/>
        <v>321913.7</v>
      </c>
      <c r="AH71" s="7">
        <v>68</v>
      </c>
    </row>
    <row r="72" spans="2:34" x14ac:dyDescent="0.25">
      <c r="D72" s="7">
        <v>1402</v>
      </c>
      <c r="E72" s="7" t="s">
        <v>356</v>
      </c>
      <c r="F72" s="12">
        <v>0</v>
      </c>
      <c r="G72" s="12">
        <v>75652.44</v>
      </c>
      <c r="H72" s="12">
        <v>0</v>
      </c>
      <c r="I72" s="12">
        <v>0</v>
      </c>
      <c r="J72" s="12"/>
      <c r="K72" s="12">
        <v>0</v>
      </c>
      <c r="L72" s="12">
        <v>0</v>
      </c>
      <c r="M72" s="12">
        <v>0</v>
      </c>
      <c r="N72" s="12">
        <v>0</v>
      </c>
      <c r="O72" s="12">
        <v>0</v>
      </c>
      <c r="P72" s="12">
        <v>0</v>
      </c>
      <c r="Q72" s="12">
        <v>0</v>
      </c>
      <c r="R72" s="12">
        <v>0</v>
      </c>
      <c r="S72" s="12">
        <v>0</v>
      </c>
      <c r="T72" s="12"/>
      <c r="U72" s="12"/>
      <c r="V72" s="12"/>
      <c r="W72" s="12">
        <v>0</v>
      </c>
      <c r="X72" s="12"/>
      <c r="Y72" s="12">
        <v>0</v>
      </c>
      <c r="Z72" s="12">
        <v>0</v>
      </c>
      <c r="AA72" s="12">
        <v>0</v>
      </c>
      <c r="AB72" s="12">
        <v>0</v>
      </c>
      <c r="AC72" s="12">
        <v>0</v>
      </c>
      <c r="AD72" s="12"/>
      <c r="AE72" s="12">
        <v>0</v>
      </c>
      <c r="AF72" s="12">
        <v>0</v>
      </c>
      <c r="AG72" s="75">
        <f t="shared" si="17"/>
        <v>75652.44</v>
      </c>
      <c r="AH72" s="7">
        <v>69</v>
      </c>
    </row>
    <row r="73" spans="2:34" x14ac:dyDescent="0.25">
      <c r="D73" s="7">
        <v>1403</v>
      </c>
      <c r="E73" s="7" t="s">
        <v>357</v>
      </c>
      <c r="F73" s="12">
        <v>0</v>
      </c>
      <c r="G73" s="12">
        <v>57927432.75</v>
      </c>
      <c r="H73" s="12">
        <v>0</v>
      </c>
      <c r="I73" s="12">
        <v>1510371.15</v>
      </c>
      <c r="J73" s="12"/>
      <c r="K73" s="12">
        <v>0</v>
      </c>
      <c r="L73" s="12">
        <v>0</v>
      </c>
      <c r="M73" s="12">
        <v>2569539.7999999998</v>
      </c>
      <c r="N73" s="12">
        <v>0</v>
      </c>
      <c r="O73" s="12">
        <v>0</v>
      </c>
      <c r="P73" s="12">
        <v>0</v>
      </c>
      <c r="Q73" s="12">
        <v>0</v>
      </c>
      <c r="R73" s="12">
        <v>0</v>
      </c>
      <c r="S73" s="12">
        <v>0</v>
      </c>
      <c r="T73" s="12"/>
      <c r="U73" s="12"/>
      <c r="V73" s="12"/>
      <c r="W73" s="12">
        <v>0</v>
      </c>
      <c r="X73" s="12"/>
      <c r="Y73" s="12">
        <v>83740</v>
      </c>
      <c r="Z73" s="12">
        <v>1397540.65</v>
      </c>
      <c r="AA73" s="12">
        <v>1487193.65</v>
      </c>
      <c r="AB73" s="12">
        <v>196480</v>
      </c>
      <c r="AC73" s="12">
        <v>0</v>
      </c>
      <c r="AD73" s="12"/>
      <c r="AE73" s="12">
        <v>0</v>
      </c>
      <c r="AF73" s="12">
        <v>0</v>
      </c>
      <c r="AG73" s="75">
        <f t="shared" si="17"/>
        <v>65172297.999999993</v>
      </c>
      <c r="AH73" s="7">
        <v>70</v>
      </c>
    </row>
    <row r="74" spans="2:34" x14ac:dyDescent="0.25">
      <c r="D74" s="7">
        <v>1404</v>
      </c>
      <c r="E74" s="7" t="s">
        <v>358</v>
      </c>
      <c r="F74" s="12">
        <v>2607768.37</v>
      </c>
      <c r="G74" s="12">
        <v>6408273.0300000003</v>
      </c>
      <c r="H74" s="12">
        <v>1</v>
      </c>
      <c r="I74" s="12">
        <v>334934.84999999998</v>
      </c>
      <c r="J74" s="12"/>
      <c r="K74" s="12">
        <v>3222700.25</v>
      </c>
      <c r="L74" s="12">
        <v>190500</v>
      </c>
      <c r="M74" s="12">
        <v>0</v>
      </c>
      <c r="N74" s="12">
        <v>0</v>
      </c>
      <c r="O74" s="12">
        <v>0</v>
      </c>
      <c r="P74" s="12">
        <v>48887.1</v>
      </c>
      <c r="Q74" s="12">
        <v>41297.199999999997</v>
      </c>
      <c r="R74" s="12">
        <v>0</v>
      </c>
      <c r="S74" s="12">
        <v>2200</v>
      </c>
      <c r="T74" s="12"/>
      <c r="U74" s="12"/>
      <c r="V74" s="12"/>
      <c r="W74" s="12">
        <v>1355034.64</v>
      </c>
      <c r="X74" s="12"/>
      <c r="Y74" s="12">
        <v>471001</v>
      </c>
      <c r="Z74" s="12">
        <v>20560582.379999999</v>
      </c>
      <c r="AA74" s="12">
        <v>220697.05</v>
      </c>
      <c r="AB74" s="12">
        <v>1077790</v>
      </c>
      <c r="AC74" s="12">
        <v>0</v>
      </c>
      <c r="AD74" s="12"/>
      <c r="AE74" s="12">
        <v>7733645.4500000002</v>
      </c>
      <c r="AF74" s="12">
        <v>0</v>
      </c>
      <c r="AG74" s="75">
        <f t="shared" si="17"/>
        <v>44275312.32</v>
      </c>
      <c r="AH74" s="7">
        <v>71</v>
      </c>
    </row>
    <row r="75" spans="2:34" x14ac:dyDescent="0.25">
      <c r="D75" s="7">
        <v>1405</v>
      </c>
      <c r="E75" s="7" t="s">
        <v>359</v>
      </c>
      <c r="F75" s="12">
        <v>0</v>
      </c>
      <c r="G75" s="12">
        <v>0</v>
      </c>
      <c r="H75" s="12">
        <v>0</v>
      </c>
      <c r="I75" s="12">
        <v>0</v>
      </c>
      <c r="J75" s="12"/>
      <c r="K75" s="12">
        <v>0</v>
      </c>
      <c r="L75" s="12">
        <v>0</v>
      </c>
      <c r="M75" s="12">
        <v>0</v>
      </c>
      <c r="N75" s="12">
        <v>0</v>
      </c>
      <c r="O75" s="12">
        <v>0</v>
      </c>
      <c r="P75" s="12">
        <v>0</v>
      </c>
      <c r="Q75" s="12">
        <v>0</v>
      </c>
      <c r="R75" s="12">
        <v>0</v>
      </c>
      <c r="S75" s="12">
        <v>0</v>
      </c>
      <c r="T75" s="12"/>
      <c r="U75" s="12"/>
      <c r="V75" s="12"/>
      <c r="W75" s="12">
        <v>0</v>
      </c>
      <c r="X75" s="12"/>
      <c r="Y75" s="12">
        <v>0</v>
      </c>
      <c r="Z75" s="12">
        <v>0</v>
      </c>
      <c r="AA75" s="12">
        <v>0</v>
      </c>
      <c r="AB75" s="12">
        <v>0</v>
      </c>
      <c r="AC75" s="12">
        <v>0</v>
      </c>
      <c r="AD75" s="12"/>
      <c r="AE75" s="12">
        <v>0</v>
      </c>
      <c r="AF75" s="12">
        <v>0</v>
      </c>
      <c r="AG75" s="75">
        <f t="shared" si="17"/>
        <v>0</v>
      </c>
      <c r="AH75" s="7">
        <v>72</v>
      </c>
    </row>
    <row r="76" spans="2:34" x14ac:dyDescent="0.25">
      <c r="D76" s="7">
        <v>1406</v>
      </c>
      <c r="E76" s="7" t="s">
        <v>360</v>
      </c>
      <c r="F76" s="12">
        <v>0</v>
      </c>
      <c r="G76" s="12">
        <v>453577.12</v>
      </c>
      <c r="H76" s="12">
        <v>1</v>
      </c>
      <c r="I76" s="12">
        <v>493946.1</v>
      </c>
      <c r="J76" s="12"/>
      <c r="K76" s="12">
        <v>143158.81</v>
      </c>
      <c r="L76" s="12">
        <v>256770</v>
      </c>
      <c r="M76" s="12">
        <v>0</v>
      </c>
      <c r="N76" s="12">
        <v>0</v>
      </c>
      <c r="O76" s="12">
        <v>0</v>
      </c>
      <c r="P76" s="12">
        <v>0</v>
      </c>
      <c r="Q76" s="12">
        <v>0</v>
      </c>
      <c r="R76" s="12">
        <v>0</v>
      </c>
      <c r="S76" s="12">
        <v>0</v>
      </c>
      <c r="T76" s="12"/>
      <c r="U76" s="12"/>
      <c r="V76" s="12"/>
      <c r="W76" s="12">
        <v>0</v>
      </c>
      <c r="X76" s="12"/>
      <c r="Y76" s="12">
        <v>1</v>
      </c>
      <c r="Z76" s="12">
        <v>184161.91</v>
      </c>
      <c r="AA76" s="12">
        <v>100</v>
      </c>
      <c r="AB76" s="12">
        <v>21325.3</v>
      </c>
      <c r="AC76" s="12">
        <v>0</v>
      </c>
      <c r="AD76" s="12"/>
      <c r="AE76" s="12">
        <v>61383.3</v>
      </c>
      <c r="AF76" s="12">
        <v>0</v>
      </c>
      <c r="AG76" s="75">
        <f t="shared" si="17"/>
        <v>1614424.54</v>
      </c>
      <c r="AH76" s="7">
        <v>73</v>
      </c>
    </row>
    <row r="77" spans="2:34" x14ac:dyDescent="0.25">
      <c r="D77" s="7">
        <v>1407</v>
      </c>
      <c r="E77" s="7" t="s">
        <v>361</v>
      </c>
      <c r="F77" s="12">
        <v>0</v>
      </c>
      <c r="G77" s="12">
        <v>0</v>
      </c>
      <c r="H77" s="12">
        <v>0</v>
      </c>
      <c r="I77" s="12">
        <v>275985.90000000002</v>
      </c>
      <c r="J77" s="12"/>
      <c r="K77" s="12">
        <v>0</v>
      </c>
      <c r="L77" s="12">
        <v>0</v>
      </c>
      <c r="M77" s="12">
        <v>1138461.42</v>
      </c>
      <c r="N77" s="12">
        <v>0</v>
      </c>
      <c r="O77" s="12">
        <v>0</v>
      </c>
      <c r="P77" s="12">
        <v>4982329.05</v>
      </c>
      <c r="Q77" s="12">
        <v>0</v>
      </c>
      <c r="R77" s="12">
        <v>0</v>
      </c>
      <c r="S77" s="12">
        <v>0</v>
      </c>
      <c r="T77" s="12"/>
      <c r="U77" s="12"/>
      <c r="V77" s="12"/>
      <c r="W77" s="12">
        <v>0</v>
      </c>
      <c r="X77" s="12"/>
      <c r="Y77" s="12">
        <v>0</v>
      </c>
      <c r="Z77" s="12">
        <v>0</v>
      </c>
      <c r="AA77" s="12">
        <v>0</v>
      </c>
      <c r="AB77" s="12">
        <v>1386880.34</v>
      </c>
      <c r="AC77" s="12">
        <v>0</v>
      </c>
      <c r="AD77" s="12"/>
      <c r="AE77" s="12">
        <v>0</v>
      </c>
      <c r="AF77" s="12">
        <v>0</v>
      </c>
      <c r="AG77" s="75">
        <f t="shared" si="17"/>
        <v>7783656.709999999</v>
      </c>
      <c r="AH77" s="7">
        <v>74</v>
      </c>
    </row>
    <row r="78" spans="2:34" x14ac:dyDescent="0.25">
      <c r="D78" s="7">
        <v>1409</v>
      </c>
      <c r="E78" s="7" t="s">
        <v>362</v>
      </c>
      <c r="F78" s="12">
        <v>0</v>
      </c>
      <c r="G78" s="12">
        <v>0</v>
      </c>
      <c r="H78" s="12">
        <v>0</v>
      </c>
      <c r="I78" s="12">
        <v>0</v>
      </c>
      <c r="J78" s="12"/>
      <c r="K78" s="12">
        <v>0</v>
      </c>
      <c r="L78" s="12">
        <v>0</v>
      </c>
      <c r="M78" s="12">
        <v>0</v>
      </c>
      <c r="N78" s="12">
        <v>0</v>
      </c>
      <c r="O78" s="12">
        <v>0</v>
      </c>
      <c r="P78" s="12">
        <v>0</v>
      </c>
      <c r="Q78" s="12">
        <v>0</v>
      </c>
      <c r="R78" s="12">
        <v>0</v>
      </c>
      <c r="S78" s="12">
        <v>0</v>
      </c>
      <c r="T78" s="12"/>
      <c r="U78" s="12"/>
      <c r="V78" s="12"/>
      <c r="W78" s="12">
        <v>0</v>
      </c>
      <c r="X78" s="12"/>
      <c r="Y78" s="12">
        <v>0</v>
      </c>
      <c r="Z78" s="12">
        <v>0</v>
      </c>
      <c r="AA78" s="12">
        <v>0</v>
      </c>
      <c r="AB78" s="12">
        <v>0</v>
      </c>
      <c r="AC78" s="12">
        <v>0</v>
      </c>
      <c r="AD78" s="12"/>
      <c r="AE78" s="12">
        <v>0</v>
      </c>
      <c r="AF78" s="12">
        <v>0</v>
      </c>
      <c r="AG78" s="75">
        <f t="shared" si="17"/>
        <v>0</v>
      </c>
      <c r="AH78" s="7">
        <v>75</v>
      </c>
    </row>
    <row r="79" spans="2:34" x14ac:dyDescent="0.25">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75"/>
      <c r="AH79" s="7">
        <v>76</v>
      </c>
    </row>
    <row r="80" spans="2:34" x14ac:dyDescent="0.25">
      <c r="C80" s="76">
        <v>142</v>
      </c>
      <c r="D80" s="76"/>
      <c r="E80" s="76" t="s">
        <v>577</v>
      </c>
      <c r="F80" s="96">
        <f t="shared" ref="F80:O80" si="19">F81+F82+F83+F84</f>
        <v>0</v>
      </c>
      <c r="G80" s="96">
        <f t="shared" si="19"/>
        <v>0</v>
      </c>
      <c r="H80" s="96">
        <f t="shared" si="19"/>
        <v>0</v>
      </c>
      <c r="I80" s="96">
        <f t="shared" si="19"/>
        <v>14000</v>
      </c>
      <c r="J80" s="96">
        <f t="shared" si="19"/>
        <v>0</v>
      </c>
      <c r="K80" s="96">
        <f t="shared" si="19"/>
        <v>0</v>
      </c>
      <c r="L80" s="96">
        <f t="shared" si="19"/>
        <v>0</v>
      </c>
      <c r="M80" s="96">
        <f t="shared" si="19"/>
        <v>47532.3</v>
      </c>
      <c r="N80" s="96">
        <f t="shared" si="19"/>
        <v>0</v>
      </c>
      <c r="O80" s="96">
        <f t="shared" si="19"/>
        <v>0</v>
      </c>
      <c r="P80" s="96">
        <f>P81+P82+P83+P84</f>
        <v>366605.15</v>
      </c>
      <c r="Q80" s="96">
        <f t="shared" ref="Q80:AF80" si="20">Q81+Q82+Q83+Q84</f>
        <v>0</v>
      </c>
      <c r="R80" s="96">
        <f t="shared" si="20"/>
        <v>0</v>
      </c>
      <c r="S80" s="96">
        <f t="shared" si="20"/>
        <v>0</v>
      </c>
      <c r="T80" s="96">
        <f t="shared" si="20"/>
        <v>0</v>
      </c>
      <c r="U80" s="96">
        <f t="shared" si="20"/>
        <v>0</v>
      </c>
      <c r="V80" s="96">
        <f t="shared" si="20"/>
        <v>0</v>
      </c>
      <c r="W80" s="96">
        <f t="shared" si="20"/>
        <v>0</v>
      </c>
      <c r="X80" s="96">
        <f t="shared" si="20"/>
        <v>0</v>
      </c>
      <c r="Y80" s="96">
        <f t="shared" si="20"/>
        <v>0</v>
      </c>
      <c r="Z80" s="96">
        <f t="shared" si="20"/>
        <v>0</v>
      </c>
      <c r="AA80" s="96">
        <f t="shared" si="20"/>
        <v>73513.8</v>
      </c>
      <c r="AB80" s="96">
        <f t="shared" si="20"/>
        <v>0</v>
      </c>
      <c r="AC80" s="96">
        <f t="shared" si="20"/>
        <v>0</v>
      </c>
      <c r="AD80" s="96">
        <f t="shared" si="20"/>
        <v>0</v>
      </c>
      <c r="AE80" s="96">
        <f t="shared" si="20"/>
        <v>0</v>
      </c>
      <c r="AF80" s="96">
        <f t="shared" si="20"/>
        <v>0</v>
      </c>
      <c r="AG80" s="96">
        <f>SUM(F80:AF80)</f>
        <v>501651.25</v>
      </c>
      <c r="AH80" s="7">
        <v>77</v>
      </c>
    </row>
    <row r="81" spans="3:34" x14ac:dyDescent="0.25">
      <c r="D81" s="7">
        <v>1420</v>
      </c>
      <c r="E81" s="7" t="s">
        <v>363</v>
      </c>
      <c r="F81" s="12">
        <v>0</v>
      </c>
      <c r="G81" s="12">
        <v>0</v>
      </c>
      <c r="H81" s="12">
        <v>0</v>
      </c>
      <c r="I81" s="12">
        <v>14000</v>
      </c>
      <c r="J81" s="12"/>
      <c r="K81" s="12">
        <v>0</v>
      </c>
      <c r="L81" s="12">
        <v>0</v>
      </c>
      <c r="M81" s="12">
        <v>44</v>
      </c>
      <c r="N81" s="12">
        <v>0</v>
      </c>
      <c r="O81" s="12">
        <v>0</v>
      </c>
      <c r="P81" s="12">
        <v>8100</v>
      </c>
      <c r="Q81" s="12">
        <v>0</v>
      </c>
      <c r="R81" s="12">
        <v>0</v>
      </c>
      <c r="S81" s="12">
        <v>0</v>
      </c>
      <c r="T81" s="12"/>
      <c r="U81" s="12"/>
      <c r="V81" s="12"/>
      <c r="W81" s="12">
        <v>0</v>
      </c>
      <c r="X81" s="12"/>
      <c r="Y81" s="12">
        <v>0</v>
      </c>
      <c r="Z81" s="12">
        <v>0</v>
      </c>
      <c r="AA81" s="12">
        <v>0</v>
      </c>
      <c r="AB81" s="12">
        <v>0</v>
      </c>
      <c r="AC81" s="12">
        <v>0</v>
      </c>
      <c r="AD81" s="12"/>
      <c r="AE81" s="12">
        <v>0</v>
      </c>
      <c r="AF81" s="12">
        <v>0</v>
      </c>
      <c r="AG81" s="75">
        <f>SUM(F81:AF81)</f>
        <v>22144</v>
      </c>
      <c r="AH81" s="7">
        <v>78</v>
      </c>
    </row>
    <row r="82" spans="3:34" x14ac:dyDescent="0.25">
      <c r="D82" s="7">
        <v>1421</v>
      </c>
      <c r="E82" s="7" t="s">
        <v>364</v>
      </c>
      <c r="F82" s="12">
        <v>0</v>
      </c>
      <c r="G82" s="12">
        <v>0</v>
      </c>
      <c r="H82" s="12">
        <v>0</v>
      </c>
      <c r="I82" s="12">
        <v>0</v>
      </c>
      <c r="J82" s="12"/>
      <c r="K82" s="12">
        <v>0</v>
      </c>
      <c r="L82" s="12">
        <v>0</v>
      </c>
      <c r="M82" s="12">
        <v>0</v>
      </c>
      <c r="N82" s="12">
        <v>0</v>
      </c>
      <c r="O82" s="12">
        <v>0</v>
      </c>
      <c r="P82" s="12">
        <v>0</v>
      </c>
      <c r="Q82" s="12">
        <v>0</v>
      </c>
      <c r="R82" s="12">
        <v>0</v>
      </c>
      <c r="S82" s="12">
        <v>0</v>
      </c>
      <c r="T82" s="12"/>
      <c r="U82" s="12"/>
      <c r="V82" s="12"/>
      <c r="W82" s="12">
        <v>0</v>
      </c>
      <c r="X82" s="12"/>
      <c r="Y82" s="12">
        <v>0</v>
      </c>
      <c r="Z82" s="12">
        <v>0</v>
      </c>
      <c r="AA82" s="12">
        <v>0</v>
      </c>
      <c r="AB82" s="12">
        <v>0</v>
      </c>
      <c r="AC82" s="12">
        <v>0</v>
      </c>
      <c r="AD82" s="12"/>
      <c r="AE82" s="12">
        <v>0</v>
      </c>
      <c r="AF82" s="12">
        <v>0</v>
      </c>
      <c r="AG82" s="75">
        <f>SUM(F82:AF82)</f>
        <v>0</v>
      </c>
      <c r="AH82" s="7">
        <v>79</v>
      </c>
    </row>
    <row r="83" spans="3:34" x14ac:dyDescent="0.25">
      <c r="D83" s="7">
        <v>1427</v>
      </c>
      <c r="E83" s="7" t="s">
        <v>576</v>
      </c>
      <c r="F83" s="12">
        <v>0</v>
      </c>
      <c r="G83" s="12">
        <v>0</v>
      </c>
      <c r="H83" s="12">
        <v>0</v>
      </c>
      <c r="I83" s="12">
        <v>0</v>
      </c>
      <c r="J83" s="12"/>
      <c r="K83" s="12">
        <v>0</v>
      </c>
      <c r="L83" s="12">
        <v>0</v>
      </c>
      <c r="M83" s="12">
        <v>0</v>
      </c>
      <c r="N83" s="12">
        <v>0</v>
      </c>
      <c r="O83" s="12">
        <v>0</v>
      </c>
      <c r="P83" s="12">
        <v>358505.15</v>
      </c>
      <c r="Q83" s="12">
        <v>0</v>
      </c>
      <c r="R83" s="12">
        <v>0</v>
      </c>
      <c r="S83" s="12">
        <v>0</v>
      </c>
      <c r="T83" s="12"/>
      <c r="U83" s="12"/>
      <c r="V83" s="12"/>
      <c r="W83" s="12">
        <v>0</v>
      </c>
      <c r="X83" s="12"/>
      <c r="Y83" s="12">
        <v>0</v>
      </c>
      <c r="Z83" s="12">
        <v>0</v>
      </c>
      <c r="AA83" s="12">
        <v>0</v>
      </c>
      <c r="AB83" s="12">
        <v>0</v>
      </c>
      <c r="AC83" s="12">
        <v>0</v>
      </c>
      <c r="AD83" s="12"/>
      <c r="AE83" s="12">
        <v>0</v>
      </c>
      <c r="AF83" s="12">
        <v>0</v>
      </c>
      <c r="AG83" s="75">
        <f>SUM(F83:AF83)</f>
        <v>358505.15</v>
      </c>
      <c r="AH83" s="7">
        <v>80</v>
      </c>
    </row>
    <row r="84" spans="3:34" x14ac:dyDescent="0.25">
      <c r="D84" s="7">
        <v>1429</v>
      </c>
      <c r="E84" s="7" t="s">
        <v>462</v>
      </c>
      <c r="F84" s="12">
        <v>0</v>
      </c>
      <c r="G84" s="12">
        <v>0</v>
      </c>
      <c r="H84" s="12">
        <v>0</v>
      </c>
      <c r="I84" s="12">
        <v>0</v>
      </c>
      <c r="J84" s="12"/>
      <c r="K84" s="12">
        <v>0</v>
      </c>
      <c r="L84" s="12">
        <v>0</v>
      </c>
      <c r="M84" s="12">
        <v>47488.3</v>
      </c>
      <c r="N84" s="12">
        <v>0</v>
      </c>
      <c r="O84" s="12">
        <v>0</v>
      </c>
      <c r="P84" s="12">
        <v>0</v>
      </c>
      <c r="Q84" s="12">
        <v>0</v>
      </c>
      <c r="R84" s="12">
        <v>0</v>
      </c>
      <c r="S84" s="12">
        <v>0</v>
      </c>
      <c r="T84" s="12"/>
      <c r="U84" s="12"/>
      <c r="V84" s="12"/>
      <c r="W84" s="12">
        <v>0</v>
      </c>
      <c r="X84" s="12"/>
      <c r="Y84" s="12">
        <v>0</v>
      </c>
      <c r="Z84" s="12">
        <v>0</v>
      </c>
      <c r="AA84" s="12">
        <v>73513.8</v>
      </c>
      <c r="AB84" s="12">
        <v>0</v>
      </c>
      <c r="AC84" s="12">
        <v>0</v>
      </c>
      <c r="AD84" s="12"/>
      <c r="AE84" s="12">
        <v>0</v>
      </c>
      <c r="AF84" s="12">
        <v>0</v>
      </c>
      <c r="AG84" s="75">
        <f>SUM(F84:AF84)</f>
        <v>121002.1</v>
      </c>
      <c r="AH84" s="7">
        <v>81</v>
      </c>
    </row>
    <row r="85" spans="3:34" x14ac:dyDescent="0.25">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75"/>
      <c r="AH85" s="7">
        <v>82</v>
      </c>
    </row>
    <row r="86" spans="3:34" x14ac:dyDescent="0.25">
      <c r="C86" s="76">
        <v>144</v>
      </c>
      <c r="D86" s="76"/>
      <c r="E86" s="76" t="s">
        <v>249</v>
      </c>
      <c r="F86" s="96">
        <f>F87+F88+F89+F90+F91+F92+F93+F94+F95</f>
        <v>0</v>
      </c>
      <c r="G86" s="96">
        <f t="shared" ref="G86:AF86" si="21">G87+G88+G89+G90+G91+G92+G93+G94+G95</f>
        <v>0</v>
      </c>
      <c r="H86" s="96">
        <f t="shared" si="21"/>
        <v>0</v>
      </c>
      <c r="I86" s="96">
        <f t="shared" si="21"/>
        <v>0</v>
      </c>
      <c r="J86" s="96">
        <f t="shared" si="21"/>
        <v>0</v>
      </c>
      <c r="K86" s="96">
        <f t="shared" si="21"/>
        <v>0</v>
      </c>
      <c r="L86" s="96">
        <f t="shared" si="21"/>
        <v>0</v>
      </c>
      <c r="M86" s="96">
        <f t="shared" si="21"/>
        <v>0</v>
      </c>
      <c r="N86" s="96">
        <f t="shared" si="21"/>
        <v>0</v>
      </c>
      <c r="O86" s="96">
        <f t="shared" si="21"/>
        <v>0</v>
      </c>
      <c r="P86" s="96">
        <f t="shared" si="21"/>
        <v>0</v>
      </c>
      <c r="Q86" s="96">
        <f t="shared" si="21"/>
        <v>0</v>
      </c>
      <c r="R86" s="96">
        <f t="shared" si="21"/>
        <v>0</v>
      </c>
      <c r="S86" s="96">
        <f t="shared" si="21"/>
        <v>0</v>
      </c>
      <c r="T86" s="96">
        <f t="shared" si="21"/>
        <v>0</v>
      </c>
      <c r="U86" s="96">
        <f t="shared" si="21"/>
        <v>0</v>
      </c>
      <c r="V86" s="96">
        <f t="shared" si="21"/>
        <v>0</v>
      </c>
      <c r="W86" s="96">
        <f t="shared" si="21"/>
        <v>0</v>
      </c>
      <c r="X86" s="96">
        <f t="shared" si="21"/>
        <v>0</v>
      </c>
      <c r="Y86" s="96">
        <f t="shared" si="21"/>
        <v>0</v>
      </c>
      <c r="Z86" s="96">
        <f t="shared" si="21"/>
        <v>0</v>
      </c>
      <c r="AA86" s="96">
        <f t="shared" si="21"/>
        <v>0</v>
      </c>
      <c r="AB86" s="96">
        <f t="shared" si="21"/>
        <v>0</v>
      </c>
      <c r="AC86" s="96">
        <f t="shared" si="21"/>
        <v>0</v>
      </c>
      <c r="AD86" s="96">
        <f t="shared" si="21"/>
        <v>0</v>
      </c>
      <c r="AE86" s="96">
        <f t="shared" si="21"/>
        <v>0</v>
      </c>
      <c r="AF86" s="96">
        <f t="shared" si="21"/>
        <v>0</v>
      </c>
      <c r="AG86" s="96">
        <f t="shared" ref="AG86:AG95" si="22">SUM(F86:AF86)</f>
        <v>0</v>
      </c>
      <c r="AH86" s="7">
        <v>83</v>
      </c>
    </row>
    <row r="87" spans="3:34" x14ac:dyDescent="0.25">
      <c r="D87" s="7">
        <v>1440</v>
      </c>
      <c r="E87" s="7" t="s">
        <v>365</v>
      </c>
      <c r="F87" s="12">
        <v>0</v>
      </c>
      <c r="G87" s="12">
        <v>0</v>
      </c>
      <c r="H87" s="12">
        <v>0</v>
      </c>
      <c r="I87" s="12">
        <v>0</v>
      </c>
      <c r="J87" s="12"/>
      <c r="K87" s="12">
        <v>0</v>
      </c>
      <c r="L87" s="12">
        <v>0</v>
      </c>
      <c r="M87" s="12">
        <v>0</v>
      </c>
      <c r="N87" s="12">
        <v>0</v>
      </c>
      <c r="O87" s="12">
        <v>0</v>
      </c>
      <c r="P87" s="12">
        <v>0</v>
      </c>
      <c r="Q87" s="12">
        <v>0</v>
      </c>
      <c r="R87" s="12">
        <v>0</v>
      </c>
      <c r="S87" s="12">
        <v>0</v>
      </c>
      <c r="T87" s="12"/>
      <c r="U87" s="12"/>
      <c r="V87" s="12"/>
      <c r="W87" s="12">
        <v>0</v>
      </c>
      <c r="X87" s="12"/>
      <c r="Y87" s="12">
        <v>0</v>
      </c>
      <c r="Z87" s="12">
        <v>0</v>
      </c>
      <c r="AA87" s="12">
        <v>0</v>
      </c>
      <c r="AB87" s="12">
        <v>0</v>
      </c>
      <c r="AC87" s="12">
        <v>0</v>
      </c>
      <c r="AD87" s="12"/>
      <c r="AE87" s="12">
        <v>0</v>
      </c>
      <c r="AF87" s="12">
        <v>0</v>
      </c>
      <c r="AG87" s="75">
        <f t="shared" si="22"/>
        <v>0</v>
      </c>
      <c r="AH87" s="7">
        <v>84</v>
      </c>
    </row>
    <row r="88" spans="3:34" x14ac:dyDescent="0.25">
      <c r="D88" s="7">
        <v>1441</v>
      </c>
      <c r="E88" s="7" t="s">
        <v>367</v>
      </c>
      <c r="F88" s="12">
        <v>0</v>
      </c>
      <c r="G88" s="12">
        <v>0</v>
      </c>
      <c r="H88" s="12">
        <v>0</v>
      </c>
      <c r="I88" s="12">
        <v>0</v>
      </c>
      <c r="J88" s="12"/>
      <c r="K88" s="12">
        <v>0</v>
      </c>
      <c r="L88" s="12">
        <v>0</v>
      </c>
      <c r="M88" s="12">
        <v>0</v>
      </c>
      <c r="N88" s="12">
        <v>0</v>
      </c>
      <c r="O88" s="12">
        <v>0</v>
      </c>
      <c r="P88" s="12">
        <v>0</v>
      </c>
      <c r="Q88" s="12">
        <v>0</v>
      </c>
      <c r="R88" s="12">
        <v>0</v>
      </c>
      <c r="S88" s="12">
        <v>0</v>
      </c>
      <c r="T88" s="12"/>
      <c r="U88" s="12"/>
      <c r="V88" s="12"/>
      <c r="W88" s="12">
        <v>0</v>
      </c>
      <c r="X88" s="12"/>
      <c r="Y88" s="12">
        <v>0</v>
      </c>
      <c r="Z88" s="12">
        <v>0</v>
      </c>
      <c r="AA88" s="12">
        <v>0</v>
      </c>
      <c r="AB88" s="12">
        <v>0</v>
      </c>
      <c r="AC88" s="12">
        <v>0</v>
      </c>
      <c r="AD88" s="12"/>
      <c r="AE88" s="12">
        <v>0</v>
      </c>
      <c r="AF88" s="12">
        <v>0</v>
      </c>
      <c r="AG88" s="75">
        <f t="shared" si="22"/>
        <v>0</v>
      </c>
      <c r="AH88" s="7">
        <v>85</v>
      </c>
    </row>
    <row r="89" spans="3:34" x14ac:dyDescent="0.25">
      <c r="D89" s="7">
        <v>1442</v>
      </c>
      <c r="E89" s="7" t="s">
        <v>366</v>
      </c>
      <c r="F89" s="12">
        <v>0</v>
      </c>
      <c r="G89" s="12">
        <v>0</v>
      </c>
      <c r="H89" s="12">
        <v>0</v>
      </c>
      <c r="I89" s="12">
        <v>0</v>
      </c>
      <c r="J89" s="12"/>
      <c r="K89" s="12">
        <v>0</v>
      </c>
      <c r="L89" s="12">
        <v>0</v>
      </c>
      <c r="M89" s="12">
        <v>0</v>
      </c>
      <c r="N89" s="12">
        <v>0</v>
      </c>
      <c r="O89" s="12">
        <v>0</v>
      </c>
      <c r="P89" s="12">
        <v>0</v>
      </c>
      <c r="Q89" s="12">
        <v>0</v>
      </c>
      <c r="R89" s="12">
        <v>0</v>
      </c>
      <c r="S89" s="12">
        <v>0</v>
      </c>
      <c r="T89" s="12"/>
      <c r="U89" s="12"/>
      <c r="V89" s="12"/>
      <c r="W89" s="12">
        <v>0</v>
      </c>
      <c r="X89" s="12"/>
      <c r="Y89" s="12">
        <v>0</v>
      </c>
      <c r="Z89" s="12">
        <v>0</v>
      </c>
      <c r="AA89" s="12">
        <v>0</v>
      </c>
      <c r="AB89" s="12">
        <v>0</v>
      </c>
      <c r="AC89" s="12">
        <v>0</v>
      </c>
      <c r="AD89" s="12"/>
      <c r="AE89" s="12">
        <v>0</v>
      </c>
      <c r="AF89" s="12">
        <v>0</v>
      </c>
      <c r="AG89" s="75">
        <f t="shared" si="22"/>
        <v>0</v>
      </c>
      <c r="AH89" s="7">
        <v>86</v>
      </c>
    </row>
    <row r="90" spans="3:34" x14ac:dyDescent="0.25">
      <c r="D90" s="7">
        <v>1443</v>
      </c>
      <c r="E90" s="7" t="s">
        <v>368</v>
      </c>
      <c r="F90" s="12">
        <v>0</v>
      </c>
      <c r="G90" s="12">
        <v>0</v>
      </c>
      <c r="H90" s="12">
        <v>0</v>
      </c>
      <c r="I90" s="12">
        <v>0</v>
      </c>
      <c r="J90" s="12"/>
      <c r="K90" s="12">
        <v>0</v>
      </c>
      <c r="L90" s="12">
        <v>0</v>
      </c>
      <c r="M90" s="12">
        <v>0</v>
      </c>
      <c r="N90" s="12">
        <v>0</v>
      </c>
      <c r="O90" s="12">
        <v>0</v>
      </c>
      <c r="P90" s="12">
        <v>0</v>
      </c>
      <c r="Q90" s="12">
        <v>0</v>
      </c>
      <c r="R90" s="12">
        <v>0</v>
      </c>
      <c r="S90" s="12">
        <v>0</v>
      </c>
      <c r="T90" s="12"/>
      <c r="U90" s="12"/>
      <c r="V90" s="12"/>
      <c r="W90" s="12">
        <v>0</v>
      </c>
      <c r="X90" s="12"/>
      <c r="Y90" s="12">
        <v>0</v>
      </c>
      <c r="Z90" s="12">
        <v>0</v>
      </c>
      <c r="AA90" s="12">
        <v>0</v>
      </c>
      <c r="AB90" s="12">
        <v>0</v>
      </c>
      <c r="AC90" s="12">
        <v>0</v>
      </c>
      <c r="AD90" s="12"/>
      <c r="AE90" s="12">
        <v>0</v>
      </c>
      <c r="AF90" s="12">
        <v>0</v>
      </c>
      <c r="AG90" s="75">
        <f t="shared" si="22"/>
        <v>0</v>
      </c>
      <c r="AH90" s="7">
        <v>87</v>
      </c>
    </row>
    <row r="91" spans="3:34" x14ac:dyDescent="0.25">
      <c r="D91" s="7">
        <v>1444</v>
      </c>
      <c r="E91" s="7" t="s">
        <v>369</v>
      </c>
      <c r="F91" s="12">
        <v>0</v>
      </c>
      <c r="G91" s="12">
        <v>0</v>
      </c>
      <c r="H91" s="12">
        <v>0</v>
      </c>
      <c r="I91" s="12">
        <v>0</v>
      </c>
      <c r="J91" s="12"/>
      <c r="K91" s="12">
        <v>0</v>
      </c>
      <c r="L91" s="12">
        <v>0</v>
      </c>
      <c r="M91" s="12">
        <v>0</v>
      </c>
      <c r="N91" s="12">
        <v>0</v>
      </c>
      <c r="O91" s="12">
        <v>0</v>
      </c>
      <c r="P91" s="12">
        <v>0</v>
      </c>
      <c r="Q91" s="12">
        <v>0</v>
      </c>
      <c r="R91" s="12">
        <v>0</v>
      </c>
      <c r="S91" s="12">
        <v>0</v>
      </c>
      <c r="T91" s="12"/>
      <c r="U91" s="12"/>
      <c r="V91" s="12"/>
      <c r="W91" s="12">
        <v>0</v>
      </c>
      <c r="X91" s="12"/>
      <c r="Y91" s="12">
        <v>0</v>
      </c>
      <c r="Z91" s="12">
        <v>0</v>
      </c>
      <c r="AA91" s="12">
        <v>0</v>
      </c>
      <c r="AB91" s="12">
        <v>0</v>
      </c>
      <c r="AC91" s="12">
        <v>0</v>
      </c>
      <c r="AD91" s="12"/>
      <c r="AE91" s="12">
        <v>0</v>
      </c>
      <c r="AF91" s="12">
        <v>0</v>
      </c>
      <c r="AG91" s="75">
        <f t="shared" si="22"/>
        <v>0</v>
      </c>
      <c r="AH91" s="7">
        <v>88</v>
      </c>
    </row>
    <row r="92" spans="3:34" x14ac:dyDescent="0.25">
      <c r="D92" s="7">
        <v>1445</v>
      </c>
      <c r="E92" s="7" t="s">
        <v>370</v>
      </c>
      <c r="F92" s="12">
        <v>0</v>
      </c>
      <c r="G92" s="12">
        <v>0</v>
      </c>
      <c r="H92" s="12">
        <v>0</v>
      </c>
      <c r="I92" s="12">
        <v>0</v>
      </c>
      <c r="J92" s="12"/>
      <c r="K92" s="12">
        <v>0</v>
      </c>
      <c r="L92" s="12">
        <v>0</v>
      </c>
      <c r="M92" s="12">
        <v>0</v>
      </c>
      <c r="N92" s="12">
        <v>0</v>
      </c>
      <c r="O92" s="12">
        <v>0</v>
      </c>
      <c r="P92" s="12">
        <v>0</v>
      </c>
      <c r="Q92" s="12">
        <v>0</v>
      </c>
      <c r="R92" s="12">
        <v>0</v>
      </c>
      <c r="S92" s="12">
        <v>0</v>
      </c>
      <c r="T92" s="12"/>
      <c r="U92" s="12"/>
      <c r="V92" s="12"/>
      <c r="W92" s="12">
        <v>0</v>
      </c>
      <c r="X92" s="12"/>
      <c r="Y92" s="12">
        <v>0</v>
      </c>
      <c r="Z92" s="12">
        <v>0</v>
      </c>
      <c r="AA92" s="12">
        <v>0</v>
      </c>
      <c r="AB92" s="12">
        <v>0</v>
      </c>
      <c r="AC92" s="12">
        <v>0</v>
      </c>
      <c r="AD92" s="12"/>
      <c r="AE92" s="12">
        <v>0</v>
      </c>
      <c r="AF92" s="12">
        <v>0</v>
      </c>
      <c r="AG92" s="75">
        <f t="shared" si="22"/>
        <v>0</v>
      </c>
      <c r="AH92" s="7">
        <v>89</v>
      </c>
    </row>
    <row r="93" spans="3:34" x14ac:dyDescent="0.25">
      <c r="D93" s="7">
        <v>1446</v>
      </c>
      <c r="E93" s="7" t="s">
        <v>371</v>
      </c>
      <c r="F93" s="12">
        <v>0</v>
      </c>
      <c r="G93" s="12">
        <v>0</v>
      </c>
      <c r="H93" s="12">
        <v>0</v>
      </c>
      <c r="I93" s="12">
        <v>0</v>
      </c>
      <c r="J93" s="12"/>
      <c r="K93" s="12">
        <v>0</v>
      </c>
      <c r="L93" s="12">
        <v>0</v>
      </c>
      <c r="M93" s="12">
        <v>0</v>
      </c>
      <c r="N93" s="12">
        <v>0</v>
      </c>
      <c r="O93" s="12">
        <v>0</v>
      </c>
      <c r="P93" s="12">
        <v>0</v>
      </c>
      <c r="Q93" s="12">
        <v>0</v>
      </c>
      <c r="R93" s="12">
        <v>0</v>
      </c>
      <c r="S93" s="12">
        <v>0</v>
      </c>
      <c r="T93" s="12"/>
      <c r="U93" s="12"/>
      <c r="V93" s="12"/>
      <c r="W93" s="12">
        <v>0</v>
      </c>
      <c r="X93" s="12"/>
      <c r="Y93" s="12">
        <v>0</v>
      </c>
      <c r="Z93" s="12">
        <v>0</v>
      </c>
      <c r="AA93" s="12">
        <v>0</v>
      </c>
      <c r="AB93" s="12">
        <v>0</v>
      </c>
      <c r="AC93" s="12">
        <v>0</v>
      </c>
      <c r="AD93" s="12"/>
      <c r="AE93" s="12">
        <v>0</v>
      </c>
      <c r="AF93" s="12">
        <v>0</v>
      </c>
      <c r="AG93" s="75">
        <f t="shared" si="22"/>
        <v>0</v>
      </c>
      <c r="AH93" s="7">
        <v>90</v>
      </c>
    </row>
    <row r="94" spans="3:34" x14ac:dyDescent="0.25">
      <c r="D94" s="7">
        <v>1447</v>
      </c>
      <c r="E94" s="7" t="s">
        <v>372</v>
      </c>
      <c r="F94" s="12">
        <v>0</v>
      </c>
      <c r="G94" s="12">
        <v>0</v>
      </c>
      <c r="H94" s="12">
        <v>0</v>
      </c>
      <c r="I94" s="12">
        <v>0</v>
      </c>
      <c r="J94" s="12"/>
      <c r="K94" s="12">
        <v>0</v>
      </c>
      <c r="L94" s="12">
        <v>0</v>
      </c>
      <c r="M94" s="12">
        <v>0</v>
      </c>
      <c r="N94" s="12">
        <v>0</v>
      </c>
      <c r="O94" s="12">
        <v>0</v>
      </c>
      <c r="P94" s="12">
        <v>0</v>
      </c>
      <c r="Q94" s="12">
        <v>0</v>
      </c>
      <c r="R94" s="12">
        <v>0</v>
      </c>
      <c r="S94" s="12">
        <v>0</v>
      </c>
      <c r="T94" s="12"/>
      <c r="U94" s="12"/>
      <c r="V94" s="12"/>
      <c r="W94" s="12">
        <v>0</v>
      </c>
      <c r="X94" s="12"/>
      <c r="Y94" s="12">
        <v>0</v>
      </c>
      <c r="Z94" s="12">
        <v>0</v>
      </c>
      <c r="AA94" s="12">
        <v>0</v>
      </c>
      <c r="AB94" s="12">
        <v>0</v>
      </c>
      <c r="AC94" s="12">
        <v>0</v>
      </c>
      <c r="AD94" s="12"/>
      <c r="AE94" s="12">
        <v>0</v>
      </c>
      <c r="AF94" s="12">
        <v>0</v>
      </c>
      <c r="AG94" s="75">
        <f t="shared" si="22"/>
        <v>0</v>
      </c>
      <c r="AH94" s="7">
        <v>91</v>
      </c>
    </row>
    <row r="95" spans="3:34" x14ac:dyDescent="0.25">
      <c r="D95" s="7">
        <v>1448</v>
      </c>
      <c r="E95" s="7" t="s">
        <v>373</v>
      </c>
      <c r="F95" s="12">
        <v>0</v>
      </c>
      <c r="G95" s="12">
        <v>0</v>
      </c>
      <c r="H95" s="12">
        <v>0</v>
      </c>
      <c r="I95" s="12">
        <v>0</v>
      </c>
      <c r="J95" s="12"/>
      <c r="K95" s="12">
        <v>0</v>
      </c>
      <c r="L95" s="12">
        <v>0</v>
      </c>
      <c r="M95" s="12">
        <v>0</v>
      </c>
      <c r="N95" s="12">
        <v>0</v>
      </c>
      <c r="O95" s="12">
        <v>0</v>
      </c>
      <c r="P95" s="12">
        <v>0</v>
      </c>
      <c r="Q95" s="12">
        <v>0</v>
      </c>
      <c r="R95" s="12">
        <v>0</v>
      </c>
      <c r="S95" s="12">
        <v>0</v>
      </c>
      <c r="T95" s="12"/>
      <c r="U95" s="12"/>
      <c r="V95" s="12"/>
      <c r="W95" s="12">
        <v>0</v>
      </c>
      <c r="X95" s="12"/>
      <c r="Y95" s="12">
        <v>0</v>
      </c>
      <c r="Z95" s="12">
        <v>0</v>
      </c>
      <c r="AA95" s="12">
        <v>0</v>
      </c>
      <c r="AB95" s="12">
        <v>0</v>
      </c>
      <c r="AC95" s="12">
        <v>0</v>
      </c>
      <c r="AD95" s="12"/>
      <c r="AE95" s="12">
        <v>0</v>
      </c>
      <c r="AF95" s="12">
        <v>0</v>
      </c>
      <c r="AG95" s="75">
        <f t="shared" si="22"/>
        <v>0</v>
      </c>
      <c r="AH95" s="7">
        <v>92</v>
      </c>
    </row>
    <row r="96" spans="3:34" x14ac:dyDescent="0.25">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75"/>
      <c r="AH96" s="7">
        <v>93</v>
      </c>
    </row>
    <row r="97" spans="3:34" x14ac:dyDescent="0.25">
      <c r="C97" s="76">
        <v>145</v>
      </c>
      <c r="D97" s="76"/>
      <c r="E97" s="76" t="s">
        <v>376</v>
      </c>
      <c r="F97" s="96">
        <f>F98+F99+F100+F101+F102+F103+F104+F105+F106</f>
        <v>0</v>
      </c>
      <c r="G97" s="96">
        <f t="shared" ref="G97:AF97" si="23">G98+G99+G100+G101+G102+G103+G104+G105+G106</f>
        <v>0</v>
      </c>
      <c r="H97" s="96">
        <f t="shared" si="23"/>
        <v>0</v>
      </c>
      <c r="I97" s="96">
        <f t="shared" si="23"/>
        <v>0</v>
      </c>
      <c r="J97" s="96">
        <f t="shared" si="23"/>
        <v>0</v>
      </c>
      <c r="K97" s="96">
        <f t="shared" si="23"/>
        <v>0</v>
      </c>
      <c r="L97" s="96">
        <f t="shared" si="23"/>
        <v>0</v>
      </c>
      <c r="M97" s="96">
        <f t="shared" si="23"/>
        <v>0</v>
      </c>
      <c r="N97" s="96">
        <f t="shared" si="23"/>
        <v>0</v>
      </c>
      <c r="O97" s="96">
        <f t="shared" si="23"/>
        <v>0</v>
      </c>
      <c r="P97" s="96">
        <f t="shared" si="23"/>
        <v>0</v>
      </c>
      <c r="Q97" s="96">
        <f t="shared" si="23"/>
        <v>0</v>
      </c>
      <c r="R97" s="96">
        <f t="shared" si="23"/>
        <v>0</v>
      </c>
      <c r="S97" s="96">
        <f t="shared" si="23"/>
        <v>0</v>
      </c>
      <c r="T97" s="96">
        <f t="shared" si="23"/>
        <v>0</v>
      </c>
      <c r="U97" s="96">
        <f t="shared" si="23"/>
        <v>0</v>
      </c>
      <c r="V97" s="96">
        <f t="shared" si="23"/>
        <v>0</v>
      </c>
      <c r="W97" s="96">
        <f t="shared" si="23"/>
        <v>0</v>
      </c>
      <c r="X97" s="96">
        <f t="shared" si="23"/>
        <v>0</v>
      </c>
      <c r="Y97" s="96">
        <f t="shared" si="23"/>
        <v>0</v>
      </c>
      <c r="Z97" s="96">
        <f t="shared" si="23"/>
        <v>2</v>
      </c>
      <c r="AA97" s="96">
        <f t="shared" si="23"/>
        <v>0</v>
      </c>
      <c r="AB97" s="96">
        <f t="shared" si="23"/>
        <v>0</v>
      </c>
      <c r="AC97" s="96">
        <f t="shared" si="23"/>
        <v>0</v>
      </c>
      <c r="AD97" s="96">
        <f t="shared" si="23"/>
        <v>0</v>
      </c>
      <c r="AE97" s="96">
        <f t="shared" si="23"/>
        <v>0</v>
      </c>
      <c r="AF97" s="96">
        <f t="shared" si="23"/>
        <v>0</v>
      </c>
      <c r="AG97" s="96">
        <f t="shared" ref="AG97:AG106" si="24">SUM(F97:AF97)</f>
        <v>2</v>
      </c>
      <c r="AH97" s="7">
        <v>94</v>
      </c>
    </row>
    <row r="98" spans="3:34" x14ac:dyDescent="0.25">
      <c r="D98" s="7">
        <v>1450</v>
      </c>
      <c r="E98" s="7" t="s">
        <v>375</v>
      </c>
      <c r="F98" s="12">
        <v>0</v>
      </c>
      <c r="G98" s="12">
        <v>0</v>
      </c>
      <c r="H98" s="12">
        <v>0</v>
      </c>
      <c r="I98" s="12">
        <v>0</v>
      </c>
      <c r="J98" s="12"/>
      <c r="K98" s="12">
        <v>0</v>
      </c>
      <c r="L98" s="12">
        <v>0</v>
      </c>
      <c r="M98" s="12">
        <v>0</v>
      </c>
      <c r="N98" s="12">
        <v>0</v>
      </c>
      <c r="O98" s="12">
        <v>0</v>
      </c>
      <c r="P98" s="12">
        <v>0</v>
      </c>
      <c r="Q98" s="12">
        <v>0</v>
      </c>
      <c r="R98" s="12">
        <v>0</v>
      </c>
      <c r="S98" s="12">
        <v>0</v>
      </c>
      <c r="T98" s="12"/>
      <c r="U98" s="12"/>
      <c r="V98" s="12"/>
      <c r="W98" s="12">
        <v>0</v>
      </c>
      <c r="X98" s="12"/>
      <c r="Y98" s="12">
        <v>0</v>
      </c>
      <c r="Z98" s="12">
        <v>0</v>
      </c>
      <c r="AA98" s="12">
        <v>0</v>
      </c>
      <c r="AB98" s="12">
        <v>0</v>
      </c>
      <c r="AC98" s="12">
        <v>0</v>
      </c>
      <c r="AD98" s="12"/>
      <c r="AE98" s="12">
        <v>0</v>
      </c>
      <c r="AF98" s="12">
        <v>0</v>
      </c>
      <c r="AG98" s="75">
        <f t="shared" si="24"/>
        <v>0</v>
      </c>
      <c r="AH98" s="7">
        <v>95</v>
      </c>
    </row>
    <row r="99" spans="3:34" x14ac:dyDescent="0.25">
      <c r="D99" s="7">
        <v>1451</v>
      </c>
      <c r="E99" s="7" t="s">
        <v>374</v>
      </c>
      <c r="F99" s="12">
        <v>0</v>
      </c>
      <c r="G99" s="12">
        <v>0</v>
      </c>
      <c r="H99" s="12">
        <v>0</v>
      </c>
      <c r="I99" s="12">
        <v>0</v>
      </c>
      <c r="J99" s="12"/>
      <c r="K99" s="12">
        <v>0</v>
      </c>
      <c r="L99" s="12">
        <v>0</v>
      </c>
      <c r="M99" s="12">
        <v>0</v>
      </c>
      <c r="N99" s="12">
        <v>0</v>
      </c>
      <c r="O99" s="12">
        <v>0</v>
      </c>
      <c r="P99" s="12">
        <v>0</v>
      </c>
      <c r="Q99" s="12">
        <v>0</v>
      </c>
      <c r="R99" s="12">
        <v>0</v>
      </c>
      <c r="S99" s="12">
        <v>0</v>
      </c>
      <c r="T99" s="12"/>
      <c r="U99" s="12"/>
      <c r="V99" s="12"/>
      <c r="W99" s="12">
        <v>0</v>
      </c>
      <c r="X99" s="12"/>
      <c r="Y99" s="12">
        <v>0</v>
      </c>
      <c r="Z99" s="12">
        <v>0</v>
      </c>
      <c r="AA99" s="12">
        <v>0</v>
      </c>
      <c r="AB99" s="12">
        <v>0</v>
      </c>
      <c r="AC99" s="12">
        <v>0</v>
      </c>
      <c r="AD99" s="12"/>
      <c r="AE99" s="12">
        <v>0</v>
      </c>
      <c r="AF99" s="12">
        <v>0</v>
      </c>
      <c r="AG99" s="75">
        <f t="shared" si="24"/>
        <v>0</v>
      </c>
      <c r="AH99" s="7">
        <v>96</v>
      </c>
    </row>
    <row r="100" spans="3:34" x14ac:dyDescent="0.25">
      <c r="D100" s="7">
        <v>1452</v>
      </c>
      <c r="E100" s="7" t="s">
        <v>377</v>
      </c>
      <c r="F100" s="12">
        <v>0</v>
      </c>
      <c r="G100" s="12">
        <v>0</v>
      </c>
      <c r="H100" s="12">
        <v>0</v>
      </c>
      <c r="I100" s="12">
        <v>0</v>
      </c>
      <c r="J100" s="12"/>
      <c r="K100" s="12">
        <v>0</v>
      </c>
      <c r="L100" s="12">
        <v>0</v>
      </c>
      <c r="M100" s="12">
        <v>0</v>
      </c>
      <c r="N100" s="12">
        <v>0</v>
      </c>
      <c r="O100" s="12">
        <v>0</v>
      </c>
      <c r="P100" s="12">
        <v>0</v>
      </c>
      <c r="Q100" s="12">
        <v>0</v>
      </c>
      <c r="R100" s="12">
        <v>0</v>
      </c>
      <c r="S100" s="12">
        <v>0</v>
      </c>
      <c r="T100" s="12"/>
      <c r="U100" s="12"/>
      <c r="V100" s="12"/>
      <c r="W100" s="12">
        <v>0</v>
      </c>
      <c r="X100" s="12"/>
      <c r="Y100" s="12">
        <v>0</v>
      </c>
      <c r="Z100" s="12">
        <v>0</v>
      </c>
      <c r="AA100" s="12">
        <v>0</v>
      </c>
      <c r="AB100" s="12">
        <v>0</v>
      </c>
      <c r="AC100" s="12">
        <v>0</v>
      </c>
      <c r="AD100" s="12"/>
      <c r="AE100" s="12">
        <v>0</v>
      </c>
      <c r="AF100" s="12">
        <v>0</v>
      </c>
      <c r="AG100" s="75">
        <f t="shared" si="24"/>
        <v>0</v>
      </c>
      <c r="AH100" s="7">
        <v>97</v>
      </c>
    </row>
    <row r="101" spans="3:34" x14ac:dyDescent="0.25">
      <c r="D101" s="7">
        <v>1453</v>
      </c>
      <c r="E101" s="7" t="s">
        <v>378</v>
      </c>
      <c r="F101" s="12">
        <v>0</v>
      </c>
      <c r="G101" s="12">
        <v>0</v>
      </c>
      <c r="H101" s="12">
        <v>0</v>
      </c>
      <c r="I101" s="12">
        <v>0</v>
      </c>
      <c r="J101" s="12"/>
      <c r="K101" s="12">
        <v>0</v>
      </c>
      <c r="L101" s="12">
        <v>0</v>
      </c>
      <c r="M101" s="12">
        <v>0</v>
      </c>
      <c r="N101" s="12">
        <v>0</v>
      </c>
      <c r="O101" s="12">
        <v>0</v>
      </c>
      <c r="P101" s="12">
        <v>0</v>
      </c>
      <c r="Q101" s="12">
        <v>0</v>
      </c>
      <c r="R101" s="12">
        <v>0</v>
      </c>
      <c r="S101" s="12">
        <v>0</v>
      </c>
      <c r="T101" s="12"/>
      <c r="U101" s="12"/>
      <c r="V101" s="12"/>
      <c r="W101" s="12">
        <v>0</v>
      </c>
      <c r="X101" s="12"/>
      <c r="Y101" s="12">
        <v>0</v>
      </c>
      <c r="Z101" s="12">
        <v>0</v>
      </c>
      <c r="AA101" s="12">
        <v>0</v>
      </c>
      <c r="AB101" s="12">
        <v>0</v>
      </c>
      <c r="AC101" s="12">
        <v>0</v>
      </c>
      <c r="AD101" s="12"/>
      <c r="AE101" s="12">
        <v>0</v>
      </c>
      <c r="AF101" s="12">
        <v>0</v>
      </c>
      <c r="AG101" s="75">
        <f t="shared" si="24"/>
        <v>0</v>
      </c>
      <c r="AH101" s="7">
        <v>98</v>
      </c>
    </row>
    <row r="102" spans="3:34" x14ac:dyDescent="0.25">
      <c r="D102" s="7">
        <v>1454</v>
      </c>
      <c r="E102" s="7" t="s">
        <v>379</v>
      </c>
      <c r="F102" s="12">
        <v>0</v>
      </c>
      <c r="G102" s="12">
        <v>0</v>
      </c>
      <c r="H102" s="12">
        <v>0</v>
      </c>
      <c r="I102" s="12">
        <v>0</v>
      </c>
      <c r="J102" s="12"/>
      <c r="K102" s="12">
        <v>0</v>
      </c>
      <c r="L102" s="12">
        <v>0</v>
      </c>
      <c r="M102" s="12">
        <v>0</v>
      </c>
      <c r="N102" s="12">
        <v>0</v>
      </c>
      <c r="O102" s="12">
        <v>0</v>
      </c>
      <c r="P102" s="12">
        <v>0</v>
      </c>
      <c r="Q102" s="12">
        <v>0</v>
      </c>
      <c r="R102" s="12">
        <v>0</v>
      </c>
      <c r="S102" s="12">
        <v>0</v>
      </c>
      <c r="T102" s="12"/>
      <c r="U102" s="12"/>
      <c r="V102" s="12"/>
      <c r="W102" s="12">
        <v>0</v>
      </c>
      <c r="X102" s="12"/>
      <c r="Y102" s="12">
        <v>0</v>
      </c>
      <c r="Z102" s="12">
        <v>0</v>
      </c>
      <c r="AA102" s="12">
        <v>0</v>
      </c>
      <c r="AB102" s="12">
        <v>0</v>
      </c>
      <c r="AC102" s="12">
        <v>0</v>
      </c>
      <c r="AD102" s="12"/>
      <c r="AE102" s="12">
        <v>0</v>
      </c>
      <c r="AF102" s="12">
        <v>0</v>
      </c>
      <c r="AG102" s="75">
        <f t="shared" si="24"/>
        <v>0</v>
      </c>
      <c r="AH102" s="7">
        <v>99</v>
      </c>
    </row>
    <row r="103" spans="3:34" x14ac:dyDescent="0.25">
      <c r="D103" s="7">
        <v>1455</v>
      </c>
      <c r="E103" s="7" t="s">
        <v>380</v>
      </c>
      <c r="F103" s="12">
        <v>0</v>
      </c>
      <c r="G103" s="12">
        <v>0</v>
      </c>
      <c r="H103" s="12">
        <v>0</v>
      </c>
      <c r="I103" s="12">
        <v>0</v>
      </c>
      <c r="J103" s="12"/>
      <c r="K103" s="12">
        <v>0</v>
      </c>
      <c r="L103" s="12">
        <v>0</v>
      </c>
      <c r="M103" s="12">
        <v>0</v>
      </c>
      <c r="N103" s="12">
        <v>0</v>
      </c>
      <c r="O103" s="12">
        <v>0</v>
      </c>
      <c r="P103" s="12">
        <v>0</v>
      </c>
      <c r="Q103" s="12">
        <v>0</v>
      </c>
      <c r="R103" s="12">
        <v>0</v>
      </c>
      <c r="S103" s="12">
        <v>0</v>
      </c>
      <c r="T103" s="12"/>
      <c r="U103" s="12"/>
      <c r="V103" s="12"/>
      <c r="W103" s="12">
        <v>0</v>
      </c>
      <c r="X103" s="12"/>
      <c r="Y103" s="12">
        <v>0</v>
      </c>
      <c r="Z103" s="12">
        <v>2</v>
      </c>
      <c r="AA103" s="12">
        <v>0</v>
      </c>
      <c r="AB103" s="12">
        <v>0</v>
      </c>
      <c r="AC103" s="12">
        <v>0</v>
      </c>
      <c r="AD103" s="12"/>
      <c r="AE103" s="12">
        <v>0</v>
      </c>
      <c r="AF103" s="12">
        <v>0</v>
      </c>
      <c r="AG103" s="75">
        <f t="shared" si="24"/>
        <v>2</v>
      </c>
      <c r="AH103" s="7">
        <v>100</v>
      </c>
    </row>
    <row r="104" spans="3:34" x14ac:dyDescent="0.25">
      <c r="D104" s="7">
        <v>1456</v>
      </c>
      <c r="E104" s="7" t="s">
        <v>381</v>
      </c>
      <c r="F104" s="12">
        <v>0</v>
      </c>
      <c r="G104" s="12">
        <v>0</v>
      </c>
      <c r="H104" s="12">
        <v>0</v>
      </c>
      <c r="I104" s="12">
        <v>0</v>
      </c>
      <c r="J104" s="12"/>
      <c r="K104" s="12">
        <v>0</v>
      </c>
      <c r="L104" s="12">
        <v>0</v>
      </c>
      <c r="M104" s="12">
        <v>0</v>
      </c>
      <c r="N104" s="12">
        <v>0</v>
      </c>
      <c r="O104" s="12">
        <v>0</v>
      </c>
      <c r="P104" s="12">
        <v>0</v>
      </c>
      <c r="Q104" s="12">
        <v>0</v>
      </c>
      <c r="R104" s="12">
        <v>0</v>
      </c>
      <c r="S104" s="12">
        <v>0</v>
      </c>
      <c r="T104" s="12"/>
      <c r="U104" s="12"/>
      <c r="V104" s="12"/>
      <c r="W104" s="12">
        <v>0</v>
      </c>
      <c r="X104" s="12"/>
      <c r="Y104" s="12">
        <v>0</v>
      </c>
      <c r="Z104" s="12">
        <v>0</v>
      </c>
      <c r="AA104" s="12">
        <v>0</v>
      </c>
      <c r="AB104" s="12">
        <v>0</v>
      </c>
      <c r="AC104" s="12">
        <v>0</v>
      </c>
      <c r="AD104" s="12"/>
      <c r="AE104" s="12">
        <v>0</v>
      </c>
      <c r="AF104" s="12">
        <v>0</v>
      </c>
      <c r="AG104" s="75">
        <f t="shared" si="24"/>
        <v>0</v>
      </c>
      <c r="AH104" s="7">
        <v>101</v>
      </c>
    </row>
    <row r="105" spans="3:34" x14ac:dyDescent="0.25">
      <c r="D105" s="7">
        <v>1457</v>
      </c>
      <c r="E105" s="7" t="s">
        <v>382</v>
      </c>
      <c r="F105" s="12">
        <v>0</v>
      </c>
      <c r="G105" s="12">
        <v>0</v>
      </c>
      <c r="H105" s="12">
        <v>0</v>
      </c>
      <c r="I105" s="12">
        <v>0</v>
      </c>
      <c r="J105" s="12"/>
      <c r="K105" s="12">
        <v>0</v>
      </c>
      <c r="L105" s="12">
        <v>0</v>
      </c>
      <c r="M105" s="12">
        <v>0</v>
      </c>
      <c r="N105" s="12">
        <v>0</v>
      </c>
      <c r="O105" s="12">
        <v>0</v>
      </c>
      <c r="P105" s="12">
        <v>0</v>
      </c>
      <c r="Q105" s="12">
        <v>0</v>
      </c>
      <c r="R105" s="12">
        <v>0</v>
      </c>
      <c r="S105" s="12">
        <v>0</v>
      </c>
      <c r="T105" s="12"/>
      <c r="U105" s="12"/>
      <c r="V105" s="12"/>
      <c r="W105" s="12">
        <v>0</v>
      </c>
      <c r="X105" s="12"/>
      <c r="Y105" s="12">
        <v>0</v>
      </c>
      <c r="Z105" s="12">
        <v>0</v>
      </c>
      <c r="AA105" s="12">
        <v>0</v>
      </c>
      <c r="AB105" s="12">
        <v>0</v>
      </c>
      <c r="AC105" s="12">
        <v>0</v>
      </c>
      <c r="AD105" s="12"/>
      <c r="AE105" s="12">
        <v>0</v>
      </c>
      <c r="AF105" s="12">
        <v>0</v>
      </c>
      <c r="AG105" s="75">
        <f t="shared" si="24"/>
        <v>0</v>
      </c>
      <c r="AH105" s="7">
        <v>102</v>
      </c>
    </row>
    <row r="106" spans="3:34" x14ac:dyDescent="0.25">
      <c r="D106" s="7">
        <v>1458</v>
      </c>
      <c r="E106" s="7" t="s">
        <v>383</v>
      </c>
      <c r="F106" s="12">
        <v>0</v>
      </c>
      <c r="G106" s="12">
        <v>0</v>
      </c>
      <c r="H106" s="12">
        <v>0</v>
      </c>
      <c r="I106" s="12">
        <v>0</v>
      </c>
      <c r="J106" s="12"/>
      <c r="K106" s="12">
        <v>0</v>
      </c>
      <c r="L106" s="12">
        <v>0</v>
      </c>
      <c r="M106" s="12">
        <v>0</v>
      </c>
      <c r="N106" s="12">
        <v>0</v>
      </c>
      <c r="O106" s="12">
        <v>0</v>
      </c>
      <c r="P106" s="12">
        <v>0</v>
      </c>
      <c r="Q106" s="12">
        <v>0</v>
      </c>
      <c r="R106" s="12">
        <v>0</v>
      </c>
      <c r="S106" s="12">
        <v>0</v>
      </c>
      <c r="T106" s="12"/>
      <c r="U106" s="12"/>
      <c r="V106" s="12"/>
      <c r="W106" s="12">
        <v>0</v>
      </c>
      <c r="X106" s="12"/>
      <c r="Y106" s="12">
        <v>0</v>
      </c>
      <c r="Z106" s="12">
        <v>0</v>
      </c>
      <c r="AA106" s="12">
        <v>0</v>
      </c>
      <c r="AB106" s="12">
        <v>0</v>
      </c>
      <c r="AC106" s="12">
        <v>0</v>
      </c>
      <c r="AD106" s="12"/>
      <c r="AE106" s="12">
        <v>0</v>
      </c>
      <c r="AF106" s="12">
        <v>0</v>
      </c>
      <c r="AG106" s="75">
        <f t="shared" si="24"/>
        <v>0</v>
      </c>
      <c r="AH106" s="7">
        <v>103</v>
      </c>
    </row>
    <row r="107" spans="3:34" x14ac:dyDescent="0.25">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75"/>
      <c r="AH107" s="7">
        <v>104</v>
      </c>
    </row>
    <row r="108" spans="3:34" x14ac:dyDescent="0.25">
      <c r="C108" s="76">
        <v>146</v>
      </c>
      <c r="D108" s="76"/>
      <c r="E108" s="76" t="s">
        <v>394</v>
      </c>
      <c r="F108" s="96">
        <f>F109+F110+F111+F112+F113+F114+F115+F116+F117+F118</f>
        <v>0</v>
      </c>
      <c r="G108" s="96">
        <f t="shared" ref="G108:AF108" si="25">G109+G110+G111+G112+G113+G114+G115+G116+G117+G118</f>
        <v>0</v>
      </c>
      <c r="H108" s="96">
        <f t="shared" si="25"/>
        <v>0</v>
      </c>
      <c r="I108" s="96">
        <f t="shared" si="25"/>
        <v>0</v>
      </c>
      <c r="J108" s="96">
        <f t="shared" si="25"/>
        <v>0</v>
      </c>
      <c r="K108" s="96">
        <f t="shared" si="25"/>
        <v>0</v>
      </c>
      <c r="L108" s="96">
        <f t="shared" si="25"/>
        <v>0</v>
      </c>
      <c r="M108" s="96">
        <f t="shared" si="25"/>
        <v>0</v>
      </c>
      <c r="N108" s="96">
        <f t="shared" si="25"/>
        <v>0</v>
      </c>
      <c r="O108" s="96">
        <f t="shared" si="25"/>
        <v>0</v>
      </c>
      <c r="P108" s="96">
        <f t="shared" si="25"/>
        <v>0</v>
      </c>
      <c r="Q108" s="96">
        <f t="shared" si="25"/>
        <v>0</v>
      </c>
      <c r="R108" s="96">
        <f t="shared" si="25"/>
        <v>0</v>
      </c>
      <c r="S108" s="96">
        <f t="shared" si="25"/>
        <v>0</v>
      </c>
      <c r="T108" s="96">
        <f t="shared" si="25"/>
        <v>0</v>
      </c>
      <c r="U108" s="96">
        <f t="shared" si="25"/>
        <v>0</v>
      </c>
      <c r="V108" s="96">
        <f t="shared" si="25"/>
        <v>0</v>
      </c>
      <c r="W108" s="96">
        <f t="shared" si="25"/>
        <v>0</v>
      </c>
      <c r="X108" s="96">
        <f t="shared" si="25"/>
        <v>0</v>
      </c>
      <c r="Y108" s="96">
        <f t="shared" si="25"/>
        <v>0</v>
      </c>
      <c r="Z108" s="96">
        <f t="shared" si="25"/>
        <v>0</v>
      </c>
      <c r="AA108" s="96">
        <f t="shared" si="25"/>
        <v>0</v>
      </c>
      <c r="AB108" s="96">
        <v>0</v>
      </c>
      <c r="AC108" s="96">
        <f t="shared" si="25"/>
        <v>0</v>
      </c>
      <c r="AD108" s="96">
        <f t="shared" si="25"/>
        <v>0</v>
      </c>
      <c r="AE108" s="96">
        <f t="shared" si="25"/>
        <v>0</v>
      </c>
      <c r="AF108" s="96">
        <f t="shared" si="25"/>
        <v>0</v>
      </c>
      <c r="AG108" s="96">
        <f t="shared" ref="AG108:AG118" si="26">SUM(F108:AF108)</f>
        <v>0</v>
      </c>
      <c r="AH108" s="7">
        <v>105</v>
      </c>
    </row>
    <row r="109" spans="3:34" x14ac:dyDescent="0.25">
      <c r="D109" s="7">
        <v>1460</v>
      </c>
      <c r="E109" s="7" t="s">
        <v>391</v>
      </c>
      <c r="F109" s="12">
        <v>0</v>
      </c>
      <c r="G109" s="12">
        <v>0</v>
      </c>
      <c r="H109" s="12">
        <v>0</v>
      </c>
      <c r="I109" s="12">
        <v>0</v>
      </c>
      <c r="J109" s="12"/>
      <c r="K109" s="12">
        <v>0</v>
      </c>
      <c r="L109" s="12">
        <v>0</v>
      </c>
      <c r="M109" s="12">
        <v>0</v>
      </c>
      <c r="N109" s="12">
        <v>0</v>
      </c>
      <c r="O109" s="12">
        <v>0</v>
      </c>
      <c r="P109" s="12">
        <v>0</v>
      </c>
      <c r="Q109" s="12">
        <v>0</v>
      </c>
      <c r="R109" s="12">
        <v>0</v>
      </c>
      <c r="S109" s="12">
        <v>0</v>
      </c>
      <c r="T109" s="12"/>
      <c r="U109" s="12"/>
      <c r="V109" s="12"/>
      <c r="W109" s="12">
        <v>0</v>
      </c>
      <c r="X109" s="12"/>
      <c r="Y109" s="12">
        <v>0</v>
      </c>
      <c r="Z109" s="12">
        <v>0</v>
      </c>
      <c r="AA109" s="12">
        <v>0</v>
      </c>
      <c r="AB109" s="12">
        <v>0</v>
      </c>
      <c r="AC109" s="12">
        <v>0</v>
      </c>
      <c r="AD109" s="12"/>
      <c r="AE109" s="12">
        <v>0</v>
      </c>
      <c r="AF109" s="12">
        <v>0</v>
      </c>
      <c r="AG109" s="75">
        <f t="shared" si="26"/>
        <v>0</v>
      </c>
      <c r="AH109" s="7">
        <v>106</v>
      </c>
    </row>
    <row r="110" spans="3:34" x14ac:dyDescent="0.25">
      <c r="D110" s="7">
        <v>1461</v>
      </c>
      <c r="E110" s="7" t="s">
        <v>392</v>
      </c>
      <c r="F110" s="12">
        <v>0</v>
      </c>
      <c r="G110" s="12">
        <v>0</v>
      </c>
      <c r="H110" s="12">
        <v>0</v>
      </c>
      <c r="I110" s="12">
        <v>0</v>
      </c>
      <c r="J110" s="12"/>
      <c r="K110" s="12">
        <v>0</v>
      </c>
      <c r="L110" s="12">
        <v>0</v>
      </c>
      <c r="M110" s="12">
        <v>0</v>
      </c>
      <c r="N110" s="12">
        <v>0</v>
      </c>
      <c r="O110" s="12">
        <v>0</v>
      </c>
      <c r="P110" s="12">
        <v>0</v>
      </c>
      <c r="Q110" s="12">
        <v>0</v>
      </c>
      <c r="R110" s="12">
        <v>0</v>
      </c>
      <c r="S110" s="12">
        <v>0</v>
      </c>
      <c r="T110" s="12"/>
      <c r="U110" s="12"/>
      <c r="V110" s="12"/>
      <c r="W110" s="12">
        <v>0</v>
      </c>
      <c r="X110" s="12"/>
      <c r="Y110" s="12">
        <v>0</v>
      </c>
      <c r="Z110" s="12">
        <v>0</v>
      </c>
      <c r="AA110" s="12">
        <v>0</v>
      </c>
      <c r="AB110" s="12">
        <v>0</v>
      </c>
      <c r="AC110" s="12">
        <v>0</v>
      </c>
      <c r="AD110" s="12"/>
      <c r="AE110" s="12">
        <v>0</v>
      </c>
      <c r="AF110" s="12">
        <v>0</v>
      </c>
      <c r="AG110" s="75">
        <f t="shared" si="26"/>
        <v>0</v>
      </c>
      <c r="AH110" s="7">
        <v>107</v>
      </c>
    </row>
    <row r="111" spans="3:34" x14ac:dyDescent="0.25">
      <c r="D111" s="7">
        <v>1462</v>
      </c>
      <c r="E111" s="7" t="s">
        <v>384</v>
      </c>
      <c r="F111" s="12">
        <v>0</v>
      </c>
      <c r="G111" s="12">
        <v>0</v>
      </c>
      <c r="H111" s="12">
        <v>0</v>
      </c>
      <c r="I111" s="12">
        <v>0</v>
      </c>
      <c r="J111" s="12"/>
      <c r="K111" s="12">
        <v>0</v>
      </c>
      <c r="L111" s="12">
        <v>0</v>
      </c>
      <c r="M111" s="12">
        <v>0</v>
      </c>
      <c r="N111" s="12">
        <v>0</v>
      </c>
      <c r="O111" s="12">
        <v>0</v>
      </c>
      <c r="P111" s="12">
        <v>0</v>
      </c>
      <c r="Q111" s="12">
        <v>0</v>
      </c>
      <c r="R111" s="12">
        <v>0</v>
      </c>
      <c r="S111" s="12">
        <v>0</v>
      </c>
      <c r="T111" s="12"/>
      <c r="U111" s="12"/>
      <c r="V111" s="12"/>
      <c r="W111" s="12">
        <v>0</v>
      </c>
      <c r="X111" s="12"/>
      <c r="Y111" s="12">
        <v>0</v>
      </c>
      <c r="Z111" s="12">
        <v>0</v>
      </c>
      <c r="AA111" s="12">
        <v>0</v>
      </c>
      <c r="AB111" s="12">
        <v>0</v>
      </c>
      <c r="AC111" s="12">
        <v>0</v>
      </c>
      <c r="AD111" s="12"/>
      <c r="AE111" s="12">
        <v>0</v>
      </c>
      <c r="AF111" s="12">
        <v>0</v>
      </c>
      <c r="AG111" s="75">
        <f t="shared" si="26"/>
        <v>0</v>
      </c>
      <c r="AH111" s="7">
        <v>108</v>
      </c>
    </row>
    <row r="112" spans="3:34" x14ac:dyDescent="0.25">
      <c r="D112" s="7">
        <v>1463</v>
      </c>
      <c r="E112" s="7" t="s">
        <v>385</v>
      </c>
      <c r="F112" s="12">
        <v>0</v>
      </c>
      <c r="G112" s="12">
        <v>0</v>
      </c>
      <c r="H112" s="12">
        <v>0</v>
      </c>
      <c r="I112" s="12">
        <v>0</v>
      </c>
      <c r="J112" s="12"/>
      <c r="K112" s="12">
        <v>0</v>
      </c>
      <c r="L112" s="12">
        <v>0</v>
      </c>
      <c r="M112" s="12">
        <v>0</v>
      </c>
      <c r="N112" s="12">
        <v>0</v>
      </c>
      <c r="O112" s="12">
        <v>0</v>
      </c>
      <c r="P112" s="12">
        <v>0</v>
      </c>
      <c r="Q112" s="12">
        <v>0</v>
      </c>
      <c r="R112" s="12">
        <v>0</v>
      </c>
      <c r="S112" s="12">
        <v>0</v>
      </c>
      <c r="T112" s="12"/>
      <c r="U112" s="12"/>
      <c r="V112" s="12"/>
      <c r="W112" s="12">
        <v>0</v>
      </c>
      <c r="X112" s="12"/>
      <c r="Y112" s="12">
        <v>0</v>
      </c>
      <c r="Z112" s="12">
        <v>0</v>
      </c>
      <c r="AA112" s="12">
        <v>0</v>
      </c>
      <c r="AB112" s="12">
        <v>0</v>
      </c>
      <c r="AC112" s="12">
        <v>0</v>
      </c>
      <c r="AD112" s="12"/>
      <c r="AE112" s="12">
        <v>0</v>
      </c>
      <c r="AF112" s="12">
        <v>0</v>
      </c>
      <c r="AG112" s="75">
        <f t="shared" si="26"/>
        <v>0</v>
      </c>
      <c r="AH112" s="7">
        <v>109</v>
      </c>
    </row>
    <row r="113" spans="1:34" x14ac:dyDescent="0.25">
      <c r="D113" s="7">
        <v>1464</v>
      </c>
      <c r="E113" s="7" t="s">
        <v>386</v>
      </c>
      <c r="F113" s="12">
        <v>0</v>
      </c>
      <c r="G113" s="12">
        <v>0</v>
      </c>
      <c r="H113" s="12">
        <v>0</v>
      </c>
      <c r="I113" s="12">
        <v>0</v>
      </c>
      <c r="J113" s="12"/>
      <c r="K113" s="12">
        <v>0</v>
      </c>
      <c r="L113" s="12">
        <v>0</v>
      </c>
      <c r="M113" s="12">
        <v>0</v>
      </c>
      <c r="N113" s="12">
        <v>0</v>
      </c>
      <c r="O113" s="12">
        <v>0</v>
      </c>
      <c r="P113" s="12">
        <v>0</v>
      </c>
      <c r="Q113" s="12">
        <v>0</v>
      </c>
      <c r="R113" s="12">
        <v>0</v>
      </c>
      <c r="S113" s="12">
        <v>0</v>
      </c>
      <c r="T113" s="12"/>
      <c r="U113" s="12"/>
      <c r="V113" s="12"/>
      <c r="W113" s="12">
        <v>0</v>
      </c>
      <c r="X113" s="12"/>
      <c r="Y113" s="12">
        <v>0</v>
      </c>
      <c r="Z113" s="12">
        <v>0</v>
      </c>
      <c r="AA113" s="12">
        <v>0</v>
      </c>
      <c r="AB113" s="12">
        <v>0</v>
      </c>
      <c r="AC113" s="12">
        <v>0</v>
      </c>
      <c r="AD113" s="12"/>
      <c r="AE113" s="12">
        <v>0</v>
      </c>
      <c r="AF113" s="12">
        <v>0</v>
      </c>
      <c r="AG113" s="75">
        <f t="shared" si="26"/>
        <v>0</v>
      </c>
      <c r="AH113" s="7">
        <v>110</v>
      </c>
    </row>
    <row r="114" spans="1:34" x14ac:dyDescent="0.25">
      <c r="D114" s="7">
        <v>1465</v>
      </c>
      <c r="E114" s="7" t="s">
        <v>387</v>
      </c>
      <c r="F114" s="12">
        <v>0</v>
      </c>
      <c r="G114" s="12">
        <v>0</v>
      </c>
      <c r="H114" s="12">
        <v>0</v>
      </c>
      <c r="I114" s="12">
        <v>0</v>
      </c>
      <c r="J114" s="12"/>
      <c r="K114" s="12">
        <v>0</v>
      </c>
      <c r="L114" s="12">
        <v>0</v>
      </c>
      <c r="M114" s="12">
        <v>0</v>
      </c>
      <c r="N114" s="12">
        <v>0</v>
      </c>
      <c r="O114" s="12">
        <v>0</v>
      </c>
      <c r="P114" s="12">
        <v>0</v>
      </c>
      <c r="Q114" s="12">
        <v>0</v>
      </c>
      <c r="R114" s="12">
        <v>0</v>
      </c>
      <c r="S114" s="12">
        <v>0</v>
      </c>
      <c r="T114" s="12"/>
      <c r="U114" s="12"/>
      <c r="V114" s="12"/>
      <c r="W114" s="12">
        <v>0</v>
      </c>
      <c r="X114" s="12"/>
      <c r="Y114" s="12">
        <v>0</v>
      </c>
      <c r="Z114" s="12">
        <v>0</v>
      </c>
      <c r="AA114" s="12">
        <v>0</v>
      </c>
      <c r="AB114" s="12">
        <v>0</v>
      </c>
      <c r="AC114" s="12">
        <v>0</v>
      </c>
      <c r="AD114" s="12"/>
      <c r="AE114" s="12">
        <v>0</v>
      </c>
      <c r="AF114" s="12">
        <v>0</v>
      </c>
      <c r="AG114" s="75">
        <f t="shared" si="26"/>
        <v>0</v>
      </c>
      <c r="AH114" s="7">
        <v>111</v>
      </c>
    </row>
    <row r="115" spans="1:34" x14ac:dyDescent="0.25">
      <c r="D115" s="7">
        <v>1466</v>
      </c>
      <c r="E115" s="7" t="s">
        <v>393</v>
      </c>
      <c r="F115" s="12">
        <v>0</v>
      </c>
      <c r="G115" s="12">
        <v>0</v>
      </c>
      <c r="H115" s="12">
        <v>0</v>
      </c>
      <c r="I115" s="12">
        <v>0</v>
      </c>
      <c r="J115" s="12"/>
      <c r="K115" s="12">
        <v>0</v>
      </c>
      <c r="L115" s="12">
        <v>0</v>
      </c>
      <c r="M115" s="12">
        <v>0</v>
      </c>
      <c r="N115" s="12">
        <v>0</v>
      </c>
      <c r="O115" s="12">
        <v>0</v>
      </c>
      <c r="P115" s="12">
        <v>0</v>
      </c>
      <c r="Q115" s="12">
        <v>0</v>
      </c>
      <c r="R115" s="12">
        <v>0</v>
      </c>
      <c r="S115" s="12">
        <v>0</v>
      </c>
      <c r="T115" s="12"/>
      <c r="U115" s="12"/>
      <c r="V115" s="12"/>
      <c r="W115" s="12">
        <v>0</v>
      </c>
      <c r="X115" s="12"/>
      <c r="Y115" s="12">
        <v>0</v>
      </c>
      <c r="Z115" s="12">
        <v>0</v>
      </c>
      <c r="AA115" s="12">
        <v>0</v>
      </c>
      <c r="AB115" s="12">
        <v>0</v>
      </c>
      <c r="AC115" s="12">
        <v>0</v>
      </c>
      <c r="AD115" s="12"/>
      <c r="AE115" s="12">
        <v>0</v>
      </c>
      <c r="AF115" s="12">
        <v>0</v>
      </c>
      <c r="AG115" s="75">
        <f t="shared" si="26"/>
        <v>0</v>
      </c>
      <c r="AH115" s="7">
        <v>112</v>
      </c>
    </row>
    <row r="116" spans="1:34" x14ac:dyDescent="0.25">
      <c r="D116" s="7">
        <v>1467</v>
      </c>
      <c r="E116" s="7" t="s">
        <v>388</v>
      </c>
      <c r="F116" s="12">
        <v>0</v>
      </c>
      <c r="G116" s="12">
        <v>0</v>
      </c>
      <c r="H116" s="12">
        <v>0</v>
      </c>
      <c r="I116" s="12">
        <v>0</v>
      </c>
      <c r="J116" s="12"/>
      <c r="K116" s="12">
        <v>0</v>
      </c>
      <c r="L116" s="12">
        <v>0</v>
      </c>
      <c r="M116" s="12">
        <v>0</v>
      </c>
      <c r="N116" s="12">
        <v>0</v>
      </c>
      <c r="O116" s="12">
        <v>0</v>
      </c>
      <c r="P116" s="12">
        <v>0</v>
      </c>
      <c r="Q116" s="12">
        <v>0</v>
      </c>
      <c r="R116" s="12">
        <v>0</v>
      </c>
      <c r="S116" s="12">
        <v>0</v>
      </c>
      <c r="T116" s="12"/>
      <c r="U116" s="12"/>
      <c r="V116" s="12"/>
      <c r="W116" s="12">
        <v>0</v>
      </c>
      <c r="X116" s="12"/>
      <c r="Y116" s="12">
        <v>0</v>
      </c>
      <c r="Z116" s="12">
        <v>0</v>
      </c>
      <c r="AA116" s="12">
        <v>0</v>
      </c>
      <c r="AB116" s="12">
        <v>0</v>
      </c>
      <c r="AC116" s="12">
        <v>0</v>
      </c>
      <c r="AD116" s="12"/>
      <c r="AE116" s="12">
        <v>0</v>
      </c>
      <c r="AF116" s="12">
        <v>0</v>
      </c>
      <c r="AG116" s="75">
        <f t="shared" si="26"/>
        <v>0</v>
      </c>
      <c r="AH116" s="7">
        <v>113</v>
      </c>
    </row>
    <row r="117" spans="1:34" x14ac:dyDescent="0.25">
      <c r="D117" s="7">
        <v>1468</v>
      </c>
      <c r="E117" s="7" t="s">
        <v>389</v>
      </c>
      <c r="F117" s="12">
        <v>0</v>
      </c>
      <c r="G117" s="12">
        <v>0</v>
      </c>
      <c r="H117" s="12">
        <v>0</v>
      </c>
      <c r="I117" s="12">
        <v>0</v>
      </c>
      <c r="J117" s="12"/>
      <c r="K117" s="12">
        <v>0</v>
      </c>
      <c r="L117" s="12">
        <v>0</v>
      </c>
      <c r="M117" s="12">
        <v>0</v>
      </c>
      <c r="N117" s="12">
        <v>0</v>
      </c>
      <c r="O117" s="12">
        <v>0</v>
      </c>
      <c r="P117" s="12">
        <v>0</v>
      </c>
      <c r="Q117" s="12">
        <v>0</v>
      </c>
      <c r="R117" s="12">
        <v>0</v>
      </c>
      <c r="S117" s="12">
        <v>0</v>
      </c>
      <c r="T117" s="12"/>
      <c r="U117" s="12"/>
      <c r="V117" s="12"/>
      <c r="W117" s="12">
        <v>0</v>
      </c>
      <c r="X117" s="12"/>
      <c r="Y117" s="12">
        <v>0</v>
      </c>
      <c r="Z117" s="12">
        <v>0</v>
      </c>
      <c r="AA117" s="12">
        <v>0</v>
      </c>
      <c r="AB117" s="12">
        <v>0</v>
      </c>
      <c r="AC117" s="12">
        <v>0</v>
      </c>
      <c r="AD117" s="12"/>
      <c r="AE117" s="12">
        <v>0</v>
      </c>
      <c r="AF117" s="12">
        <v>0</v>
      </c>
      <c r="AG117" s="75">
        <f t="shared" si="26"/>
        <v>0</v>
      </c>
      <c r="AH117" s="7">
        <v>114</v>
      </c>
    </row>
    <row r="118" spans="1:34" x14ac:dyDescent="0.25">
      <c r="D118" s="7">
        <v>1469</v>
      </c>
      <c r="E118" s="7" t="s">
        <v>390</v>
      </c>
      <c r="F118" s="12">
        <v>0</v>
      </c>
      <c r="G118" s="12">
        <v>0</v>
      </c>
      <c r="H118" s="12">
        <v>0</v>
      </c>
      <c r="I118" s="12">
        <v>0</v>
      </c>
      <c r="J118" s="12"/>
      <c r="K118" s="12">
        <v>0</v>
      </c>
      <c r="L118" s="12">
        <v>0</v>
      </c>
      <c r="M118" s="12">
        <v>0</v>
      </c>
      <c r="N118" s="12">
        <v>0</v>
      </c>
      <c r="O118" s="12">
        <v>0</v>
      </c>
      <c r="P118" s="12">
        <v>0</v>
      </c>
      <c r="Q118" s="12">
        <v>0</v>
      </c>
      <c r="R118" s="12">
        <v>0</v>
      </c>
      <c r="S118" s="12">
        <v>0</v>
      </c>
      <c r="T118" s="12"/>
      <c r="U118" s="12"/>
      <c r="V118" s="12"/>
      <c r="W118" s="12">
        <v>0</v>
      </c>
      <c r="X118" s="12"/>
      <c r="Y118" s="12">
        <v>0</v>
      </c>
      <c r="Z118" s="12">
        <v>0</v>
      </c>
      <c r="AA118" s="12">
        <v>0</v>
      </c>
      <c r="AB118" s="12">
        <v>0</v>
      </c>
      <c r="AC118" s="12">
        <v>0</v>
      </c>
      <c r="AD118" s="12"/>
      <c r="AE118" s="12">
        <v>0</v>
      </c>
      <c r="AF118" s="12">
        <v>0</v>
      </c>
      <c r="AG118" s="75">
        <f t="shared" si="26"/>
        <v>0</v>
      </c>
      <c r="AH118" s="7">
        <v>115</v>
      </c>
    </row>
    <row r="119" spans="1:34" x14ac:dyDescent="0.25">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75"/>
      <c r="AH119" s="7">
        <v>116</v>
      </c>
    </row>
    <row r="120" spans="1:34" x14ac:dyDescent="0.25">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75"/>
      <c r="AH120" s="7">
        <v>117</v>
      </c>
    </row>
    <row r="121" spans="1:34" ht="21" x14ac:dyDescent="0.4">
      <c r="A121" s="17">
        <v>2</v>
      </c>
      <c r="B121" s="17"/>
      <c r="C121" s="17"/>
      <c r="D121" s="17"/>
      <c r="E121" s="17" t="s">
        <v>250</v>
      </c>
      <c r="F121" s="108">
        <f>F123+F133+F143+F153+F165+F173+F184+F191+F194+F198+F201+F204+F207+F210+F213+F216</f>
        <v>2850281.7199999997</v>
      </c>
      <c r="G121" s="108">
        <f t="shared" ref="G121:AF121" si="27">G123+G133+G143+G153+G165+G173+G184+G191+G194+G198+G201+G204+G207+G210+G213+G216</f>
        <v>68215309.879999995</v>
      </c>
      <c r="H121" s="108">
        <f t="shared" si="27"/>
        <v>237308.6</v>
      </c>
      <c r="I121" s="108">
        <f t="shared" si="27"/>
        <v>12676809.620000001</v>
      </c>
      <c r="J121" s="108">
        <f t="shared" si="27"/>
        <v>0</v>
      </c>
      <c r="K121" s="108">
        <f t="shared" si="27"/>
        <v>3574739.3000000003</v>
      </c>
      <c r="L121" s="108">
        <f t="shared" si="27"/>
        <v>917605.83000000007</v>
      </c>
      <c r="M121" s="108">
        <f t="shared" si="27"/>
        <v>5224648.4799999995</v>
      </c>
      <c r="N121" s="108">
        <f t="shared" si="27"/>
        <v>106191.56</v>
      </c>
      <c r="O121" s="108">
        <f t="shared" si="27"/>
        <v>149710.46</v>
      </c>
      <c r="P121" s="108">
        <f t="shared" si="27"/>
        <v>14901863.09</v>
      </c>
      <c r="Q121" s="108">
        <f t="shared" si="27"/>
        <v>82445.78</v>
      </c>
      <c r="R121" s="108">
        <f t="shared" si="27"/>
        <v>31437.19</v>
      </c>
      <c r="S121" s="108">
        <f t="shared" si="27"/>
        <v>44908.020000000004</v>
      </c>
      <c r="T121" s="108">
        <f t="shared" si="27"/>
        <v>0</v>
      </c>
      <c r="U121" s="108">
        <f t="shared" si="27"/>
        <v>0</v>
      </c>
      <c r="V121" s="108">
        <f t="shared" si="27"/>
        <v>0</v>
      </c>
      <c r="W121" s="108">
        <f t="shared" si="27"/>
        <v>1370270.22</v>
      </c>
      <c r="X121" s="108">
        <f t="shared" si="27"/>
        <v>0</v>
      </c>
      <c r="Y121" s="108">
        <f t="shared" si="27"/>
        <v>3631934.16</v>
      </c>
      <c r="Z121" s="108">
        <f t="shared" si="27"/>
        <v>24833608.27</v>
      </c>
      <c r="AA121" s="108">
        <f t="shared" si="27"/>
        <v>2230784.6100000003</v>
      </c>
      <c r="AB121" s="108">
        <f t="shared" si="27"/>
        <v>6061166.0600000005</v>
      </c>
      <c r="AC121" s="108">
        <f t="shared" si="27"/>
        <v>349120.01</v>
      </c>
      <c r="AD121" s="108">
        <f t="shared" si="27"/>
        <v>0</v>
      </c>
      <c r="AE121" s="108">
        <f t="shared" si="27"/>
        <v>8438276.0800000001</v>
      </c>
      <c r="AF121" s="108">
        <f t="shared" si="27"/>
        <v>817996.29999999993</v>
      </c>
      <c r="AG121" s="18">
        <f t="shared" ref="AG121:AG131" si="28">SUM(F121:AF121)</f>
        <v>156746415.24000001</v>
      </c>
      <c r="AH121" s="7">
        <v>118</v>
      </c>
    </row>
    <row r="122" spans="1:34" x14ac:dyDescent="0.25">
      <c r="A122" s="6"/>
      <c r="B122" s="109">
        <v>20</v>
      </c>
      <c r="C122" s="109"/>
      <c r="D122" s="109"/>
      <c r="E122" s="109" t="s">
        <v>251</v>
      </c>
      <c r="F122" s="110">
        <f>F123+F133+F143+F153+F165+F173+F184</f>
        <v>2082099.51</v>
      </c>
      <c r="G122" s="110">
        <f t="shared" ref="G122:AF122" si="29">G123+G133+G143+G153+G165+G173+G184</f>
        <v>218603.47</v>
      </c>
      <c r="H122" s="110">
        <f t="shared" si="29"/>
        <v>2455.6</v>
      </c>
      <c r="I122" s="110">
        <f t="shared" si="29"/>
        <v>3085189.8400000003</v>
      </c>
      <c r="J122" s="110">
        <f t="shared" si="29"/>
        <v>0</v>
      </c>
      <c r="K122" s="110">
        <f t="shared" si="29"/>
        <v>2889945.99</v>
      </c>
      <c r="L122" s="110">
        <f t="shared" si="29"/>
        <v>917605.83000000007</v>
      </c>
      <c r="M122" s="110">
        <f t="shared" si="29"/>
        <v>4651248.84</v>
      </c>
      <c r="N122" s="110">
        <f t="shared" si="29"/>
        <v>106191.56</v>
      </c>
      <c r="O122" s="110">
        <f t="shared" si="29"/>
        <v>128369.2</v>
      </c>
      <c r="P122" s="110">
        <f t="shared" si="29"/>
        <v>128800.05</v>
      </c>
      <c r="Q122" s="110">
        <f t="shared" si="29"/>
        <v>807.75</v>
      </c>
      <c r="R122" s="110">
        <f t="shared" si="29"/>
        <v>28866.6</v>
      </c>
      <c r="S122" s="110">
        <f t="shared" si="29"/>
        <v>4428.8999999999996</v>
      </c>
      <c r="T122" s="110">
        <f t="shared" si="29"/>
        <v>0</v>
      </c>
      <c r="U122" s="110">
        <f t="shared" si="29"/>
        <v>0</v>
      </c>
      <c r="V122" s="110">
        <f t="shared" si="29"/>
        <v>0</v>
      </c>
      <c r="W122" s="110">
        <f t="shared" si="29"/>
        <v>1355070.47</v>
      </c>
      <c r="X122" s="110">
        <f t="shared" si="29"/>
        <v>0</v>
      </c>
      <c r="Y122" s="110">
        <f t="shared" si="29"/>
        <v>812322.41999999993</v>
      </c>
      <c r="Z122" s="110">
        <f t="shared" si="29"/>
        <v>21862837.810000002</v>
      </c>
      <c r="AA122" s="110">
        <f t="shared" si="29"/>
        <v>1926725.09</v>
      </c>
      <c r="AB122" s="110">
        <f t="shared" si="29"/>
        <v>4006694.71</v>
      </c>
      <c r="AC122" s="110">
        <f t="shared" si="29"/>
        <v>0</v>
      </c>
      <c r="AD122" s="110">
        <f t="shared" si="29"/>
        <v>0</v>
      </c>
      <c r="AE122" s="110">
        <f t="shared" si="29"/>
        <v>7876609.7599999998</v>
      </c>
      <c r="AF122" s="110">
        <f t="shared" si="29"/>
        <v>251227.1</v>
      </c>
      <c r="AG122" s="110">
        <f t="shared" si="28"/>
        <v>52336100.500000007</v>
      </c>
      <c r="AH122" s="7">
        <v>119</v>
      </c>
    </row>
    <row r="123" spans="1:34" x14ac:dyDescent="0.25">
      <c r="C123" s="111">
        <v>200</v>
      </c>
      <c r="D123" s="111"/>
      <c r="E123" s="111" t="s">
        <v>252</v>
      </c>
      <c r="F123" s="112">
        <f>F124+F125+F126+F127+F128+F129+F130+F131</f>
        <v>79417.45</v>
      </c>
      <c r="G123" s="112">
        <f t="shared" ref="G123:AF123" si="30">G124+G125+G126+G127+G128+G129+G130+G131</f>
        <v>198757.56</v>
      </c>
      <c r="H123" s="112">
        <f t="shared" si="30"/>
        <v>0</v>
      </c>
      <c r="I123" s="112">
        <f t="shared" si="30"/>
        <v>2885189.8400000003</v>
      </c>
      <c r="J123" s="112">
        <f t="shared" si="30"/>
        <v>0</v>
      </c>
      <c r="K123" s="112">
        <f t="shared" si="30"/>
        <v>65814.290000000008</v>
      </c>
      <c r="L123" s="112">
        <f t="shared" si="30"/>
        <v>383837.63</v>
      </c>
      <c r="M123" s="112">
        <f t="shared" si="30"/>
        <v>108356.13</v>
      </c>
      <c r="N123" s="112">
        <f t="shared" si="30"/>
        <v>10123.75</v>
      </c>
      <c r="O123" s="112">
        <f t="shared" si="30"/>
        <v>18000</v>
      </c>
      <c r="P123" s="112">
        <f t="shared" si="30"/>
        <v>122000.05</v>
      </c>
      <c r="Q123" s="112">
        <f t="shared" si="30"/>
        <v>807.75</v>
      </c>
      <c r="R123" s="112">
        <f t="shared" si="30"/>
        <v>0</v>
      </c>
      <c r="S123" s="112">
        <f t="shared" si="30"/>
        <v>0</v>
      </c>
      <c r="T123" s="112">
        <f t="shared" si="30"/>
        <v>0</v>
      </c>
      <c r="U123" s="112">
        <f t="shared" si="30"/>
        <v>0</v>
      </c>
      <c r="V123" s="112">
        <f t="shared" si="30"/>
        <v>0</v>
      </c>
      <c r="W123" s="112">
        <f t="shared" si="30"/>
        <v>0</v>
      </c>
      <c r="X123" s="112">
        <f t="shared" si="30"/>
        <v>0</v>
      </c>
      <c r="Y123" s="112">
        <f t="shared" si="30"/>
        <v>3186.6500000000015</v>
      </c>
      <c r="Z123" s="112">
        <f t="shared" si="30"/>
        <v>808898.06</v>
      </c>
      <c r="AA123" s="112">
        <f t="shared" si="30"/>
        <v>0</v>
      </c>
      <c r="AB123" s="112">
        <f t="shared" si="30"/>
        <v>159802.84</v>
      </c>
      <c r="AC123" s="112">
        <f t="shared" si="30"/>
        <v>0</v>
      </c>
      <c r="AD123" s="112">
        <f t="shared" si="30"/>
        <v>0</v>
      </c>
      <c r="AE123" s="112">
        <f t="shared" si="30"/>
        <v>141744.31</v>
      </c>
      <c r="AF123" s="112">
        <f t="shared" si="30"/>
        <v>0</v>
      </c>
      <c r="AG123" s="112">
        <f t="shared" si="28"/>
        <v>4985936.3099999996</v>
      </c>
      <c r="AH123" s="7">
        <v>120</v>
      </c>
    </row>
    <row r="124" spans="1:34" x14ac:dyDescent="0.25">
      <c r="D124" s="7">
        <v>2000</v>
      </c>
      <c r="E124" s="7" t="s">
        <v>395</v>
      </c>
      <c r="F124" s="12">
        <v>79417.45</v>
      </c>
      <c r="G124" s="12">
        <v>237516.81</v>
      </c>
      <c r="H124" s="12">
        <v>0</v>
      </c>
      <c r="I124" s="12">
        <v>1446373.59</v>
      </c>
      <c r="J124" s="12"/>
      <c r="K124" s="12">
        <v>65814.240000000005</v>
      </c>
      <c r="L124" s="12">
        <v>93004.95</v>
      </c>
      <c r="M124" s="12">
        <v>108342.77</v>
      </c>
      <c r="N124" s="12">
        <v>0</v>
      </c>
      <c r="O124" s="12">
        <v>0</v>
      </c>
      <c r="P124" s="12">
        <v>122000.05</v>
      </c>
      <c r="Q124" s="12">
        <v>807.75</v>
      </c>
      <c r="R124" s="12">
        <v>0</v>
      </c>
      <c r="S124" s="12">
        <v>0</v>
      </c>
      <c r="T124" s="12"/>
      <c r="U124" s="12"/>
      <c r="V124" s="12"/>
      <c r="W124" s="12">
        <v>0</v>
      </c>
      <c r="X124" s="12"/>
      <c r="Y124" s="12">
        <v>44394.85</v>
      </c>
      <c r="Z124" s="12">
        <v>842523.41</v>
      </c>
      <c r="AA124" s="12">
        <v>0</v>
      </c>
      <c r="AB124" s="12">
        <v>159802.84</v>
      </c>
      <c r="AC124" s="12">
        <v>0</v>
      </c>
      <c r="AD124" s="12"/>
      <c r="AE124" s="12">
        <v>100806.99</v>
      </c>
      <c r="AF124" s="12">
        <v>0</v>
      </c>
      <c r="AG124" s="75">
        <f t="shared" si="28"/>
        <v>3300805.7</v>
      </c>
      <c r="AH124" s="7">
        <v>121</v>
      </c>
    </row>
    <row r="125" spans="1:34" x14ac:dyDescent="0.25">
      <c r="D125" s="7">
        <v>2001</v>
      </c>
      <c r="E125" s="7" t="s">
        <v>396</v>
      </c>
      <c r="F125" s="12">
        <v>0</v>
      </c>
      <c r="G125" s="12">
        <v>-24132.799999999999</v>
      </c>
      <c r="H125" s="12">
        <v>0</v>
      </c>
      <c r="I125" s="12">
        <v>0</v>
      </c>
      <c r="J125" s="12"/>
      <c r="K125" s="12">
        <v>0.05</v>
      </c>
      <c r="L125" s="12">
        <v>0</v>
      </c>
      <c r="M125" s="12">
        <v>13.36</v>
      </c>
      <c r="N125" s="12">
        <v>10123.75</v>
      </c>
      <c r="O125" s="12">
        <v>0</v>
      </c>
      <c r="P125" s="12">
        <v>0</v>
      </c>
      <c r="Q125" s="12">
        <v>0</v>
      </c>
      <c r="R125" s="12">
        <v>0</v>
      </c>
      <c r="S125" s="12">
        <v>0</v>
      </c>
      <c r="T125" s="12"/>
      <c r="U125" s="12"/>
      <c r="V125" s="12"/>
      <c r="W125" s="12">
        <v>0</v>
      </c>
      <c r="X125" s="12"/>
      <c r="Y125" s="12">
        <v>0</v>
      </c>
      <c r="Z125" s="12">
        <v>-33625.35</v>
      </c>
      <c r="AA125" s="12">
        <v>0</v>
      </c>
      <c r="AB125" s="12">
        <v>0</v>
      </c>
      <c r="AC125" s="12">
        <v>0</v>
      </c>
      <c r="AD125" s="12"/>
      <c r="AE125" s="12">
        <v>0</v>
      </c>
      <c r="AF125" s="12">
        <v>0</v>
      </c>
      <c r="AG125" s="75">
        <f t="shared" si="28"/>
        <v>-47620.99</v>
      </c>
      <c r="AH125" s="7">
        <v>122</v>
      </c>
    </row>
    <row r="126" spans="1:34" x14ac:dyDescent="0.25">
      <c r="D126" s="7">
        <v>2002</v>
      </c>
      <c r="E126" s="7" t="s">
        <v>397</v>
      </c>
      <c r="F126" s="12">
        <v>0</v>
      </c>
      <c r="G126" s="12">
        <v>-14626.45</v>
      </c>
      <c r="H126" s="12">
        <v>0</v>
      </c>
      <c r="I126" s="12">
        <v>0</v>
      </c>
      <c r="J126" s="12"/>
      <c r="K126" s="12">
        <v>0</v>
      </c>
      <c r="L126" s="12">
        <v>0</v>
      </c>
      <c r="M126" s="12">
        <v>0</v>
      </c>
      <c r="N126" s="12">
        <v>0</v>
      </c>
      <c r="O126" s="12">
        <v>0</v>
      </c>
      <c r="P126" s="12">
        <v>0</v>
      </c>
      <c r="Q126" s="12">
        <v>0</v>
      </c>
      <c r="R126" s="12">
        <v>0</v>
      </c>
      <c r="S126" s="12">
        <v>0</v>
      </c>
      <c r="T126" s="12"/>
      <c r="U126" s="12"/>
      <c r="V126" s="12"/>
      <c r="W126" s="12">
        <v>0</v>
      </c>
      <c r="X126" s="12"/>
      <c r="Y126" s="12">
        <v>-41208.199999999997</v>
      </c>
      <c r="Z126" s="12">
        <v>0</v>
      </c>
      <c r="AA126" s="12">
        <v>0</v>
      </c>
      <c r="AB126" s="12">
        <v>0</v>
      </c>
      <c r="AC126" s="12">
        <v>0</v>
      </c>
      <c r="AD126" s="12"/>
      <c r="AE126" s="12">
        <v>0</v>
      </c>
      <c r="AF126" s="12">
        <v>0</v>
      </c>
      <c r="AG126" s="75">
        <f t="shared" si="28"/>
        <v>-55834.649999999994</v>
      </c>
      <c r="AH126" s="7">
        <v>123</v>
      </c>
    </row>
    <row r="127" spans="1:34" x14ac:dyDescent="0.25">
      <c r="D127" s="7">
        <v>2003</v>
      </c>
      <c r="E127" s="7" t="s">
        <v>398</v>
      </c>
      <c r="F127" s="12">
        <v>0</v>
      </c>
      <c r="G127" s="12">
        <v>0</v>
      </c>
      <c r="H127" s="12">
        <v>0</v>
      </c>
      <c r="I127" s="12">
        <v>0</v>
      </c>
      <c r="J127" s="12"/>
      <c r="K127" s="12">
        <v>0</v>
      </c>
      <c r="L127" s="12">
        <v>0</v>
      </c>
      <c r="M127" s="12">
        <v>0</v>
      </c>
      <c r="N127" s="12">
        <v>0</v>
      </c>
      <c r="O127" s="12">
        <v>0</v>
      </c>
      <c r="P127" s="12">
        <v>0</v>
      </c>
      <c r="Q127" s="12">
        <v>0</v>
      </c>
      <c r="R127" s="12">
        <v>0</v>
      </c>
      <c r="S127" s="12">
        <v>0</v>
      </c>
      <c r="T127" s="12"/>
      <c r="U127" s="12"/>
      <c r="V127" s="12"/>
      <c r="W127" s="12">
        <v>0</v>
      </c>
      <c r="X127" s="12"/>
      <c r="Y127" s="12">
        <v>0</v>
      </c>
      <c r="Z127" s="12">
        <v>0</v>
      </c>
      <c r="AA127" s="12">
        <v>0</v>
      </c>
      <c r="AB127" s="12">
        <v>0</v>
      </c>
      <c r="AC127" s="12">
        <v>0</v>
      </c>
      <c r="AD127" s="12"/>
      <c r="AE127" s="12">
        <v>0</v>
      </c>
      <c r="AF127" s="12">
        <v>0</v>
      </c>
      <c r="AG127" s="75">
        <f t="shared" si="28"/>
        <v>0</v>
      </c>
      <c r="AH127" s="7">
        <v>124</v>
      </c>
    </row>
    <row r="128" spans="1:34" x14ac:dyDescent="0.25">
      <c r="D128" s="7">
        <v>2004</v>
      </c>
      <c r="E128" s="7" t="s">
        <v>399</v>
      </c>
      <c r="F128" s="12">
        <v>0</v>
      </c>
      <c r="G128" s="12">
        <v>0</v>
      </c>
      <c r="H128" s="12">
        <v>0</v>
      </c>
      <c r="I128" s="12">
        <v>1378746.3</v>
      </c>
      <c r="J128" s="12"/>
      <c r="K128" s="12">
        <v>0</v>
      </c>
      <c r="L128" s="12">
        <v>0</v>
      </c>
      <c r="M128" s="12">
        <v>0</v>
      </c>
      <c r="N128" s="12">
        <v>0</v>
      </c>
      <c r="O128" s="12">
        <v>18000</v>
      </c>
      <c r="P128" s="12">
        <v>0</v>
      </c>
      <c r="Q128" s="12">
        <v>0</v>
      </c>
      <c r="R128" s="12">
        <v>0</v>
      </c>
      <c r="S128" s="12">
        <v>0</v>
      </c>
      <c r="T128" s="12"/>
      <c r="U128" s="12"/>
      <c r="V128" s="12"/>
      <c r="W128" s="12">
        <v>0</v>
      </c>
      <c r="X128" s="12"/>
      <c r="Y128" s="12">
        <v>0</v>
      </c>
      <c r="Z128" s="12">
        <v>0</v>
      </c>
      <c r="AA128" s="12">
        <v>0</v>
      </c>
      <c r="AB128" s="12">
        <v>0</v>
      </c>
      <c r="AC128" s="12">
        <v>0</v>
      </c>
      <c r="AD128" s="12"/>
      <c r="AE128" s="12">
        <v>0</v>
      </c>
      <c r="AF128" s="12">
        <v>0</v>
      </c>
      <c r="AG128" s="75">
        <f t="shared" si="28"/>
        <v>1396746.3</v>
      </c>
      <c r="AH128" s="7">
        <v>125</v>
      </c>
    </row>
    <row r="129" spans="3:34" x14ac:dyDescent="0.25">
      <c r="D129" s="7">
        <v>2005</v>
      </c>
      <c r="E129" s="7" t="s">
        <v>320</v>
      </c>
      <c r="F129" s="12">
        <v>0</v>
      </c>
      <c r="G129" s="12">
        <v>0</v>
      </c>
      <c r="H129" s="12">
        <v>0</v>
      </c>
      <c r="I129" s="12">
        <v>0</v>
      </c>
      <c r="J129" s="12"/>
      <c r="K129" s="12">
        <v>0</v>
      </c>
      <c r="L129" s="12">
        <v>290832.68</v>
      </c>
      <c r="M129" s="12">
        <v>0</v>
      </c>
      <c r="N129" s="12">
        <v>0</v>
      </c>
      <c r="O129" s="12">
        <v>0</v>
      </c>
      <c r="P129" s="12">
        <v>0</v>
      </c>
      <c r="Q129" s="12">
        <v>0</v>
      </c>
      <c r="R129" s="12">
        <v>0</v>
      </c>
      <c r="S129" s="12">
        <v>0</v>
      </c>
      <c r="T129" s="12"/>
      <c r="U129" s="12"/>
      <c r="V129" s="12"/>
      <c r="W129" s="12">
        <v>0</v>
      </c>
      <c r="X129" s="12"/>
      <c r="Y129" s="12">
        <v>0</v>
      </c>
      <c r="Z129" s="12">
        <v>0</v>
      </c>
      <c r="AA129" s="12">
        <v>0</v>
      </c>
      <c r="AB129" s="12">
        <v>0</v>
      </c>
      <c r="AC129" s="12">
        <v>0</v>
      </c>
      <c r="AD129" s="12"/>
      <c r="AE129" s="12">
        <v>0</v>
      </c>
      <c r="AF129" s="12">
        <v>0</v>
      </c>
      <c r="AG129" s="75">
        <f t="shared" si="28"/>
        <v>290832.68</v>
      </c>
      <c r="AH129" s="7">
        <v>126</v>
      </c>
    </row>
    <row r="130" spans="3:34" x14ac:dyDescent="0.25">
      <c r="D130" s="7">
        <v>2006</v>
      </c>
      <c r="E130" s="7" t="s">
        <v>444</v>
      </c>
      <c r="F130" s="12">
        <v>0</v>
      </c>
      <c r="G130" s="12">
        <v>0</v>
      </c>
      <c r="H130" s="12">
        <v>0</v>
      </c>
      <c r="I130" s="12">
        <v>60069.95</v>
      </c>
      <c r="J130" s="12"/>
      <c r="K130" s="12">
        <v>0</v>
      </c>
      <c r="L130" s="12">
        <v>0</v>
      </c>
      <c r="M130" s="12">
        <v>0</v>
      </c>
      <c r="N130" s="12">
        <v>0</v>
      </c>
      <c r="O130" s="12">
        <v>0</v>
      </c>
      <c r="P130" s="12">
        <v>0</v>
      </c>
      <c r="Q130" s="12">
        <v>0</v>
      </c>
      <c r="R130" s="12">
        <v>0</v>
      </c>
      <c r="S130" s="12">
        <v>0</v>
      </c>
      <c r="T130" s="12"/>
      <c r="U130" s="12"/>
      <c r="V130" s="12"/>
      <c r="W130" s="12">
        <v>0</v>
      </c>
      <c r="X130" s="12"/>
      <c r="Y130" s="12">
        <v>0</v>
      </c>
      <c r="Z130" s="12">
        <v>0</v>
      </c>
      <c r="AA130" s="12">
        <v>0</v>
      </c>
      <c r="AB130" s="12">
        <v>0</v>
      </c>
      <c r="AC130" s="12">
        <v>0</v>
      </c>
      <c r="AD130" s="12"/>
      <c r="AE130" s="12">
        <v>40937.32</v>
      </c>
      <c r="AF130" s="12">
        <v>0</v>
      </c>
      <c r="AG130" s="75">
        <f t="shared" si="28"/>
        <v>101007.26999999999</v>
      </c>
      <c r="AH130" s="7">
        <v>127</v>
      </c>
    </row>
    <row r="131" spans="3:34" x14ac:dyDescent="0.25">
      <c r="D131" s="7">
        <v>2009</v>
      </c>
      <c r="E131" s="7" t="s">
        <v>401</v>
      </c>
      <c r="F131" s="12">
        <v>0</v>
      </c>
      <c r="G131" s="12">
        <v>0</v>
      </c>
      <c r="H131" s="12">
        <v>0</v>
      </c>
      <c r="I131" s="12">
        <v>0</v>
      </c>
      <c r="J131" s="12"/>
      <c r="K131" s="12">
        <v>0</v>
      </c>
      <c r="L131" s="12">
        <v>0</v>
      </c>
      <c r="M131" s="12">
        <v>0</v>
      </c>
      <c r="N131" s="12">
        <v>0</v>
      </c>
      <c r="O131" s="12">
        <v>0</v>
      </c>
      <c r="P131" s="12">
        <v>0</v>
      </c>
      <c r="Q131" s="12">
        <v>0</v>
      </c>
      <c r="R131" s="12">
        <v>0</v>
      </c>
      <c r="S131" s="12">
        <v>0</v>
      </c>
      <c r="T131" s="12"/>
      <c r="U131" s="12"/>
      <c r="V131" s="12"/>
      <c r="W131" s="12">
        <v>0</v>
      </c>
      <c r="X131" s="12"/>
      <c r="Y131" s="12">
        <v>0</v>
      </c>
      <c r="Z131" s="12">
        <v>0</v>
      </c>
      <c r="AA131" s="12">
        <v>0</v>
      </c>
      <c r="AB131" s="12">
        <v>0</v>
      </c>
      <c r="AC131" s="12">
        <v>0</v>
      </c>
      <c r="AD131" s="12"/>
      <c r="AE131" s="12">
        <v>0</v>
      </c>
      <c r="AF131" s="12">
        <v>0</v>
      </c>
      <c r="AG131" s="75">
        <f t="shared" si="28"/>
        <v>0</v>
      </c>
      <c r="AH131" s="7">
        <v>128</v>
      </c>
    </row>
    <row r="132" spans="3:34" x14ac:dyDescent="0.25">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75"/>
      <c r="AH132" s="7">
        <v>129</v>
      </c>
    </row>
    <row r="133" spans="3:34" x14ac:dyDescent="0.25">
      <c r="C133" s="111">
        <v>201</v>
      </c>
      <c r="D133" s="111"/>
      <c r="E133" s="111" t="s">
        <v>253</v>
      </c>
      <c r="F133" s="112">
        <f>F134+F135+F136+F137+F138+F139+F140+F141</f>
        <v>0</v>
      </c>
      <c r="G133" s="112">
        <f t="shared" ref="G133:AF133" si="31">G134+G135+G136+G137+G138+G139+G140+G141</f>
        <v>0</v>
      </c>
      <c r="H133" s="112">
        <f t="shared" si="31"/>
        <v>0</v>
      </c>
      <c r="I133" s="112">
        <f t="shared" si="31"/>
        <v>0</v>
      </c>
      <c r="J133" s="112">
        <f t="shared" si="31"/>
        <v>0</v>
      </c>
      <c r="K133" s="112">
        <f t="shared" si="31"/>
        <v>319920</v>
      </c>
      <c r="L133" s="112">
        <f t="shared" si="31"/>
        <v>0</v>
      </c>
      <c r="M133" s="112">
        <f t="shared" si="31"/>
        <v>1028506.16</v>
      </c>
      <c r="N133" s="112">
        <f t="shared" si="31"/>
        <v>0</v>
      </c>
      <c r="O133" s="112">
        <f t="shared" si="31"/>
        <v>0</v>
      </c>
      <c r="P133" s="112">
        <f t="shared" si="31"/>
        <v>0</v>
      </c>
      <c r="Q133" s="112">
        <f t="shared" si="31"/>
        <v>0</v>
      </c>
      <c r="R133" s="112">
        <f t="shared" si="31"/>
        <v>0</v>
      </c>
      <c r="S133" s="112">
        <f t="shared" si="31"/>
        <v>0</v>
      </c>
      <c r="T133" s="112">
        <f t="shared" si="31"/>
        <v>0</v>
      </c>
      <c r="U133" s="112">
        <f t="shared" si="31"/>
        <v>0</v>
      </c>
      <c r="V133" s="112">
        <f t="shared" si="31"/>
        <v>0</v>
      </c>
      <c r="W133" s="112">
        <f t="shared" si="31"/>
        <v>855070.47</v>
      </c>
      <c r="X133" s="112">
        <f t="shared" si="31"/>
        <v>0</v>
      </c>
      <c r="Y133" s="112">
        <f t="shared" si="31"/>
        <v>611726.66999999993</v>
      </c>
      <c r="Z133" s="112">
        <f t="shared" si="31"/>
        <v>7512158.1299999999</v>
      </c>
      <c r="AA133" s="112">
        <f t="shared" si="31"/>
        <v>0</v>
      </c>
      <c r="AB133" s="112">
        <f t="shared" si="31"/>
        <v>180500</v>
      </c>
      <c r="AC133" s="112">
        <f t="shared" si="31"/>
        <v>0</v>
      </c>
      <c r="AD133" s="112">
        <f t="shared" si="31"/>
        <v>0</v>
      </c>
      <c r="AE133" s="112">
        <f t="shared" si="31"/>
        <v>250000</v>
      </c>
      <c r="AF133" s="112">
        <f t="shared" si="31"/>
        <v>0</v>
      </c>
      <c r="AG133" s="112">
        <f t="shared" ref="AG133:AG141" si="32">SUM(F133:AF133)</f>
        <v>10757881.43</v>
      </c>
      <c r="AH133" s="7">
        <v>130</v>
      </c>
    </row>
    <row r="134" spans="3:34" x14ac:dyDescent="0.25">
      <c r="D134" s="7">
        <v>2010</v>
      </c>
      <c r="E134" s="7" t="s">
        <v>402</v>
      </c>
      <c r="F134" s="12">
        <v>0</v>
      </c>
      <c r="G134" s="12">
        <v>0</v>
      </c>
      <c r="H134" s="12">
        <v>0</v>
      </c>
      <c r="I134" s="12">
        <v>0</v>
      </c>
      <c r="J134" s="12"/>
      <c r="K134" s="12">
        <v>0</v>
      </c>
      <c r="L134" s="12">
        <v>0</v>
      </c>
      <c r="M134" s="12">
        <v>1028506.16</v>
      </c>
      <c r="N134" s="12">
        <v>0</v>
      </c>
      <c r="O134" s="12">
        <v>0</v>
      </c>
      <c r="P134" s="12">
        <v>0</v>
      </c>
      <c r="Q134" s="12">
        <v>0</v>
      </c>
      <c r="R134" s="12">
        <v>0</v>
      </c>
      <c r="S134" s="12">
        <v>0</v>
      </c>
      <c r="T134" s="12"/>
      <c r="U134" s="12"/>
      <c r="V134" s="12"/>
      <c r="W134" s="12">
        <v>504806.42</v>
      </c>
      <c r="X134" s="12"/>
      <c r="Y134" s="12">
        <v>506686.67</v>
      </c>
      <c r="Z134" s="12">
        <v>7512158.1299999999</v>
      </c>
      <c r="AA134" s="12">
        <v>0</v>
      </c>
      <c r="AB134" s="12">
        <v>0</v>
      </c>
      <c r="AC134" s="12">
        <v>0</v>
      </c>
      <c r="AD134" s="12"/>
      <c r="AE134" s="12">
        <v>0</v>
      </c>
      <c r="AF134" s="12">
        <v>0</v>
      </c>
      <c r="AG134" s="75">
        <f t="shared" si="32"/>
        <v>9552157.379999999</v>
      </c>
      <c r="AH134" s="7">
        <v>131</v>
      </c>
    </row>
    <row r="135" spans="3:34" x14ac:dyDescent="0.25">
      <c r="D135" s="7">
        <v>2011</v>
      </c>
      <c r="E135" s="7" t="s">
        <v>403</v>
      </c>
      <c r="F135" s="12">
        <v>0</v>
      </c>
      <c r="G135" s="12">
        <v>0</v>
      </c>
      <c r="H135" s="12">
        <v>0</v>
      </c>
      <c r="I135" s="12">
        <v>0</v>
      </c>
      <c r="J135" s="12"/>
      <c r="K135" s="12">
        <v>0</v>
      </c>
      <c r="L135" s="12">
        <v>0</v>
      </c>
      <c r="M135" s="12">
        <v>0</v>
      </c>
      <c r="N135" s="12">
        <v>0</v>
      </c>
      <c r="O135" s="12">
        <v>0</v>
      </c>
      <c r="P135" s="12">
        <v>0</v>
      </c>
      <c r="Q135" s="12">
        <v>0</v>
      </c>
      <c r="R135" s="12">
        <v>0</v>
      </c>
      <c r="S135" s="12">
        <v>0</v>
      </c>
      <c r="T135" s="12"/>
      <c r="U135" s="12"/>
      <c r="V135" s="12"/>
      <c r="W135" s="12">
        <v>350264.05</v>
      </c>
      <c r="X135" s="12"/>
      <c r="Y135" s="12">
        <v>0</v>
      </c>
      <c r="Z135" s="12">
        <v>0</v>
      </c>
      <c r="AA135" s="12">
        <v>0</v>
      </c>
      <c r="AB135" s="12">
        <v>0</v>
      </c>
      <c r="AC135" s="12">
        <v>0</v>
      </c>
      <c r="AD135" s="12"/>
      <c r="AE135" s="12">
        <v>0</v>
      </c>
      <c r="AF135" s="12">
        <v>0</v>
      </c>
      <c r="AG135" s="75">
        <f t="shared" si="32"/>
        <v>350264.05</v>
      </c>
      <c r="AH135" s="7">
        <v>132</v>
      </c>
    </row>
    <row r="136" spans="3:34" x14ac:dyDescent="0.25">
      <c r="D136" s="7">
        <v>2012</v>
      </c>
      <c r="E136" s="7" t="s">
        <v>404</v>
      </c>
      <c r="F136" s="12">
        <v>0</v>
      </c>
      <c r="G136" s="12">
        <v>0</v>
      </c>
      <c r="H136" s="12">
        <v>0</v>
      </c>
      <c r="I136" s="12">
        <v>0</v>
      </c>
      <c r="J136" s="12"/>
      <c r="K136" s="12">
        <v>0</v>
      </c>
      <c r="L136" s="12">
        <v>0</v>
      </c>
      <c r="M136" s="12">
        <v>0</v>
      </c>
      <c r="N136" s="12">
        <v>0</v>
      </c>
      <c r="O136" s="12">
        <v>0</v>
      </c>
      <c r="P136" s="12">
        <v>0</v>
      </c>
      <c r="Q136" s="12">
        <v>0</v>
      </c>
      <c r="R136" s="12">
        <v>0</v>
      </c>
      <c r="S136" s="12">
        <v>0</v>
      </c>
      <c r="T136" s="12"/>
      <c r="U136" s="12"/>
      <c r="V136" s="12"/>
      <c r="W136" s="12">
        <v>0</v>
      </c>
      <c r="X136" s="12"/>
      <c r="Y136" s="12">
        <v>0</v>
      </c>
      <c r="Z136" s="12">
        <v>0</v>
      </c>
      <c r="AA136" s="12">
        <v>0</v>
      </c>
      <c r="AB136" s="12">
        <v>0</v>
      </c>
      <c r="AC136" s="12">
        <v>0</v>
      </c>
      <c r="AD136" s="12"/>
      <c r="AE136" s="12">
        <v>0</v>
      </c>
      <c r="AF136" s="12">
        <v>0</v>
      </c>
      <c r="AG136" s="75">
        <f t="shared" si="32"/>
        <v>0</v>
      </c>
      <c r="AH136" s="7">
        <v>133</v>
      </c>
    </row>
    <row r="137" spans="3:34" x14ac:dyDescent="0.25">
      <c r="D137" s="7">
        <v>2013</v>
      </c>
      <c r="E137" s="7" t="s">
        <v>405</v>
      </c>
      <c r="F137" s="12">
        <v>0</v>
      </c>
      <c r="G137" s="12">
        <v>0</v>
      </c>
      <c r="H137" s="12">
        <v>0</v>
      </c>
      <c r="I137" s="12">
        <v>0</v>
      </c>
      <c r="J137" s="12"/>
      <c r="K137" s="12">
        <v>0</v>
      </c>
      <c r="L137" s="12">
        <v>0</v>
      </c>
      <c r="M137" s="12">
        <v>0</v>
      </c>
      <c r="N137" s="12">
        <v>0</v>
      </c>
      <c r="O137" s="12">
        <v>0</v>
      </c>
      <c r="P137" s="12">
        <v>0</v>
      </c>
      <c r="Q137" s="12">
        <v>0</v>
      </c>
      <c r="R137" s="12">
        <v>0</v>
      </c>
      <c r="S137" s="12">
        <v>0</v>
      </c>
      <c r="T137" s="12"/>
      <c r="U137" s="12"/>
      <c r="V137" s="12"/>
      <c r="W137" s="12">
        <v>0</v>
      </c>
      <c r="X137" s="12"/>
      <c r="Y137" s="12">
        <v>0</v>
      </c>
      <c r="Z137" s="12">
        <v>0</v>
      </c>
      <c r="AA137" s="12">
        <v>0</v>
      </c>
      <c r="AB137" s="12">
        <v>0</v>
      </c>
      <c r="AC137" s="12">
        <v>0</v>
      </c>
      <c r="AD137" s="12"/>
      <c r="AE137" s="12">
        <v>0</v>
      </c>
      <c r="AF137" s="12">
        <v>0</v>
      </c>
      <c r="AG137" s="75">
        <f t="shared" si="32"/>
        <v>0</v>
      </c>
      <c r="AH137" s="7">
        <v>134</v>
      </c>
    </row>
    <row r="138" spans="3:34" x14ac:dyDescent="0.25">
      <c r="D138" s="7">
        <v>2014</v>
      </c>
      <c r="E138" s="7" t="s">
        <v>407</v>
      </c>
      <c r="F138" s="12">
        <v>0</v>
      </c>
      <c r="G138" s="12">
        <v>0</v>
      </c>
      <c r="H138" s="12">
        <v>0</v>
      </c>
      <c r="I138" s="12">
        <v>0</v>
      </c>
      <c r="J138" s="12"/>
      <c r="K138" s="12">
        <v>319920</v>
      </c>
      <c r="L138" s="12">
        <v>0</v>
      </c>
      <c r="M138" s="12">
        <v>0</v>
      </c>
      <c r="N138" s="12">
        <v>0</v>
      </c>
      <c r="O138" s="12">
        <v>0</v>
      </c>
      <c r="P138" s="12">
        <v>0</v>
      </c>
      <c r="Q138" s="12">
        <v>0</v>
      </c>
      <c r="R138" s="12">
        <v>0</v>
      </c>
      <c r="S138" s="12">
        <v>0</v>
      </c>
      <c r="T138" s="12"/>
      <c r="U138" s="12"/>
      <c r="V138" s="12"/>
      <c r="W138" s="12">
        <v>0</v>
      </c>
      <c r="X138" s="12"/>
      <c r="Y138" s="12">
        <v>105040</v>
      </c>
      <c r="Z138" s="12">
        <v>0</v>
      </c>
      <c r="AA138" s="12">
        <v>0</v>
      </c>
      <c r="AB138" s="12">
        <v>180500</v>
      </c>
      <c r="AC138" s="12">
        <v>0</v>
      </c>
      <c r="AD138" s="12"/>
      <c r="AE138" s="12">
        <v>250000</v>
      </c>
      <c r="AF138" s="12">
        <v>0</v>
      </c>
      <c r="AG138" s="75">
        <f t="shared" si="32"/>
        <v>855460</v>
      </c>
      <c r="AH138" s="7">
        <v>135</v>
      </c>
    </row>
    <row r="139" spans="3:34" x14ac:dyDescent="0.25">
      <c r="D139" s="7">
        <v>2015</v>
      </c>
      <c r="E139" s="7" t="s">
        <v>406</v>
      </c>
      <c r="F139" s="12">
        <v>0</v>
      </c>
      <c r="G139" s="12">
        <v>0</v>
      </c>
      <c r="H139" s="12">
        <v>0</v>
      </c>
      <c r="I139" s="12">
        <v>0</v>
      </c>
      <c r="J139" s="12"/>
      <c r="K139" s="12">
        <v>0</v>
      </c>
      <c r="L139" s="12">
        <v>0</v>
      </c>
      <c r="M139" s="12">
        <v>0</v>
      </c>
      <c r="N139" s="12">
        <v>0</v>
      </c>
      <c r="O139" s="12">
        <v>0</v>
      </c>
      <c r="P139" s="12">
        <v>0</v>
      </c>
      <c r="Q139" s="12">
        <v>0</v>
      </c>
      <c r="R139" s="12">
        <v>0</v>
      </c>
      <c r="S139" s="12">
        <v>0</v>
      </c>
      <c r="T139" s="12"/>
      <c r="U139" s="12"/>
      <c r="V139" s="12"/>
      <c r="W139" s="12">
        <v>0</v>
      </c>
      <c r="X139" s="12"/>
      <c r="Y139" s="12">
        <v>0</v>
      </c>
      <c r="Z139" s="12">
        <v>0</v>
      </c>
      <c r="AA139" s="12">
        <v>0</v>
      </c>
      <c r="AB139" s="12">
        <v>0</v>
      </c>
      <c r="AC139" s="12">
        <v>0</v>
      </c>
      <c r="AD139" s="12"/>
      <c r="AE139" s="12">
        <v>0</v>
      </c>
      <c r="AF139" s="12">
        <v>0</v>
      </c>
      <c r="AG139" s="75">
        <f t="shared" si="32"/>
        <v>0</v>
      </c>
      <c r="AH139" s="7">
        <v>136</v>
      </c>
    </row>
    <row r="140" spans="3:34" x14ac:dyDescent="0.25">
      <c r="D140" s="7">
        <v>2016</v>
      </c>
      <c r="E140" s="7" t="s">
        <v>268</v>
      </c>
      <c r="F140" s="12">
        <v>0</v>
      </c>
      <c r="G140" s="12">
        <v>0</v>
      </c>
      <c r="H140" s="12">
        <v>0</v>
      </c>
      <c r="I140" s="12">
        <v>0</v>
      </c>
      <c r="J140" s="12"/>
      <c r="K140" s="12">
        <v>0</v>
      </c>
      <c r="L140" s="12">
        <v>0</v>
      </c>
      <c r="M140" s="12">
        <v>0</v>
      </c>
      <c r="N140" s="12">
        <v>0</v>
      </c>
      <c r="O140" s="12">
        <v>0</v>
      </c>
      <c r="P140" s="12">
        <v>0</v>
      </c>
      <c r="Q140" s="12">
        <v>0</v>
      </c>
      <c r="R140" s="12">
        <v>0</v>
      </c>
      <c r="S140" s="12">
        <v>0</v>
      </c>
      <c r="T140" s="12"/>
      <c r="U140" s="12"/>
      <c r="V140" s="12"/>
      <c r="W140" s="12">
        <v>0</v>
      </c>
      <c r="X140" s="12"/>
      <c r="Y140" s="12">
        <v>0</v>
      </c>
      <c r="Z140" s="12">
        <v>0</v>
      </c>
      <c r="AA140" s="12">
        <v>0</v>
      </c>
      <c r="AB140" s="12">
        <v>0</v>
      </c>
      <c r="AC140" s="12">
        <v>0</v>
      </c>
      <c r="AD140" s="12"/>
      <c r="AE140" s="12">
        <v>0</v>
      </c>
      <c r="AF140" s="12">
        <v>0</v>
      </c>
      <c r="AG140" s="75">
        <f t="shared" si="32"/>
        <v>0</v>
      </c>
      <c r="AH140" s="7">
        <v>137</v>
      </c>
    </row>
    <row r="141" spans="3:34" x14ac:dyDescent="0.25">
      <c r="D141" s="7">
        <v>2019</v>
      </c>
      <c r="E141" s="7" t="s">
        <v>408</v>
      </c>
      <c r="F141" s="12">
        <v>0</v>
      </c>
      <c r="G141" s="12">
        <v>0</v>
      </c>
      <c r="H141" s="12">
        <v>0</v>
      </c>
      <c r="I141" s="12">
        <v>0</v>
      </c>
      <c r="J141" s="12"/>
      <c r="K141" s="12">
        <v>0</v>
      </c>
      <c r="L141" s="12">
        <v>0</v>
      </c>
      <c r="M141" s="12">
        <v>0</v>
      </c>
      <c r="N141" s="12">
        <v>0</v>
      </c>
      <c r="O141" s="12">
        <v>0</v>
      </c>
      <c r="P141" s="12">
        <v>0</v>
      </c>
      <c r="Q141" s="12">
        <v>0</v>
      </c>
      <c r="R141" s="12">
        <v>0</v>
      </c>
      <c r="S141" s="12">
        <v>0</v>
      </c>
      <c r="T141" s="12"/>
      <c r="U141" s="12"/>
      <c r="V141" s="12"/>
      <c r="W141" s="12">
        <v>0</v>
      </c>
      <c r="X141" s="12"/>
      <c r="Y141" s="12">
        <v>0</v>
      </c>
      <c r="Z141" s="12">
        <v>0</v>
      </c>
      <c r="AA141" s="12">
        <v>0</v>
      </c>
      <c r="AB141" s="12">
        <v>0</v>
      </c>
      <c r="AC141" s="12">
        <v>0</v>
      </c>
      <c r="AD141" s="12"/>
      <c r="AE141" s="12">
        <v>0</v>
      </c>
      <c r="AF141" s="12">
        <v>0</v>
      </c>
      <c r="AG141" s="75">
        <f t="shared" si="32"/>
        <v>0</v>
      </c>
      <c r="AH141" s="7">
        <v>138</v>
      </c>
    </row>
    <row r="142" spans="3:34" x14ac:dyDescent="0.25">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75"/>
      <c r="AH142" s="7">
        <v>139</v>
      </c>
    </row>
    <row r="143" spans="3:34" x14ac:dyDescent="0.25">
      <c r="C143" s="111">
        <v>204</v>
      </c>
      <c r="D143" s="111"/>
      <c r="E143" s="111" t="s">
        <v>254</v>
      </c>
      <c r="F143" s="112">
        <f>F144+F145+F146+F147+F148+F149+F150+F151</f>
        <v>86094.549999999988</v>
      </c>
      <c r="G143" s="112">
        <f t="shared" ref="G143:AF143" si="33">G144+G145+G146+G147+G148+G149+G150+G151</f>
        <v>19845.91</v>
      </c>
      <c r="H143" s="112">
        <f t="shared" si="33"/>
        <v>2455.6</v>
      </c>
      <c r="I143" s="112">
        <f t="shared" si="33"/>
        <v>0</v>
      </c>
      <c r="J143" s="112">
        <f t="shared" si="33"/>
        <v>0</v>
      </c>
      <c r="K143" s="112">
        <f t="shared" si="33"/>
        <v>6133</v>
      </c>
      <c r="L143" s="112">
        <f t="shared" si="33"/>
        <v>33768.199999999997</v>
      </c>
      <c r="M143" s="112">
        <f t="shared" si="33"/>
        <v>886.55</v>
      </c>
      <c r="N143" s="112">
        <f t="shared" si="33"/>
        <v>82948.41</v>
      </c>
      <c r="O143" s="112">
        <f t="shared" si="33"/>
        <v>4369.2</v>
      </c>
      <c r="P143" s="112">
        <f t="shared" si="33"/>
        <v>6800</v>
      </c>
      <c r="Q143" s="112">
        <f t="shared" si="33"/>
        <v>0</v>
      </c>
      <c r="R143" s="112">
        <f t="shared" si="33"/>
        <v>4066.6</v>
      </c>
      <c r="S143" s="112">
        <f t="shared" si="33"/>
        <v>4428.8999999999996</v>
      </c>
      <c r="T143" s="112">
        <f t="shared" si="33"/>
        <v>0</v>
      </c>
      <c r="U143" s="112">
        <f t="shared" si="33"/>
        <v>0</v>
      </c>
      <c r="V143" s="112">
        <f t="shared" si="33"/>
        <v>0</v>
      </c>
      <c r="W143" s="112">
        <f t="shared" si="33"/>
        <v>0</v>
      </c>
      <c r="X143" s="112">
        <f t="shared" si="33"/>
        <v>0</v>
      </c>
      <c r="Y143" s="112">
        <f t="shared" si="33"/>
        <v>27009.1</v>
      </c>
      <c r="Z143" s="112">
        <f t="shared" si="33"/>
        <v>336493.15</v>
      </c>
      <c r="AA143" s="112">
        <f t="shared" si="33"/>
        <v>19889.29</v>
      </c>
      <c r="AB143" s="112">
        <f t="shared" si="33"/>
        <v>248391.87</v>
      </c>
      <c r="AC143" s="112">
        <f t="shared" si="33"/>
        <v>0</v>
      </c>
      <c r="AD143" s="112">
        <f t="shared" si="33"/>
        <v>0</v>
      </c>
      <c r="AE143" s="112">
        <f t="shared" si="33"/>
        <v>134865.45000000001</v>
      </c>
      <c r="AF143" s="112">
        <f t="shared" si="33"/>
        <v>251227.1</v>
      </c>
      <c r="AG143" s="112">
        <f t="shared" ref="AG143:AG151" si="34">SUM(F143:AF143)</f>
        <v>1269672.8800000001</v>
      </c>
      <c r="AH143" s="7">
        <v>140</v>
      </c>
    </row>
    <row r="144" spans="3:34" x14ac:dyDescent="0.25">
      <c r="D144" s="7">
        <v>2040</v>
      </c>
      <c r="E144" s="7" t="s">
        <v>61</v>
      </c>
      <c r="F144" s="12">
        <v>1007.5</v>
      </c>
      <c r="G144" s="12">
        <v>0</v>
      </c>
      <c r="H144" s="12">
        <v>0</v>
      </c>
      <c r="I144" s="12">
        <v>0</v>
      </c>
      <c r="J144" s="12"/>
      <c r="K144" s="12">
        <v>245</v>
      </c>
      <c r="L144" s="12">
        <v>0</v>
      </c>
      <c r="M144" s="12">
        <v>0</v>
      </c>
      <c r="N144" s="12">
        <v>0</v>
      </c>
      <c r="O144" s="12">
        <v>1097.8</v>
      </c>
      <c r="P144" s="12">
        <v>0</v>
      </c>
      <c r="Q144" s="12">
        <v>0</v>
      </c>
      <c r="R144" s="12">
        <v>0</v>
      </c>
      <c r="S144" s="12">
        <v>1628.9</v>
      </c>
      <c r="T144" s="12"/>
      <c r="U144" s="12"/>
      <c r="V144" s="12"/>
      <c r="W144" s="12">
        <v>0</v>
      </c>
      <c r="X144" s="12"/>
      <c r="Y144" s="12">
        <v>0</v>
      </c>
      <c r="Z144" s="12">
        <v>0</v>
      </c>
      <c r="AA144" s="12">
        <v>0</v>
      </c>
      <c r="AB144" s="12">
        <v>4660</v>
      </c>
      <c r="AC144" s="12">
        <v>0</v>
      </c>
      <c r="AD144" s="12"/>
      <c r="AE144" s="12">
        <v>0</v>
      </c>
      <c r="AF144" s="12">
        <v>0</v>
      </c>
      <c r="AG144" s="75">
        <f t="shared" si="34"/>
        <v>8639.2000000000007</v>
      </c>
      <c r="AH144" s="7">
        <v>141</v>
      </c>
    </row>
    <row r="145" spans="3:34" x14ac:dyDescent="0.25">
      <c r="D145" s="7">
        <v>2041</v>
      </c>
      <c r="E145" s="7" t="s">
        <v>276</v>
      </c>
      <c r="F145" s="12">
        <v>51189.85</v>
      </c>
      <c r="G145" s="12">
        <v>19845.91</v>
      </c>
      <c r="H145" s="12">
        <v>2455.6</v>
      </c>
      <c r="I145" s="12">
        <v>0</v>
      </c>
      <c r="J145" s="12"/>
      <c r="K145" s="12">
        <v>5888</v>
      </c>
      <c r="L145" s="12">
        <v>33768.199999999997</v>
      </c>
      <c r="M145" s="12">
        <v>0</v>
      </c>
      <c r="N145" s="12">
        <v>71794.460000000006</v>
      </c>
      <c r="O145" s="12">
        <v>3271.4</v>
      </c>
      <c r="P145" s="12">
        <v>0</v>
      </c>
      <c r="Q145" s="12">
        <v>0</v>
      </c>
      <c r="R145" s="12">
        <v>4066.6</v>
      </c>
      <c r="S145" s="12">
        <v>2800</v>
      </c>
      <c r="T145" s="12"/>
      <c r="U145" s="12"/>
      <c r="V145" s="12"/>
      <c r="W145" s="12">
        <v>0</v>
      </c>
      <c r="X145" s="12"/>
      <c r="Y145" s="12">
        <v>27009.1</v>
      </c>
      <c r="Z145" s="12">
        <v>113994.15</v>
      </c>
      <c r="AA145" s="12">
        <v>19889.29</v>
      </c>
      <c r="AB145" s="12">
        <v>243731.87</v>
      </c>
      <c r="AC145" s="12">
        <v>0</v>
      </c>
      <c r="AD145" s="12"/>
      <c r="AE145" s="12">
        <v>134865.45000000001</v>
      </c>
      <c r="AF145" s="12">
        <v>251227.1</v>
      </c>
      <c r="AG145" s="75">
        <f t="shared" si="34"/>
        <v>985796.97999999986</v>
      </c>
      <c r="AH145" s="7">
        <v>142</v>
      </c>
    </row>
    <row r="146" spans="3:34" x14ac:dyDescent="0.25">
      <c r="D146" s="7">
        <v>2042</v>
      </c>
      <c r="E146" s="7" t="s">
        <v>328</v>
      </c>
      <c r="F146" s="12">
        <v>0</v>
      </c>
      <c r="G146" s="12">
        <v>0</v>
      </c>
      <c r="H146" s="12">
        <v>0</v>
      </c>
      <c r="I146" s="12">
        <v>0</v>
      </c>
      <c r="J146" s="12"/>
      <c r="K146" s="12">
        <v>0</v>
      </c>
      <c r="L146" s="12">
        <v>0</v>
      </c>
      <c r="M146" s="12">
        <v>0</v>
      </c>
      <c r="N146" s="12">
        <v>0</v>
      </c>
      <c r="O146" s="12">
        <v>0</v>
      </c>
      <c r="P146" s="12">
        <v>0</v>
      </c>
      <c r="Q146" s="12">
        <v>0</v>
      </c>
      <c r="R146" s="12">
        <v>0</v>
      </c>
      <c r="S146" s="12">
        <v>0</v>
      </c>
      <c r="T146" s="12"/>
      <c r="U146" s="12"/>
      <c r="V146" s="12"/>
      <c r="W146" s="12">
        <v>0</v>
      </c>
      <c r="X146" s="12"/>
      <c r="Y146" s="12">
        <v>0</v>
      </c>
      <c r="Z146" s="12">
        <v>0</v>
      </c>
      <c r="AA146" s="12">
        <v>0</v>
      </c>
      <c r="AB146" s="12">
        <v>0</v>
      </c>
      <c r="AC146" s="12">
        <v>0</v>
      </c>
      <c r="AD146" s="12"/>
      <c r="AE146" s="12">
        <v>0</v>
      </c>
      <c r="AF146" s="12">
        <v>0</v>
      </c>
      <c r="AG146" s="75">
        <f t="shared" si="34"/>
        <v>0</v>
      </c>
      <c r="AH146" s="7">
        <v>143</v>
      </c>
    </row>
    <row r="147" spans="3:34" x14ac:dyDescent="0.25">
      <c r="D147" s="7">
        <v>2043</v>
      </c>
      <c r="E147" s="7" t="s">
        <v>329</v>
      </c>
      <c r="F147" s="12">
        <v>0</v>
      </c>
      <c r="G147" s="12">
        <v>0</v>
      </c>
      <c r="H147" s="12">
        <v>0</v>
      </c>
      <c r="I147" s="12">
        <v>0</v>
      </c>
      <c r="J147" s="12"/>
      <c r="K147" s="12">
        <v>0</v>
      </c>
      <c r="L147" s="12">
        <v>0</v>
      </c>
      <c r="M147" s="12">
        <v>0</v>
      </c>
      <c r="N147" s="12">
        <v>0</v>
      </c>
      <c r="O147" s="12">
        <v>0</v>
      </c>
      <c r="P147" s="12">
        <v>0</v>
      </c>
      <c r="Q147" s="12">
        <v>0</v>
      </c>
      <c r="R147" s="12">
        <v>0</v>
      </c>
      <c r="S147" s="12">
        <v>0</v>
      </c>
      <c r="T147" s="12"/>
      <c r="U147" s="12"/>
      <c r="V147" s="12"/>
      <c r="W147" s="12">
        <v>0</v>
      </c>
      <c r="X147" s="12"/>
      <c r="Y147" s="12">
        <v>0</v>
      </c>
      <c r="Z147" s="12">
        <v>222499</v>
      </c>
      <c r="AA147" s="12">
        <v>0</v>
      </c>
      <c r="AB147" s="12">
        <v>0</v>
      </c>
      <c r="AC147" s="12">
        <v>0</v>
      </c>
      <c r="AD147" s="12"/>
      <c r="AE147" s="12">
        <v>0</v>
      </c>
      <c r="AF147" s="12">
        <v>0</v>
      </c>
      <c r="AG147" s="75">
        <f t="shared" si="34"/>
        <v>222499</v>
      </c>
      <c r="AH147" s="7">
        <v>144</v>
      </c>
    </row>
    <row r="148" spans="3:34" x14ac:dyDescent="0.25">
      <c r="D148" s="7">
        <v>2044</v>
      </c>
      <c r="E148" s="7" t="s">
        <v>409</v>
      </c>
      <c r="F148" s="12">
        <v>33897.199999999997</v>
      </c>
      <c r="G148" s="12">
        <v>0</v>
      </c>
      <c r="H148" s="12">
        <v>0</v>
      </c>
      <c r="I148" s="12">
        <v>0</v>
      </c>
      <c r="J148" s="12"/>
      <c r="K148" s="12">
        <v>0</v>
      </c>
      <c r="L148" s="12">
        <v>0</v>
      </c>
      <c r="M148" s="12">
        <v>0</v>
      </c>
      <c r="N148" s="12">
        <v>11153.95</v>
      </c>
      <c r="O148" s="12">
        <v>0</v>
      </c>
      <c r="P148" s="12">
        <v>6800</v>
      </c>
      <c r="Q148" s="12">
        <v>0</v>
      </c>
      <c r="R148" s="12">
        <v>0</v>
      </c>
      <c r="S148" s="12">
        <v>0</v>
      </c>
      <c r="T148" s="12"/>
      <c r="U148" s="12"/>
      <c r="V148" s="12"/>
      <c r="W148" s="12">
        <v>0</v>
      </c>
      <c r="X148" s="12"/>
      <c r="Y148" s="12">
        <v>0</v>
      </c>
      <c r="Z148" s="12">
        <v>0</v>
      </c>
      <c r="AA148" s="12">
        <v>0</v>
      </c>
      <c r="AB148" s="12">
        <v>0</v>
      </c>
      <c r="AC148" s="12">
        <v>0</v>
      </c>
      <c r="AD148" s="12"/>
      <c r="AE148" s="12">
        <v>0</v>
      </c>
      <c r="AF148" s="12">
        <v>0</v>
      </c>
      <c r="AG148" s="75">
        <f t="shared" si="34"/>
        <v>51851.149999999994</v>
      </c>
      <c r="AH148" s="7">
        <v>145</v>
      </c>
    </row>
    <row r="149" spans="3:34" x14ac:dyDescent="0.25">
      <c r="D149" s="7">
        <v>2045</v>
      </c>
      <c r="E149" s="7" t="s">
        <v>331</v>
      </c>
      <c r="F149" s="12">
        <v>0</v>
      </c>
      <c r="G149" s="12">
        <v>0</v>
      </c>
      <c r="H149" s="12">
        <v>0</v>
      </c>
      <c r="I149" s="12">
        <v>0</v>
      </c>
      <c r="J149" s="12"/>
      <c r="K149" s="12">
        <v>0</v>
      </c>
      <c r="L149" s="12">
        <v>0</v>
      </c>
      <c r="M149" s="12">
        <v>886.55</v>
      </c>
      <c r="N149" s="12">
        <v>0</v>
      </c>
      <c r="O149" s="12">
        <v>0</v>
      </c>
      <c r="P149" s="12">
        <v>0</v>
      </c>
      <c r="Q149" s="12">
        <v>0</v>
      </c>
      <c r="R149" s="12">
        <v>0</v>
      </c>
      <c r="S149" s="12">
        <v>0</v>
      </c>
      <c r="T149" s="12"/>
      <c r="U149" s="12"/>
      <c r="V149" s="12"/>
      <c r="W149" s="12">
        <v>0</v>
      </c>
      <c r="X149" s="12"/>
      <c r="Y149" s="12">
        <v>0</v>
      </c>
      <c r="Z149" s="12">
        <v>0</v>
      </c>
      <c r="AA149" s="12">
        <v>0</v>
      </c>
      <c r="AB149" s="12">
        <v>0</v>
      </c>
      <c r="AC149" s="12">
        <v>0</v>
      </c>
      <c r="AD149" s="12"/>
      <c r="AE149" s="12">
        <v>0</v>
      </c>
      <c r="AF149" s="12">
        <v>0</v>
      </c>
      <c r="AG149" s="75">
        <f t="shared" si="34"/>
        <v>886.55</v>
      </c>
      <c r="AH149" s="7">
        <v>146</v>
      </c>
    </row>
    <row r="150" spans="3:34" x14ac:dyDescent="0.25">
      <c r="D150" s="7">
        <v>2046</v>
      </c>
      <c r="E150" s="7" t="s">
        <v>410</v>
      </c>
      <c r="F150" s="12">
        <v>0</v>
      </c>
      <c r="G150" s="12">
        <v>0</v>
      </c>
      <c r="H150" s="12">
        <v>0</v>
      </c>
      <c r="I150" s="12">
        <v>0</v>
      </c>
      <c r="J150" s="12"/>
      <c r="K150" s="12">
        <v>0</v>
      </c>
      <c r="L150" s="12">
        <v>0</v>
      </c>
      <c r="M150" s="12">
        <v>0</v>
      </c>
      <c r="N150" s="12">
        <v>0</v>
      </c>
      <c r="O150" s="12">
        <v>0</v>
      </c>
      <c r="P150" s="12">
        <v>0</v>
      </c>
      <c r="Q150" s="12">
        <v>0</v>
      </c>
      <c r="R150" s="12">
        <v>0</v>
      </c>
      <c r="S150" s="12">
        <v>0</v>
      </c>
      <c r="T150" s="12"/>
      <c r="U150" s="12"/>
      <c r="V150" s="12"/>
      <c r="W150" s="12">
        <v>0</v>
      </c>
      <c r="X150" s="12"/>
      <c r="Y150" s="12">
        <v>0</v>
      </c>
      <c r="Z150" s="12">
        <v>0</v>
      </c>
      <c r="AA150" s="12">
        <v>0</v>
      </c>
      <c r="AB150" s="12">
        <v>0</v>
      </c>
      <c r="AC150" s="12">
        <v>0</v>
      </c>
      <c r="AD150" s="12"/>
      <c r="AE150" s="12">
        <v>0</v>
      </c>
      <c r="AF150" s="12">
        <v>0</v>
      </c>
      <c r="AG150" s="75">
        <f t="shared" si="34"/>
        <v>0</v>
      </c>
      <c r="AH150" s="7">
        <v>147</v>
      </c>
    </row>
    <row r="151" spans="3:34" x14ac:dyDescent="0.25">
      <c r="D151" s="7">
        <v>2049</v>
      </c>
      <c r="E151" s="7" t="s">
        <v>411</v>
      </c>
      <c r="F151" s="12">
        <v>0</v>
      </c>
      <c r="G151" s="12">
        <v>0</v>
      </c>
      <c r="H151" s="12">
        <v>0</v>
      </c>
      <c r="I151" s="12">
        <v>0</v>
      </c>
      <c r="J151" s="12"/>
      <c r="K151" s="12">
        <v>0</v>
      </c>
      <c r="L151" s="12">
        <v>0</v>
      </c>
      <c r="M151" s="12">
        <v>0</v>
      </c>
      <c r="N151" s="12">
        <v>0</v>
      </c>
      <c r="O151" s="12">
        <v>0</v>
      </c>
      <c r="P151" s="12">
        <v>0</v>
      </c>
      <c r="Q151" s="12">
        <v>0</v>
      </c>
      <c r="R151" s="12">
        <v>0</v>
      </c>
      <c r="S151" s="12">
        <v>0</v>
      </c>
      <c r="T151" s="12"/>
      <c r="U151" s="12"/>
      <c r="V151" s="12"/>
      <c r="W151" s="12">
        <v>0</v>
      </c>
      <c r="X151" s="12"/>
      <c r="Y151" s="12">
        <v>0</v>
      </c>
      <c r="Z151" s="12">
        <v>0</v>
      </c>
      <c r="AA151" s="12">
        <v>0</v>
      </c>
      <c r="AB151" s="12">
        <v>0</v>
      </c>
      <c r="AC151" s="12">
        <v>0</v>
      </c>
      <c r="AD151" s="12"/>
      <c r="AE151" s="12">
        <v>0</v>
      </c>
      <c r="AF151" s="12">
        <v>0</v>
      </c>
      <c r="AG151" s="75">
        <f t="shared" si="34"/>
        <v>0</v>
      </c>
      <c r="AH151" s="7">
        <v>148</v>
      </c>
    </row>
    <row r="152" spans="3:34" x14ac:dyDescent="0.25">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75"/>
      <c r="AH152" s="7">
        <v>149</v>
      </c>
    </row>
    <row r="153" spans="3:34" x14ac:dyDescent="0.25">
      <c r="C153" s="111">
        <v>205</v>
      </c>
      <c r="D153" s="111"/>
      <c r="E153" s="111" t="s">
        <v>255</v>
      </c>
      <c r="F153" s="112">
        <f>F154+F155+F156+F157+F158+F159+F160+F161+F162+F163</f>
        <v>0</v>
      </c>
      <c r="G153" s="112">
        <f t="shared" ref="G153:AF153" si="35">G154+G155+G156+G157+G158+G159+G160+G161+G162+G163</f>
        <v>0</v>
      </c>
      <c r="H153" s="112">
        <f t="shared" si="35"/>
        <v>0</v>
      </c>
      <c r="I153" s="112">
        <f t="shared" si="35"/>
        <v>0</v>
      </c>
      <c r="J153" s="112">
        <f t="shared" si="35"/>
        <v>0</v>
      </c>
      <c r="K153" s="112">
        <f t="shared" si="35"/>
        <v>0</v>
      </c>
      <c r="L153" s="112">
        <f t="shared" si="35"/>
        <v>0</v>
      </c>
      <c r="M153" s="112">
        <f t="shared" si="35"/>
        <v>0</v>
      </c>
      <c r="N153" s="112">
        <f t="shared" si="35"/>
        <v>0</v>
      </c>
      <c r="O153" s="112">
        <f t="shared" si="35"/>
        <v>0</v>
      </c>
      <c r="P153" s="112">
        <f t="shared" si="35"/>
        <v>0</v>
      </c>
      <c r="Q153" s="112">
        <f t="shared" si="35"/>
        <v>0</v>
      </c>
      <c r="R153" s="112">
        <f t="shared" si="35"/>
        <v>0</v>
      </c>
      <c r="S153" s="112">
        <f t="shared" si="35"/>
        <v>0</v>
      </c>
      <c r="T153" s="112">
        <f t="shared" si="35"/>
        <v>0</v>
      </c>
      <c r="U153" s="112">
        <f t="shared" si="35"/>
        <v>0</v>
      </c>
      <c r="V153" s="112">
        <f t="shared" si="35"/>
        <v>0</v>
      </c>
      <c r="W153" s="112">
        <f t="shared" si="35"/>
        <v>0</v>
      </c>
      <c r="X153" s="112">
        <f t="shared" si="35"/>
        <v>0</v>
      </c>
      <c r="Y153" s="112">
        <f t="shared" si="35"/>
        <v>0</v>
      </c>
      <c r="Z153" s="112">
        <f t="shared" si="35"/>
        <v>41688.47</v>
      </c>
      <c r="AA153" s="112">
        <f t="shared" si="35"/>
        <v>0</v>
      </c>
      <c r="AB153" s="112">
        <f t="shared" si="35"/>
        <v>0</v>
      </c>
      <c r="AC153" s="112">
        <f t="shared" si="35"/>
        <v>0</v>
      </c>
      <c r="AD153" s="112">
        <f t="shared" si="35"/>
        <v>0</v>
      </c>
      <c r="AE153" s="112">
        <f t="shared" si="35"/>
        <v>0</v>
      </c>
      <c r="AF153" s="112">
        <f t="shared" si="35"/>
        <v>0</v>
      </c>
      <c r="AG153" s="112">
        <f t="shared" ref="AG153:AG163" si="36">SUM(F153:AF153)</f>
        <v>41688.47</v>
      </c>
      <c r="AH153" s="7">
        <v>150</v>
      </c>
    </row>
    <row r="154" spans="3:34" x14ac:dyDescent="0.25">
      <c r="D154" s="7">
        <v>2050</v>
      </c>
      <c r="E154" s="7" t="s">
        <v>412</v>
      </c>
      <c r="F154" s="12">
        <v>0</v>
      </c>
      <c r="G154" s="12">
        <v>0</v>
      </c>
      <c r="H154" s="12">
        <v>0</v>
      </c>
      <c r="I154" s="12">
        <v>0</v>
      </c>
      <c r="J154" s="12"/>
      <c r="K154" s="12">
        <v>0</v>
      </c>
      <c r="L154" s="12">
        <v>0</v>
      </c>
      <c r="M154" s="12">
        <v>0</v>
      </c>
      <c r="N154" s="12">
        <v>0</v>
      </c>
      <c r="O154" s="12">
        <v>0</v>
      </c>
      <c r="P154" s="12">
        <v>0</v>
      </c>
      <c r="Q154" s="12">
        <v>0</v>
      </c>
      <c r="R154" s="12">
        <v>0</v>
      </c>
      <c r="S154" s="12">
        <v>0</v>
      </c>
      <c r="T154" s="12"/>
      <c r="U154" s="12"/>
      <c r="V154" s="12"/>
      <c r="W154" s="12">
        <v>0</v>
      </c>
      <c r="X154" s="12"/>
      <c r="Y154" s="12">
        <v>0</v>
      </c>
      <c r="Z154" s="12">
        <v>41688.47</v>
      </c>
      <c r="AA154" s="12">
        <v>0</v>
      </c>
      <c r="AB154" s="12">
        <v>0</v>
      </c>
      <c r="AC154" s="12">
        <v>0</v>
      </c>
      <c r="AD154" s="12"/>
      <c r="AE154" s="12">
        <v>0</v>
      </c>
      <c r="AF154" s="12">
        <v>0</v>
      </c>
      <c r="AG154" s="75">
        <f t="shared" si="36"/>
        <v>41688.47</v>
      </c>
      <c r="AH154" s="7">
        <v>151</v>
      </c>
    </row>
    <row r="155" spans="3:34" x14ac:dyDescent="0.25">
      <c r="D155" s="7">
        <v>2051</v>
      </c>
      <c r="E155" s="7" t="s">
        <v>413</v>
      </c>
      <c r="F155" s="12">
        <v>0</v>
      </c>
      <c r="G155" s="12">
        <v>0</v>
      </c>
      <c r="H155" s="12">
        <v>0</v>
      </c>
      <c r="I155" s="12">
        <v>0</v>
      </c>
      <c r="J155" s="12"/>
      <c r="K155" s="12">
        <v>0</v>
      </c>
      <c r="L155" s="12">
        <v>0</v>
      </c>
      <c r="M155" s="12">
        <v>0</v>
      </c>
      <c r="N155" s="12">
        <v>0</v>
      </c>
      <c r="O155" s="12">
        <v>0</v>
      </c>
      <c r="P155" s="12">
        <v>0</v>
      </c>
      <c r="Q155" s="12">
        <v>0</v>
      </c>
      <c r="R155" s="12">
        <v>0</v>
      </c>
      <c r="S155" s="12">
        <v>0</v>
      </c>
      <c r="T155" s="12"/>
      <c r="U155" s="12"/>
      <c r="V155" s="12"/>
      <c r="W155" s="12">
        <v>0</v>
      </c>
      <c r="X155" s="12"/>
      <c r="Y155" s="12">
        <v>0</v>
      </c>
      <c r="Z155" s="12">
        <v>0</v>
      </c>
      <c r="AA155" s="12">
        <v>0</v>
      </c>
      <c r="AB155" s="12">
        <v>0</v>
      </c>
      <c r="AC155" s="12">
        <v>0</v>
      </c>
      <c r="AD155" s="12"/>
      <c r="AE155" s="12">
        <v>0</v>
      </c>
      <c r="AF155" s="12">
        <v>0</v>
      </c>
      <c r="AG155" s="75">
        <f t="shared" si="36"/>
        <v>0</v>
      </c>
      <c r="AH155" s="7">
        <v>152</v>
      </c>
    </row>
    <row r="156" spans="3:34" x14ac:dyDescent="0.25">
      <c r="D156" s="7">
        <v>2052</v>
      </c>
      <c r="E156" s="7" t="s">
        <v>414</v>
      </c>
      <c r="F156" s="12">
        <v>0</v>
      </c>
      <c r="G156" s="12">
        <v>0</v>
      </c>
      <c r="H156" s="12">
        <v>0</v>
      </c>
      <c r="I156" s="12">
        <v>0</v>
      </c>
      <c r="J156" s="12"/>
      <c r="K156" s="12">
        <v>0</v>
      </c>
      <c r="L156" s="12">
        <v>0</v>
      </c>
      <c r="M156" s="12">
        <v>0</v>
      </c>
      <c r="N156" s="12">
        <v>0</v>
      </c>
      <c r="O156" s="12">
        <v>0</v>
      </c>
      <c r="P156" s="12">
        <v>0</v>
      </c>
      <c r="Q156" s="12">
        <v>0</v>
      </c>
      <c r="R156" s="12">
        <v>0</v>
      </c>
      <c r="S156" s="12">
        <v>0</v>
      </c>
      <c r="T156" s="12"/>
      <c r="U156" s="12"/>
      <c r="V156" s="12"/>
      <c r="W156" s="12">
        <v>0</v>
      </c>
      <c r="X156" s="12"/>
      <c r="Y156" s="12">
        <v>0</v>
      </c>
      <c r="Z156" s="12">
        <v>0</v>
      </c>
      <c r="AA156" s="12">
        <v>0</v>
      </c>
      <c r="AB156" s="12">
        <v>0</v>
      </c>
      <c r="AC156" s="12">
        <v>0</v>
      </c>
      <c r="AD156" s="12"/>
      <c r="AE156" s="12">
        <v>0</v>
      </c>
      <c r="AF156" s="12">
        <v>0</v>
      </c>
      <c r="AG156" s="75">
        <f t="shared" si="36"/>
        <v>0</v>
      </c>
      <c r="AH156" s="7">
        <v>153</v>
      </c>
    </row>
    <row r="157" spans="3:34" x14ac:dyDescent="0.25">
      <c r="D157" s="7">
        <v>2053</v>
      </c>
      <c r="E157" s="7" t="s">
        <v>418</v>
      </c>
      <c r="F157" s="12">
        <v>0</v>
      </c>
      <c r="G157" s="12">
        <v>0</v>
      </c>
      <c r="H157" s="12">
        <v>0</v>
      </c>
      <c r="I157" s="12">
        <v>0</v>
      </c>
      <c r="J157" s="12"/>
      <c r="K157" s="12">
        <v>0</v>
      </c>
      <c r="L157" s="12">
        <v>0</v>
      </c>
      <c r="M157" s="12">
        <v>0</v>
      </c>
      <c r="N157" s="12">
        <v>0</v>
      </c>
      <c r="O157" s="12">
        <v>0</v>
      </c>
      <c r="P157" s="12">
        <v>0</v>
      </c>
      <c r="Q157" s="12">
        <v>0</v>
      </c>
      <c r="R157" s="12">
        <v>0</v>
      </c>
      <c r="S157" s="12">
        <v>0</v>
      </c>
      <c r="T157" s="12"/>
      <c r="U157" s="12"/>
      <c r="V157" s="12"/>
      <c r="W157" s="12">
        <v>0</v>
      </c>
      <c r="X157" s="12"/>
      <c r="Y157" s="12">
        <v>0</v>
      </c>
      <c r="Z157" s="12">
        <v>0</v>
      </c>
      <c r="AA157" s="12">
        <v>0</v>
      </c>
      <c r="AB157" s="12">
        <v>0</v>
      </c>
      <c r="AC157" s="12">
        <v>0</v>
      </c>
      <c r="AD157" s="12"/>
      <c r="AE157" s="12">
        <v>0</v>
      </c>
      <c r="AF157" s="12">
        <v>0</v>
      </c>
      <c r="AG157" s="75">
        <f t="shared" si="36"/>
        <v>0</v>
      </c>
      <c r="AH157" s="7">
        <v>154</v>
      </c>
    </row>
    <row r="158" spans="3:34" x14ac:dyDescent="0.25">
      <c r="D158" s="7">
        <v>2054</v>
      </c>
      <c r="E158" s="7" t="s">
        <v>416</v>
      </c>
      <c r="F158" s="12">
        <v>0</v>
      </c>
      <c r="G158" s="12">
        <v>0</v>
      </c>
      <c r="H158" s="12">
        <v>0</v>
      </c>
      <c r="I158" s="12">
        <v>0</v>
      </c>
      <c r="J158" s="12"/>
      <c r="K158" s="12">
        <v>0</v>
      </c>
      <c r="L158" s="12">
        <v>0</v>
      </c>
      <c r="M158" s="12">
        <v>0</v>
      </c>
      <c r="N158" s="12">
        <v>0</v>
      </c>
      <c r="O158" s="12">
        <v>0</v>
      </c>
      <c r="P158" s="12">
        <v>0</v>
      </c>
      <c r="Q158" s="12">
        <v>0</v>
      </c>
      <c r="R158" s="12">
        <v>0</v>
      </c>
      <c r="S158" s="12">
        <v>0</v>
      </c>
      <c r="T158" s="12"/>
      <c r="U158" s="12"/>
      <c r="V158" s="12"/>
      <c r="W158" s="12">
        <v>0</v>
      </c>
      <c r="X158" s="12"/>
      <c r="Y158" s="12">
        <v>0</v>
      </c>
      <c r="Z158" s="12">
        <v>0</v>
      </c>
      <c r="AA158" s="12">
        <v>0</v>
      </c>
      <c r="AB158" s="12">
        <v>0</v>
      </c>
      <c r="AC158" s="12">
        <v>0</v>
      </c>
      <c r="AD158" s="12"/>
      <c r="AE158" s="12">
        <v>0</v>
      </c>
      <c r="AF158" s="12">
        <v>0</v>
      </c>
      <c r="AG158" s="75">
        <f t="shared" si="36"/>
        <v>0</v>
      </c>
      <c r="AH158" s="7">
        <v>155</v>
      </c>
    </row>
    <row r="159" spans="3:34" x14ac:dyDescent="0.25">
      <c r="D159" s="7">
        <v>2055</v>
      </c>
      <c r="E159" s="7" t="s">
        <v>415</v>
      </c>
      <c r="F159" s="12">
        <v>0</v>
      </c>
      <c r="G159" s="12">
        <v>0</v>
      </c>
      <c r="H159" s="12">
        <v>0</v>
      </c>
      <c r="I159" s="12">
        <v>0</v>
      </c>
      <c r="J159" s="12"/>
      <c r="K159" s="12">
        <v>0</v>
      </c>
      <c r="L159" s="12">
        <v>0</v>
      </c>
      <c r="M159" s="12">
        <v>0</v>
      </c>
      <c r="N159" s="12">
        <v>0</v>
      </c>
      <c r="O159" s="12">
        <v>0</v>
      </c>
      <c r="P159" s="12">
        <v>0</v>
      </c>
      <c r="Q159" s="12">
        <v>0</v>
      </c>
      <c r="R159" s="12">
        <v>0</v>
      </c>
      <c r="S159" s="12">
        <v>0</v>
      </c>
      <c r="T159" s="12"/>
      <c r="U159" s="12"/>
      <c r="V159" s="12"/>
      <c r="W159" s="12">
        <v>0</v>
      </c>
      <c r="X159" s="12"/>
      <c r="Y159" s="12">
        <v>0</v>
      </c>
      <c r="Z159" s="12">
        <v>0</v>
      </c>
      <c r="AA159" s="12">
        <v>0</v>
      </c>
      <c r="AB159" s="12">
        <v>0</v>
      </c>
      <c r="AC159" s="12">
        <v>0</v>
      </c>
      <c r="AD159" s="12"/>
      <c r="AE159" s="12">
        <v>0</v>
      </c>
      <c r="AF159" s="12">
        <v>0</v>
      </c>
      <c r="AG159" s="75">
        <f t="shared" si="36"/>
        <v>0</v>
      </c>
      <c r="AH159" s="7">
        <v>156</v>
      </c>
    </row>
    <row r="160" spans="3:34" x14ac:dyDescent="0.25">
      <c r="D160" s="7">
        <v>2056</v>
      </c>
      <c r="E160" s="7" t="s">
        <v>417</v>
      </c>
      <c r="F160" s="12">
        <v>0</v>
      </c>
      <c r="G160" s="12">
        <v>0</v>
      </c>
      <c r="H160" s="12">
        <v>0</v>
      </c>
      <c r="I160" s="12">
        <v>0</v>
      </c>
      <c r="J160" s="12"/>
      <c r="K160" s="12">
        <v>0</v>
      </c>
      <c r="L160" s="12">
        <v>0</v>
      </c>
      <c r="M160" s="12">
        <v>0</v>
      </c>
      <c r="N160" s="12">
        <v>0</v>
      </c>
      <c r="O160" s="12">
        <v>0</v>
      </c>
      <c r="P160" s="12">
        <v>0</v>
      </c>
      <c r="Q160" s="12">
        <v>0</v>
      </c>
      <c r="R160" s="12">
        <v>0</v>
      </c>
      <c r="S160" s="12">
        <v>0</v>
      </c>
      <c r="T160" s="12"/>
      <c r="U160" s="12"/>
      <c r="V160" s="12"/>
      <c r="W160" s="12">
        <v>0</v>
      </c>
      <c r="X160" s="12"/>
      <c r="Y160" s="12">
        <v>0</v>
      </c>
      <c r="Z160" s="12">
        <v>0</v>
      </c>
      <c r="AA160" s="12">
        <v>0</v>
      </c>
      <c r="AB160" s="12">
        <v>0</v>
      </c>
      <c r="AC160" s="12">
        <v>0</v>
      </c>
      <c r="AD160" s="12"/>
      <c r="AE160" s="12">
        <v>0</v>
      </c>
      <c r="AF160" s="12">
        <v>0</v>
      </c>
      <c r="AG160" s="75">
        <f t="shared" si="36"/>
        <v>0</v>
      </c>
      <c r="AH160" s="7">
        <v>157</v>
      </c>
    </row>
    <row r="161" spans="3:34" x14ac:dyDescent="0.25">
      <c r="D161" s="7">
        <v>2057</v>
      </c>
      <c r="E161" s="7" t="s">
        <v>419</v>
      </c>
      <c r="F161" s="12">
        <v>0</v>
      </c>
      <c r="G161" s="12">
        <v>0</v>
      </c>
      <c r="H161" s="12">
        <v>0</v>
      </c>
      <c r="I161" s="12">
        <v>0</v>
      </c>
      <c r="J161" s="12"/>
      <c r="K161" s="12">
        <v>0</v>
      </c>
      <c r="L161" s="12">
        <v>0</v>
      </c>
      <c r="M161" s="12">
        <v>0</v>
      </c>
      <c r="N161" s="12">
        <v>0</v>
      </c>
      <c r="O161" s="12">
        <v>0</v>
      </c>
      <c r="P161" s="12">
        <v>0</v>
      </c>
      <c r="Q161" s="12">
        <v>0</v>
      </c>
      <c r="R161" s="12">
        <v>0</v>
      </c>
      <c r="S161" s="12">
        <v>0</v>
      </c>
      <c r="T161" s="12"/>
      <c r="U161" s="12"/>
      <c r="V161" s="12"/>
      <c r="W161" s="12">
        <v>0</v>
      </c>
      <c r="X161" s="12"/>
      <c r="Y161" s="12">
        <v>0</v>
      </c>
      <c r="Z161" s="12">
        <v>0</v>
      </c>
      <c r="AA161" s="12">
        <v>0</v>
      </c>
      <c r="AB161" s="12">
        <v>0</v>
      </c>
      <c r="AC161" s="12">
        <v>0</v>
      </c>
      <c r="AD161" s="12"/>
      <c r="AE161" s="12">
        <v>0</v>
      </c>
      <c r="AF161" s="12">
        <v>0</v>
      </c>
      <c r="AG161" s="75">
        <f t="shared" si="36"/>
        <v>0</v>
      </c>
      <c r="AH161" s="7">
        <v>158</v>
      </c>
    </row>
    <row r="162" spans="3:34" x14ac:dyDescent="0.25">
      <c r="D162" s="7">
        <v>2058</v>
      </c>
      <c r="E162" s="7" t="s">
        <v>420</v>
      </c>
      <c r="F162" s="12">
        <v>0</v>
      </c>
      <c r="G162" s="12">
        <v>0</v>
      </c>
      <c r="H162" s="12">
        <v>0</v>
      </c>
      <c r="I162" s="12">
        <v>0</v>
      </c>
      <c r="J162" s="12"/>
      <c r="K162" s="12">
        <v>0</v>
      </c>
      <c r="L162" s="12">
        <v>0</v>
      </c>
      <c r="M162" s="12">
        <v>0</v>
      </c>
      <c r="N162" s="12">
        <v>0</v>
      </c>
      <c r="O162" s="12">
        <v>0</v>
      </c>
      <c r="P162" s="12">
        <v>0</v>
      </c>
      <c r="Q162" s="12">
        <v>0</v>
      </c>
      <c r="R162" s="12">
        <v>0</v>
      </c>
      <c r="S162" s="12">
        <v>0</v>
      </c>
      <c r="T162" s="12"/>
      <c r="U162" s="12"/>
      <c r="V162" s="12"/>
      <c r="W162" s="12">
        <v>0</v>
      </c>
      <c r="X162" s="12"/>
      <c r="Y162" s="12">
        <v>0</v>
      </c>
      <c r="Z162" s="12">
        <v>0</v>
      </c>
      <c r="AA162" s="12">
        <v>0</v>
      </c>
      <c r="AB162" s="12">
        <v>0</v>
      </c>
      <c r="AC162" s="12">
        <v>0</v>
      </c>
      <c r="AD162" s="12"/>
      <c r="AE162" s="12">
        <v>0</v>
      </c>
      <c r="AF162" s="12">
        <v>0</v>
      </c>
      <c r="AG162" s="75">
        <f t="shared" si="36"/>
        <v>0</v>
      </c>
      <c r="AH162" s="7">
        <v>159</v>
      </c>
    </row>
    <row r="163" spans="3:34" x14ac:dyDescent="0.25">
      <c r="D163" s="7">
        <v>2059</v>
      </c>
      <c r="E163" s="7" t="s">
        <v>421</v>
      </c>
      <c r="F163" s="12">
        <v>0</v>
      </c>
      <c r="G163" s="12">
        <v>0</v>
      </c>
      <c r="H163" s="12">
        <v>0</v>
      </c>
      <c r="I163" s="12">
        <v>0</v>
      </c>
      <c r="J163" s="12"/>
      <c r="K163" s="12">
        <v>0</v>
      </c>
      <c r="L163" s="12">
        <v>0</v>
      </c>
      <c r="M163" s="12">
        <v>0</v>
      </c>
      <c r="N163" s="12">
        <v>0</v>
      </c>
      <c r="O163" s="12">
        <v>0</v>
      </c>
      <c r="P163" s="12">
        <v>0</v>
      </c>
      <c r="Q163" s="12">
        <v>0</v>
      </c>
      <c r="R163" s="12">
        <v>0</v>
      </c>
      <c r="S163" s="12">
        <v>0</v>
      </c>
      <c r="T163" s="12"/>
      <c r="U163" s="12"/>
      <c r="V163" s="12"/>
      <c r="W163" s="12">
        <v>0</v>
      </c>
      <c r="X163" s="12"/>
      <c r="Y163" s="12">
        <v>0</v>
      </c>
      <c r="Z163" s="12">
        <v>0</v>
      </c>
      <c r="AA163" s="12">
        <v>0</v>
      </c>
      <c r="AB163" s="12">
        <v>0</v>
      </c>
      <c r="AC163" s="12">
        <v>0</v>
      </c>
      <c r="AD163" s="12"/>
      <c r="AE163" s="12">
        <v>0</v>
      </c>
      <c r="AF163" s="12">
        <v>0</v>
      </c>
      <c r="AG163" s="75">
        <f t="shared" si="36"/>
        <v>0</v>
      </c>
      <c r="AH163" s="7">
        <v>160</v>
      </c>
    </row>
    <row r="164" spans="3:34" x14ac:dyDescent="0.25">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75"/>
      <c r="AH164" s="7">
        <v>161</v>
      </c>
    </row>
    <row r="165" spans="3:34" x14ac:dyDescent="0.25">
      <c r="C165" s="111">
        <v>206</v>
      </c>
      <c r="D165" s="111"/>
      <c r="E165" s="111" t="s">
        <v>256</v>
      </c>
      <c r="F165" s="112">
        <f>F166+F167+F168+F169+F170+F171</f>
        <v>1916587.51</v>
      </c>
      <c r="G165" s="112">
        <f t="shared" ref="G165:AF165" si="37">G166+G167+G168+G169+G170+G171</f>
        <v>0</v>
      </c>
      <c r="H165" s="112">
        <f t="shared" si="37"/>
        <v>0</v>
      </c>
      <c r="I165" s="112">
        <f t="shared" si="37"/>
        <v>0</v>
      </c>
      <c r="J165" s="112">
        <f t="shared" si="37"/>
        <v>0</v>
      </c>
      <c r="K165" s="112">
        <f t="shared" si="37"/>
        <v>2498078.7000000002</v>
      </c>
      <c r="L165" s="112">
        <f t="shared" si="37"/>
        <v>500000</v>
      </c>
      <c r="M165" s="112">
        <f t="shared" si="37"/>
        <v>3513500</v>
      </c>
      <c r="N165" s="112">
        <f t="shared" si="37"/>
        <v>0</v>
      </c>
      <c r="O165" s="112">
        <f t="shared" si="37"/>
        <v>106000</v>
      </c>
      <c r="P165" s="112">
        <f t="shared" si="37"/>
        <v>0</v>
      </c>
      <c r="Q165" s="112">
        <f t="shared" si="37"/>
        <v>0</v>
      </c>
      <c r="R165" s="112">
        <f t="shared" si="37"/>
        <v>24800</v>
      </c>
      <c r="S165" s="112">
        <f t="shared" si="37"/>
        <v>0</v>
      </c>
      <c r="T165" s="112">
        <f t="shared" si="37"/>
        <v>0</v>
      </c>
      <c r="U165" s="112">
        <f t="shared" si="37"/>
        <v>0</v>
      </c>
      <c r="V165" s="112">
        <f t="shared" si="37"/>
        <v>0</v>
      </c>
      <c r="W165" s="112">
        <f t="shared" si="37"/>
        <v>500000</v>
      </c>
      <c r="X165" s="112">
        <f t="shared" si="37"/>
        <v>0</v>
      </c>
      <c r="Y165" s="112">
        <f t="shared" si="37"/>
        <v>170400</v>
      </c>
      <c r="Z165" s="112">
        <f t="shared" si="37"/>
        <v>13163600</v>
      </c>
      <c r="AA165" s="112">
        <f t="shared" si="37"/>
        <v>1775300</v>
      </c>
      <c r="AB165" s="112">
        <f t="shared" si="37"/>
        <v>3418000</v>
      </c>
      <c r="AC165" s="112">
        <f t="shared" si="37"/>
        <v>0</v>
      </c>
      <c r="AD165" s="112">
        <f t="shared" si="37"/>
        <v>0</v>
      </c>
      <c r="AE165" s="112">
        <f t="shared" si="37"/>
        <v>7350000</v>
      </c>
      <c r="AF165" s="112">
        <f t="shared" si="37"/>
        <v>0</v>
      </c>
      <c r="AG165" s="112">
        <f t="shared" ref="AG165:AG171" si="38">SUM(F165:AF165)</f>
        <v>34936266.210000001</v>
      </c>
      <c r="AH165" s="7">
        <v>162</v>
      </c>
    </row>
    <row r="166" spans="3:34" x14ac:dyDescent="0.25">
      <c r="D166" s="7">
        <v>2060</v>
      </c>
      <c r="E166" s="7" t="s">
        <v>422</v>
      </c>
      <c r="F166" s="12">
        <v>0</v>
      </c>
      <c r="G166" s="12">
        <v>0</v>
      </c>
      <c r="H166" s="12">
        <v>0</v>
      </c>
      <c r="I166" s="12">
        <v>0</v>
      </c>
      <c r="J166" s="12"/>
      <c r="K166" s="12">
        <v>0</v>
      </c>
      <c r="L166" s="12">
        <v>0</v>
      </c>
      <c r="M166" s="12">
        <v>0</v>
      </c>
      <c r="N166" s="12">
        <v>0</v>
      </c>
      <c r="O166" s="12">
        <v>0</v>
      </c>
      <c r="P166" s="12">
        <v>0</v>
      </c>
      <c r="Q166" s="12">
        <v>0</v>
      </c>
      <c r="R166" s="12">
        <v>0</v>
      </c>
      <c r="S166" s="12">
        <v>0</v>
      </c>
      <c r="T166" s="12"/>
      <c r="U166" s="12"/>
      <c r="V166" s="12"/>
      <c r="W166" s="12">
        <v>0</v>
      </c>
      <c r="X166" s="12"/>
      <c r="Y166" s="12">
        <v>0</v>
      </c>
      <c r="Z166" s="12">
        <v>0</v>
      </c>
      <c r="AA166" s="12">
        <v>0</v>
      </c>
      <c r="AB166" s="12">
        <v>0</v>
      </c>
      <c r="AC166" s="12">
        <v>0</v>
      </c>
      <c r="AD166" s="12"/>
      <c r="AE166" s="12">
        <v>0</v>
      </c>
      <c r="AF166" s="12">
        <v>0</v>
      </c>
      <c r="AG166" s="75">
        <f t="shared" si="38"/>
        <v>0</v>
      </c>
      <c r="AH166" s="7">
        <v>163</v>
      </c>
    </row>
    <row r="167" spans="3:34" x14ac:dyDescent="0.25">
      <c r="D167" s="7">
        <v>2062</v>
      </c>
      <c r="E167" s="7" t="s">
        <v>423</v>
      </c>
      <c r="F167" s="12">
        <v>0</v>
      </c>
      <c r="G167" s="12">
        <v>0</v>
      </c>
      <c r="H167" s="12">
        <v>0</v>
      </c>
      <c r="I167" s="12">
        <v>0</v>
      </c>
      <c r="J167" s="12"/>
      <c r="K167" s="12">
        <v>0</v>
      </c>
      <c r="L167" s="12">
        <v>0</v>
      </c>
      <c r="M167" s="12">
        <v>0</v>
      </c>
      <c r="N167" s="12">
        <v>0</v>
      </c>
      <c r="O167" s="12">
        <v>0</v>
      </c>
      <c r="P167" s="12">
        <v>0</v>
      </c>
      <c r="Q167" s="12">
        <v>0</v>
      </c>
      <c r="R167" s="12">
        <v>0</v>
      </c>
      <c r="S167" s="12">
        <v>0</v>
      </c>
      <c r="T167" s="12"/>
      <c r="U167" s="12"/>
      <c r="V167" s="12"/>
      <c r="W167" s="12">
        <v>0</v>
      </c>
      <c r="X167" s="12"/>
      <c r="Y167" s="12">
        <v>0</v>
      </c>
      <c r="Z167" s="12">
        <v>0</v>
      </c>
      <c r="AA167" s="12">
        <v>0</v>
      </c>
      <c r="AB167" s="12">
        <v>0</v>
      </c>
      <c r="AC167" s="12">
        <v>0</v>
      </c>
      <c r="AD167" s="12"/>
      <c r="AE167" s="12">
        <v>0</v>
      </c>
      <c r="AF167" s="12">
        <v>0</v>
      </c>
      <c r="AG167" s="75">
        <f t="shared" si="38"/>
        <v>0</v>
      </c>
      <c r="AH167" s="7">
        <v>164</v>
      </c>
    </row>
    <row r="168" spans="3:34" x14ac:dyDescent="0.25">
      <c r="D168" s="7">
        <v>2063</v>
      </c>
      <c r="E168" s="7" t="s">
        <v>424</v>
      </c>
      <c r="F168" s="12">
        <v>1916587.51</v>
      </c>
      <c r="G168" s="12">
        <v>0</v>
      </c>
      <c r="H168" s="12">
        <v>0</v>
      </c>
      <c r="I168" s="12">
        <v>0</v>
      </c>
      <c r="J168" s="12"/>
      <c r="K168" s="12">
        <v>2817998.7</v>
      </c>
      <c r="L168" s="12">
        <v>500000</v>
      </c>
      <c r="M168" s="12">
        <v>3513500</v>
      </c>
      <c r="N168" s="12">
        <v>0</v>
      </c>
      <c r="O168" s="12">
        <v>0</v>
      </c>
      <c r="P168" s="12">
        <v>0</v>
      </c>
      <c r="Q168" s="12">
        <v>0</v>
      </c>
      <c r="R168" s="12">
        <v>24800</v>
      </c>
      <c r="S168" s="12">
        <v>0</v>
      </c>
      <c r="T168" s="12"/>
      <c r="U168" s="12"/>
      <c r="V168" s="12"/>
      <c r="W168" s="12">
        <v>500000</v>
      </c>
      <c r="X168" s="12"/>
      <c r="Y168" s="12">
        <v>170400</v>
      </c>
      <c r="Z168" s="12">
        <v>13163600</v>
      </c>
      <c r="AA168" s="12">
        <v>1709300</v>
      </c>
      <c r="AB168" s="12">
        <v>0</v>
      </c>
      <c r="AC168" s="12">
        <v>0</v>
      </c>
      <c r="AD168" s="12"/>
      <c r="AE168" s="12">
        <v>7350000</v>
      </c>
      <c r="AF168" s="12">
        <v>0</v>
      </c>
      <c r="AG168" s="75">
        <f t="shared" si="38"/>
        <v>31666186.210000001</v>
      </c>
      <c r="AH168" s="7">
        <v>165</v>
      </c>
    </row>
    <row r="169" spans="3:34" x14ac:dyDescent="0.25">
      <c r="D169" s="7">
        <v>2064</v>
      </c>
      <c r="E169" s="7" t="s">
        <v>445</v>
      </c>
      <c r="F169" s="12">
        <v>0</v>
      </c>
      <c r="G169" s="12">
        <v>0</v>
      </c>
      <c r="H169" s="12">
        <v>0</v>
      </c>
      <c r="I169" s="12">
        <v>0</v>
      </c>
      <c r="J169" s="12"/>
      <c r="K169" s="12">
        <v>0</v>
      </c>
      <c r="L169" s="12">
        <v>0</v>
      </c>
      <c r="M169" s="12">
        <v>0</v>
      </c>
      <c r="N169" s="12">
        <v>0</v>
      </c>
      <c r="O169" s="12">
        <v>0</v>
      </c>
      <c r="P169" s="12">
        <v>0</v>
      </c>
      <c r="Q169" s="12">
        <v>0</v>
      </c>
      <c r="R169" s="12">
        <v>0</v>
      </c>
      <c r="S169" s="12">
        <v>0</v>
      </c>
      <c r="T169" s="12"/>
      <c r="U169" s="12"/>
      <c r="V169" s="12"/>
      <c r="W169" s="12">
        <v>0</v>
      </c>
      <c r="X169" s="12"/>
      <c r="Y169" s="12">
        <v>0</v>
      </c>
      <c r="Z169" s="12">
        <v>0</v>
      </c>
      <c r="AA169" s="12">
        <v>66000</v>
      </c>
      <c r="AB169" s="12">
        <v>3418000</v>
      </c>
      <c r="AC169" s="12">
        <v>0</v>
      </c>
      <c r="AD169" s="12"/>
      <c r="AE169" s="12">
        <v>0</v>
      </c>
      <c r="AF169" s="12">
        <v>0</v>
      </c>
      <c r="AG169" s="75">
        <f t="shared" si="38"/>
        <v>3484000</v>
      </c>
      <c r="AH169" s="7">
        <v>166</v>
      </c>
    </row>
    <row r="170" spans="3:34" x14ac:dyDescent="0.25">
      <c r="D170" s="7">
        <v>2067</v>
      </c>
      <c r="E170" s="7" t="s">
        <v>426</v>
      </c>
      <c r="F170" s="12">
        <v>0</v>
      </c>
      <c r="G170" s="12">
        <v>0</v>
      </c>
      <c r="H170" s="12">
        <v>0</v>
      </c>
      <c r="I170" s="12">
        <v>0</v>
      </c>
      <c r="J170" s="12"/>
      <c r="K170" s="12">
        <v>0</v>
      </c>
      <c r="L170" s="12">
        <v>0</v>
      </c>
      <c r="M170" s="12">
        <v>0</v>
      </c>
      <c r="N170" s="12">
        <v>0</v>
      </c>
      <c r="O170" s="12">
        <v>0</v>
      </c>
      <c r="P170" s="12">
        <v>0</v>
      </c>
      <c r="Q170" s="12">
        <v>0</v>
      </c>
      <c r="R170" s="12">
        <v>0</v>
      </c>
      <c r="S170" s="12">
        <v>0</v>
      </c>
      <c r="T170" s="12"/>
      <c r="U170" s="12"/>
      <c r="V170" s="12"/>
      <c r="W170" s="12">
        <v>0</v>
      </c>
      <c r="X170" s="12"/>
      <c r="Y170" s="12">
        <v>0</v>
      </c>
      <c r="Z170" s="12">
        <v>0</v>
      </c>
      <c r="AA170" s="12">
        <v>0</v>
      </c>
      <c r="AB170" s="12">
        <v>0</v>
      </c>
      <c r="AC170" s="12">
        <v>0</v>
      </c>
      <c r="AD170" s="12"/>
      <c r="AE170" s="12">
        <v>0</v>
      </c>
      <c r="AF170" s="12">
        <v>0</v>
      </c>
      <c r="AG170" s="75">
        <f t="shared" si="38"/>
        <v>0</v>
      </c>
      <c r="AH170" s="7">
        <v>167</v>
      </c>
    </row>
    <row r="171" spans="3:34" x14ac:dyDescent="0.25">
      <c r="D171" s="7">
        <v>2069</v>
      </c>
      <c r="E171" s="7" t="s">
        <v>427</v>
      </c>
      <c r="F171" s="12">
        <v>0</v>
      </c>
      <c r="G171" s="12">
        <v>0</v>
      </c>
      <c r="H171" s="12">
        <v>0</v>
      </c>
      <c r="I171" s="12">
        <v>0</v>
      </c>
      <c r="J171" s="12"/>
      <c r="K171" s="12">
        <v>-319920</v>
      </c>
      <c r="L171" s="12">
        <v>0</v>
      </c>
      <c r="M171" s="12">
        <v>0</v>
      </c>
      <c r="N171" s="12">
        <v>0</v>
      </c>
      <c r="O171" s="12">
        <v>106000</v>
      </c>
      <c r="P171" s="12">
        <v>0</v>
      </c>
      <c r="Q171" s="12">
        <v>0</v>
      </c>
      <c r="R171" s="12">
        <v>0</v>
      </c>
      <c r="S171" s="12">
        <v>0</v>
      </c>
      <c r="T171" s="12"/>
      <c r="U171" s="12"/>
      <c r="V171" s="12"/>
      <c r="W171" s="12">
        <v>0</v>
      </c>
      <c r="X171" s="12"/>
      <c r="Y171" s="12">
        <v>0</v>
      </c>
      <c r="Z171" s="12">
        <v>0</v>
      </c>
      <c r="AA171" s="12">
        <v>0</v>
      </c>
      <c r="AB171" s="12">
        <v>0</v>
      </c>
      <c r="AC171" s="12">
        <v>0</v>
      </c>
      <c r="AD171" s="12"/>
      <c r="AE171" s="12">
        <v>0</v>
      </c>
      <c r="AF171" s="12">
        <v>0</v>
      </c>
      <c r="AG171" s="75">
        <f t="shared" si="38"/>
        <v>-213920</v>
      </c>
      <c r="AH171" s="7">
        <v>168</v>
      </c>
    </row>
    <row r="172" spans="3:34" x14ac:dyDescent="0.25">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75"/>
      <c r="AH172" s="7">
        <v>169</v>
      </c>
    </row>
    <row r="173" spans="3:34" x14ac:dyDescent="0.25">
      <c r="C173" s="111">
        <v>208</v>
      </c>
      <c r="D173" s="111"/>
      <c r="E173" s="111" t="s">
        <v>257</v>
      </c>
      <c r="F173" s="112">
        <f>F174+F175+F176+F177+F178+F179+F180+F181+F182</f>
        <v>0</v>
      </c>
      <c r="G173" s="112">
        <f t="shared" ref="G173:AF173" si="39">G174+G175+G176+G177+G178+G179+G180+G181+G182</f>
        <v>0</v>
      </c>
      <c r="H173" s="112">
        <f t="shared" si="39"/>
        <v>0</v>
      </c>
      <c r="I173" s="112">
        <f t="shared" si="39"/>
        <v>0</v>
      </c>
      <c r="J173" s="112">
        <f t="shared" si="39"/>
        <v>0</v>
      </c>
      <c r="K173" s="112">
        <f t="shared" si="39"/>
        <v>0</v>
      </c>
      <c r="L173" s="112">
        <f t="shared" si="39"/>
        <v>0</v>
      </c>
      <c r="M173" s="112">
        <f t="shared" si="39"/>
        <v>0</v>
      </c>
      <c r="N173" s="112">
        <f t="shared" si="39"/>
        <v>13119.4</v>
      </c>
      <c r="O173" s="112">
        <f t="shared" si="39"/>
        <v>0</v>
      </c>
      <c r="P173" s="112">
        <f t="shared" si="39"/>
        <v>0</v>
      </c>
      <c r="Q173" s="112">
        <f t="shared" si="39"/>
        <v>0</v>
      </c>
      <c r="R173" s="112">
        <f t="shared" si="39"/>
        <v>0</v>
      </c>
      <c r="S173" s="112">
        <f t="shared" si="39"/>
        <v>0</v>
      </c>
      <c r="T173" s="112">
        <f t="shared" si="39"/>
        <v>0</v>
      </c>
      <c r="U173" s="112">
        <f t="shared" si="39"/>
        <v>0</v>
      </c>
      <c r="V173" s="112">
        <f t="shared" si="39"/>
        <v>0</v>
      </c>
      <c r="W173" s="112">
        <f t="shared" si="39"/>
        <v>0</v>
      </c>
      <c r="X173" s="112">
        <f t="shared" si="39"/>
        <v>0</v>
      </c>
      <c r="Y173" s="112">
        <f t="shared" si="39"/>
        <v>0</v>
      </c>
      <c r="Z173" s="112">
        <f t="shared" si="39"/>
        <v>0</v>
      </c>
      <c r="AA173" s="112">
        <f t="shared" si="39"/>
        <v>131535.79999999999</v>
      </c>
      <c r="AB173" s="112">
        <f t="shared" si="39"/>
        <v>0</v>
      </c>
      <c r="AC173" s="112">
        <f t="shared" si="39"/>
        <v>0</v>
      </c>
      <c r="AD173" s="112">
        <f t="shared" si="39"/>
        <v>0</v>
      </c>
      <c r="AE173" s="112">
        <f t="shared" si="39"/>
        <v>0</v>
      </c>
      <c r="AF173" s="112">
        <f t="shared" si="39"/>
        <v>0</v>
      </c>
      <c r="AG173" s="112">
        <f t="shared" ref="AG173:AG182" si="40">SUM(F173:AF173)</f>
        <v>144655.19999999998</v>
      </c>
      <c r="AH173" s="7">
        <v>170</v>
      </c>
    </row>
    <row r="174" spans="3:34" x14ac:dyDescent="0.25">
      <c r="D174" s="7">
        <v>2081</v>
      </c>
      <c r="E174" s="7" t="s">
        <v>428</v>
      </c>
      <c r="F174" s="12">
        <v>0</v>
      </c>
      <c r="G174" s="12">
        <v>0</v>
      </c>
      <c r="H174" s="12">
        <v>0</v>
      </c>
      <c r="I174" s="12">
        <v>0</v>
      </c>
      <c r="J174" s="12"/>
      <c r="K174" s="12">
        <v>0</v>
      </c>
      <c r="L174" s="12">
        <v>0</v>
      </c>
      <c r="M174" s="12">
        <v>0</v>
      </c>
      <c r="N174" s="12">
        <v>0</v>
      </c>
      <c r="O174" s="12">
        <v>0</v>
      </c>
      <c r="P174" s="12">
        <v>0</v>
      </c>
      <c r="Q174" s="12">
        <v>0</v>
      </c>
      <c r="R174" s="12">
        <v>0</v>
      </c>
      <c r="S174" s="12">
        <v>0</v>
      </c>
      <c r="T174" s="12"/>
      <c r="U174" s="12"/>
      <c r="V174" s="12"/>
      <c r="W174" s="12">
        <v>0</v>
      </c>
      <c r="X174" s="12"/>
      <c r="Y174" s="12">
        <v>0</v>
      </c>
      <c r="Z174" s="12">
        <v>0</v>
      </c>
      <c r="AA174" s="12">
        <v>0</v>
      </c>
      <c r="AB174" s="12">
        <v>0</v>
      </c>
      <c r="AC174" s="12">
        <v>0</v>
      </c>
      <c r="AD174" s="12"/>
      <c r="AE174" s="12">
        <v>0</v>
      </c>
      <c r="AF174" s="12">
        <v>0</v>
      </c>
      <c r="AG174" s="75">
        <f t="shared" si="40"/>
        <v>0</v>
      </c>
      <c r="AH174" s="7">
        <v>171</v>
      </c>
    </row>
    <row r="175" spans="3:34" x14ac:dyDescent="0.25">
      <c r="D175" s="7">
        <v>2082</v>
      </c>
      <c r="E175" s="7" t="s">
        <v>429</v>
      </c>
      <c r="F175" s="12">
        <v>0</v>
      </c>
      <c r="G175" s="12">
        <v>0</v>
      </c>
      <c r="H175" s="12">
        <v>0</v>
      </c>
      <c r="I175" s="12">
        <v>0</v>
      </c>
      <c r="J175" s="12"/>
      <c r="K175" s="12">
        <v>0</v>
      </c>
      <c r="L175" s="12">
        <v>0</v>
      </c>
      <c r="M175" s="12">
        <v>0</v>
      </c>
      <c r="N175" s="12">
        <v>0</v>
      </c>
      <c r="O175" s="12">
        <v>0</v>
      </c>
      <c r="P175" s="12">
        <v>0</v>
      </c>
      <c r="Q175" s="12">
        <v>0</v>
      </c>
      <c r="R175" s="12">
        <v>0</v>
      </c>
      <c r="S175" s="12">
        <v>0</v>
      </c>
      <c r="T175" s="12"/>
      <c r="U175" s="12"/>
      <c r="V175" s="12"/>
      <c r="W175" s="12">
        <v>0</v>
      </c>
      <c r="X175" s="12"/>
      <c r="Y175" s="12">
        <v>0</v>
      </c>
      <c r="Z175" s="12">
        <v>0</v>
      </c>
      <c r="AA175" s="12">
        <v>0</v>
      </c>
      <c r="AB175" s="12">
        <v>0</v>
      </c>
      <c r="AC175" s="12">
        <v>0</v>
      </c>
      <c r="AD175" s="12"/>
      <c r="AE175" s="12">
        <v>0</v>
      </c>
      <c r="AF175" s="12">
        <v>0</v>
      </c>
      <c r="AG175" s="75">
        <f t="shared" si="40"/>
        <v>0</v>
      </c>
      <c r="AH175" s="7">
        <v>172</v>
      </c>
    </row>
    <row r="176" spans="3:34" x14ac:dyDescent="0.25">
      <c r="D176" s="7">
        <v>2083</v>
      </c>
      <c r="E176" s="7" t="s">
        <v>430</v>
      </c>
      <c r="F176" s="12">
        <v>0</v>
      </c>
      <c r="G176" s="12">
        <v>0</v>
      </c>
      <c r="H176" s="12">
        <v>0</v>
      </c>
      <c r="I176" s="12">
        <v>0</v>
      </c>
      <c r="J176" s="12"/>
      <c r="K176" s="12">
        <v>0</v>
      </c>
      <c r="L176" s="12">
        <v>0</v>
      </c>
      <c r="M176" s="12">
        <v>0</v>
      </c>
      <c r="N176" s="12">
        <v>0</v>
      </c>
      <c r="O176" s="12">
        <v>0</v>
      </c>
      <c r="P176" s="12">
        <v>0</v>
      </c>
      <c r="Q176" s="12">
        <v>0</v>
      </c>
      <c r="R176" s="12">
        <v>0</v>
      </c>
      <c r="S176" s="12">
        <v>0</v>
      </c>
      <c r="T176" s="12"/>
      <c r="U176" s="12"/>
      <c r="V176" s="12"/>
      <c r="W176" s="12">
        <v>0</v>
      </c>
      <c r="X176" s="12"/>
      <c r="Y176" s="12">
        <v>0</v>
      </c>
      <c r="Z176" s="12">
        <v>0</v>
      </c>
      <c r="AA176" s="12">
        <v>0</v>
      </c>
      <c r="AB176" s="12">
        <v>0</v>
      </c>
      <c r="AC176" s="12">
        <v>0</v>
      </c>
      <c r="AD176" s="12"/>
      <c r="AE176" s="12">
        <v>0</v>
      </c>
      <c r="AF176" s="12">
        <v>0</v>
      </c>
      <c r="AG176" s="75">
        <f t="shared" si="40"/>
        <v>0</v>
      </c>
      <c r="AH176" s="7">
        <v>173</v>
      </c>
    </row>
    <row r="177" spans="2:34" x14ac:dyDescent="0.25">
      <c r="D177" s="7">
        <v>2084</v>
      </c>
      <c r="E177" s="7" t="s">
        <v>431</v>
      </c>
      <c r="F177" s="12">
        <v>0</v>
      </c>
      <c r="G177" s="12">
        <v>0</v>
      </c>
      <c r="H177" s="12">
        <v>0</v>
      </c>
      <c r="I177" s="12">
        <v>0</v>
      </c>
      <c r="J177" s="12"/>
      <c r="K177" s="12">
        <v>0</v>
      </c>
      <c r="L177" s="12">
        <v>0</v>
      </c>
      <c r="M177" s="12">
        <v>0</v>
      </c>
      <c r="N177" s="12">
        <v>0</v>
      </c>
      <c r="O177" s="12">
        <v>0</v>
      </c>
      <c r="P177" s="12">
        <v>0</v>
      </c>
      <c r="Q177" s="12">
        <v>0</v>
      </c>
      <c r="R177" s="12">
        <v>0</v>
      </c>
      <c r="S177" s="12">
        <v>0</v>
      </c>
      <c r="T177" s="12"/>
      <c r="U177" s="12"/>
      <c r="V177" s="12"/>
      <c r="W177" s="12">
        <v>0</v>
      </c>
      <c r="X177" s="12"/>
      <c r="Y177" s="12">
        <v>0</v>
      </c>
      <c r="Z177" s="12">
        <v>0</v>
      </c>
      <c r="AA177" s="12">
        <v>0</v>
      </c>
      <c r="AB177" s="12">
        <v>0</v>
      </c>
      <c r="AC177" s="12">
        <v>0</v>
      </c>
      <c r="AD177" s="12"/>
      <c r="AE177" s="12">
        <v>0</v>
      </c>
      <c r="AF177" s="12">
        <v>0</v>
      </c>
      <c r="AG177" s="75">
        <f t="shared" si="40"/>
        <v>0</v>
      </c>
      <c r="AH177" s="7">
        <v>174</v>
      </c>
    </row>
    <row r="178" spans="2:34" x14ac:dyDescent="0.25">
      <c r="D178" s="7">
        <v>2085</v>
      </c>
      <c r="E178" s="7" t="s">
        <v>433</v>
      </c>
      <c r="F178" s="12">
        <v>0</v>
      </c>
      <c r="G178" s="12">
        <v>0</v>
      </c>
      <c r="H178" s="12">
        <v>0</v>
      </c>
      <c r="I178" s="12">
        <v>0</v>
      </c>
      <c r="J178" s="12"/>
      <c r="K178" s="12">
        <v>0</v>
      </c>
      <c r="L178" s="12">
        <v>0</v>
      </c>
      <c r="M178" s="12">
        <v>0</v>
      </c>
      <c r="N178" s="12">
        <v>0</v>
      </c>
      <c r="O178" s="12">
        <v>0</v>
      </c>
      <c r="P178" s="12">
        <v>0</v>
      </c>
      <c r="Q178" s="12">
        <v>0</v>
      </c>
      <c r="R178" s="12">
        <v>0</v>
      </c>
      <c r="S178" s="12">
        <v>0</v>
      </c>
      <c r="T178" s="12"/>
      <c r="U178" s="12"/>
      <c r="V178" s="12"/>
      <c r="W178" s="12">
        <v>0</v>
      </c>
      <c r="X178" s="12"/>
      <c r="Y178" s="12">
        <v>0</v>
      </c>
      <c r="Z178" s="12">
        <v>0</v>
      </c>
      <c r="AA178" s="12">
        <v>131535.79999999999</v>
      </c>
      <c r="AB178" s="12">
        <v>0</v>
      </c>
      <c r="AC178" s="12">
        <v>0</v>
      </c>
      <c r="AD178" s="12"/>
      <c r="AE178" s="12">
        <v>0</v>
      </c>
      <c r="AF178" s="12">
        <v>0</v>
      </c>
      <c r="AG178" s="75">
        <f t="shared" si="40"/>
        <v>131535.79999999999</v>
      </c>
      <c r="AH178" s="7">
        <v>175</v>
      </c>
    </row>
    <row r="179" spans="2:34" x14ac:dyDescent="0.25">
      <c r="D179" s="7">
        <v>2086</v>
      </c>
      <c r="E179" s="7" t="s">
        <v>432</v>
      </c>
      <c r="F179" s="12">
        <v>0</v>
      </c>
      <c r="G179" s="12">
        <v>0</v>
      </c>
      <c r="H179" s="12">
        <v>0</v>
      </c>
      <c r="I179" s="12">
        <v>0</v>
      </c>
      <c r="J179" s="12"/>
      <c r="K179" s="12">
        <v>0</v>
      </c>
      <c r="L179" s="12">
        <v>0</v>
      </c>
      <c r="M179" s="12">
        <v>0</v>
      </c>
      <c r="N179" s="12">
        <v>0</v>
      </c>
      <c r="O179" s="12">
        <v>0</v>
      </c>
      <c r="P179" s="12">
        <v>0</v>
      </c>
      <c r="Q179" s="12">
        <v>0</v>
      </c>
      <c r="R179" s="12">
        <v>0</v>
      </c>
      <c r="S179" s="12">
        <v>0</v>
      </c>
      <c r="T179" s="12"/>
      <c r="U179" s="12"/>
      <c r="V179" s="12"/>
      <c r="W179" s="12">
        <v>0</v>
      </c>
      <c r="X179" s="12"/>
      <c r="Y179" s="12">
        <v>0</v>
      </c>
      <c r="Z179" s="12">
        <v>0</v>
      </c>
      <c r="AA179" s="12">
        <v>0</v>
      </c>
      <c r="AB179" s="12">
        <v>0</v>
      </c>
      <c r="AC179" s="12">
        <v>0</v>
      </c>
      <c r="AD179" s="12"/>
      <c r="AE179" s="12">
        <v>0</v>
      </c>
      <c r="AF179" s="12">
        <v>0</v>
      </c>
      <c r="AG179" s="75">
        <f t="shared" si="40"/>
        <v>0</v>
      </c>
      <c r="AH179" s="7">
        <v>176</v>
      </c>
    </row>
    <row r="180" spans="2:34" x14ac:dyDescent="0.25">
      <c r="D180" s="7">
        <v>2087</v>
      </c>
      <c r="E180" s="7" t="s">
        <v>434</v>
      </c>
      <c r="F180" s="12">
        <v>0</v>
      </c>
      <c r="G180" s="12">
        <v>0</v>
      </c>
      <c r="H180" s="12">
        <v>0</v>
      </c>
      <c r="I180" s="12">
        <v>0</v>
      </c>
      <c r="J180" s="12"/>
      <c r="K180" s="12">
        <v>0</v>
      </c>
      <c r="L180" s="12">
        <v>0</v>
      </c>
      <c r="M180" s="12">
        <v>0</v>
      </c>
      <c r="N180" s="12">
        <v>0</v>
      </c>
      <c r="O180" s="12">
        <v>0</v>
      </c>
      <c r="P180" s="12">
        <v>0</v>
      </c>
      <c r="Q180" s="12">
        <v>0</v>
      </c>
      <c r="R180" s="12">
        <v>0</v>
      </c>
      <c r="S180" s="12">
        <v>0</v>
      </c>
      <c r="T180" s="12"/>
      <c r="U180" s="12"/>
      <c r="V180" s="12"/>
      <c r="W180" s="12">
        <v>0</v>
      </c>
      <c r="X180" s="12"/>
      <c r="Y180" s="12">
        <v>0</v>
      </c>
      <c r="Z180" s="12">
        <v>0</v>
      </c>
      <c r="AA180" s="12">
        <v>0</v>
      </c>
      <c r="AB180" s="12">
        <v>0</v>
      </c>
      <c r="AC180" s="12">
        <v>0</v>
      </c>
      <c r="AD180" s="12"/>
      <c r="AE180" s="12">
        <v>0</v>
      </c>
      <c r="AF180" s="12">
        <v>0</v>
      </c>
      <c r="AG180" s="75">
        <f t="shared" si="40"/>
        <v>0</v>
      </c>
      <c r="AH180" s="7">
        <v>177</v>
      </c>
    </row>
    <row r="181" spans="2:34" x14ac:dyDescent="0.25">
      <c r="D181" s="7">
        <v>2088</v>
      </c>
      <c r="E181" s="7" t="s">
        <v>435</v>
      </c>
      <c r="F181" s="12">
        <v>0</v>
      </c>
      <c r="G181" s="12">
        <v>0</v>
      </c>
      <c r="H181" s="12">
        <v>0</v>
      </c>
      <c r="I181" s="12">
        <v>0</v>
      </c>
      <c r="J181" s="12"/>
      <c r="K181" s="12">
        <v>0</v>
      </c>
      <c r="L181" s="12">
        <v>0</v>
      </c>
      <c r="M181" s="12">
        <v>0</v>
      </c>
      <c r="N181" s="12">
        <v>0</v>
      </c>
      <c r="O181" s="12">
        <v>0</v>
      </c>
      <c r="P181" s="12">
        <v>0</v>
      </c>
      <c r="Q181" s="12">
        <v>0</v>
      </c>
      <c r="R181" s="12">
        <v>0</v>
      </c>
      <c r="S181" s="12">
        <v>0</v>
      </c>
      <c r="T181" s="12"/>
      <c r="U181" s="12"/>
      <c r="V181" s="12"/>
      <c r="W181" s="12">
        <v>0</v>
      </c>
      <c r="X181" s="12"/>
      <c r="Y181" s="12">
        <v>0</v>
      </c>
      <c r="Z181" s="12">
        <v>0</v>
      </c>
      <c r="AA181" s="12">
        <v>0</v>
      </c>
      <c r="AB181" s="12">
        <v>0</v>
      </c>
      <c r="AC181" s="12">
        <v>0</v>
      </c>
      <c r="AD181" s="12"/>
      <c r="AE181" s="12">
        <v>0</v>
      </c>
      <c r="AF181" s="12">
        <v>0</v>
      </c>
      <c r="AG181" s="75">
        <f t="shared" si="40"/>
        <v>0</v>
      </c>
      <c r="AH181" s="7">
        <v>178</v>
      </c>
    </row>
    <row r="182" spans="2:34" x14ac:dyDescent="0.25">
      <c r="D182" s="7">
        <v>2089</v>
      </c>
      <c r="E182" s="7" t="s">
        <v>436</v>
      </c>
      <c r="F182" s="12">
        <v>0</v>
      </c>
      <c r="G182" s="12">
        <v>0</v>
      </c>
      <c r="H182" s="12">
        <v>0</v>
      </c>
      <c r="I182" s="12">
        <v>0</v>
      </c>
      <c r="J182" s="12"/>
      <c r="K182" s="12">
        <v>0</v>
      </c>
      <c r="L182" s="12">
        <v>0</v>
      </c>
      <c r="M182" s="12">
        <v>0</v>
      </c>
      <c r="N182" s="12">
        <v>13119.4</v>
      </c>
      <c r="O182" s="12">
        <v>0</v>
      </c>
      <c r="P182" s="12">
        <v>0</v>
      </c>
      <c r="Q182" s="12">
        <v>0</v>
      </c>
      <c r="R182" s="12">
        <v>0</v>
      </c>
      <c r="S182" s="12">
        <v>0</v>
      </c>
      <c r="T182" s="12"/>
      <c r="U182" s="12"/>
      <c r="V182" s="12"/>
      <c r="W182" s="12">
        <v>0</v>
      </c>
      <c r="X182" s="12"/>
      <c r="Y182" s="12">
        <v>0</v>
      </c>
      <c r="Z182" s="12">
        <v>0</v>
      </c>
      <c r="AA182" s="12">
        <v>0</v>
      </c>
      <c r="AB182" s="12">
        <v>0</v>
      </c>
      <c r="AC182" s="12">
        <v>0</v>
      </c>
      <c r="AD182" s="12"/>
      <c r="AE182" s="12">
        <v>0</v>
      </c>
      <c r="AF182" s="12">
        <v>0</v>
      </c>
      <c r="AG182" s="75">
        <f t="shared" si="40"/>
        <v>13119.4</v>
      </c>
      <c r="AH182" s="7">
        <v>179</v>
      </c>
    </row>
    <row r="183" spans="2:34" x14ac:dyDescent="0.25">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75"/>
      <c r="AH183" s="7">
        <v>180</v>
      </c>
    </row>
    <row r="184" spans="2:34" x14ac:dyDescent="0.25">
      <c r="C184" s="111">
        <v>209</v>
      </c>
      <c r="D184" s="111"/>
      <c r="E184" s="111" t="s">
        <v>258</v>
      </c>
      <c r="F184" s="112">
        <f>F185+F186+F187+F188</f>
        <v>0</v>
      </c>
      <c r="G184" s="112">
        <f t="shared" ref="G184:AF184" si="41">G185+G186+G187+G188</f>
        <v>0</v>
      </c>
      <c r="H184" s="112">
        <f t="shared" si="41"/>
        <v>0</v>
      </c>
      <c r="I184" s="112">
        <f t="shared" si="41"/>
        <v>200000</v>
      </c>
      <c r="J184" s="112">
        <f t="shared" si="41"/>
        <v>0</v>
      </c>
      <c r="K184" s="112">
        <f t="shared" si="41"/>
        <v>0</v>
      </c>
      <c r="L184" s="112">
        <f t="shared" si="41"/>
        <v>0</v>
      </c>
      <c r="M184" s="112">
        <f t="shared" si="41"/>
        <v>0</v>
      </c>
      <c r="N184" s="112">
        <f t="shared" si="41"/>
        <v>0</v>
      </c>
      <c r="O184" s="112">
        <f t="shared" si="41"/>
        <v>0</v>
      </c>
      <c r="P184" s="112">
        <f t="shared" si="41"/>
        <v>0</v>
      </c>
      <c r="Q184" s="112">
        <f t="shared" si="41"/>
        <v>0</v>
      </c>
      <c r="R184" s="112">
        <f t="shared" si="41"/>
        <v>0</v>
      </c>
      <c r="S184" s="112">
        <f t="shared" si="41"/>
        <v>0</v>
      </c>
      <c r="T184" s="112">
        <f t="shared" si="41"/>
        <v>0</v>
      </c>
      <c r="U184" s="112">
        <f t="shared" si="41"/>
        <v>0</v>
      </c>
      <c r="V184" s="112">
        <f t="shared" si="41"/>
        <v>0</v>
      </c>
      <c r="W184" s="112">
        <f t="shared" si="41"/>
        <v>0</v>
      </c>
      <c r="X184" s="112">
        <f t="shared" si="41"/>
        <v>0</v>
      </c>
      <c r="Y184" s="112">
        <f t="shared" si="41"/>
        <v>0</v>
      </c>
      <c r="Z184" s="112">
        <f t="shared" si="41"/>
        <v>0</v>
      </c>
      <c r="AA184" s="112">
        <f t="shared" si="41"/>
        <v>0</v>
      </c>
      <c r="AB184" s="112">
        <f t="shared" si="41"/>
        <v>0</v>
      </c>
      <c r="AC184" s="112">
        <f t="shared" si="41"/>
        <v>0</v>
      </c>
      <c r="AD184" s="112">
        <f t="shared" si="41"/>
        <v>0</v>
      </c>
      <c r="AE184" s="112">
        <f t="shared" si="41"/>
        <v>0</v>
      </c>
      <c r="AF184" s="112">
        <f t="shared" si="41"/>
        <v>0</v>
      </c>
      <c r="AG184" s="112">
        <f>SUM(F184:AF184)</f>
        <v>200000</v>
      </c>
      <c r="AH184" s="7">
        <v>181</v>
      </c>
    </row>
    <row r="185" spans="2:34" x14ac:dyDescent="0.25">
      <c r="D185" s="7">
        <v>2090</v>
      </c>
      <c r="E185" s="7" t="s">
        <v>258</v>
      </c>
      <c r="F185" s="12">
        <v>0</v>
      </c>
      <c r="G185" s="12">
        <v>0</v>
      </c>
      <c r="H185" s="12">
        <v>0</v>
      </c>
      <c r="I185" s="12">
        <v>0</v>
      </c>
      <c r="J185" s="12"/>
      <c r="K185" s="12">
        <v>0</v>
      </c>
      <c r="L185" s="12">
        <v>0</v>
      </c>
      <c r="M185" s="12">
        <v>0</v>
      </c>
      <c r="N185" s="12">
        <v>0</v>
      </c>
      <c r="O185" s="12">
        <v>0</v>
      </c>
      <c r="P185" s="12">
        <v>0</v>
      </c>
      <c r="Q185" s="12">
        <v>0</v>
      </c>
      <c r="R185" s="12">
        <v>0</v>
      </c>
      <c r="S185" s="12">
        <v>0</v>
      </c>
      <c r="T185" s="12"/>
      <c r="U185" s="12"/>
      <c r="V185" s="12"/>
      <c r="W185" s="12">
        <v>0</v>
      </c>
      <c r="X185" s="12"/>
      <c r="Y185" s="12">
        <v>0</v>
      </c>
      <c r="Z185" s="12">
        <v>0</v>
      </c>
      <c r="AA185" s="12">
        <v>0</v>
      </c>
      <c r="AB185" s="12">
        <v>0</v>
      </c>
      <c r="AC185" s="12">
        <v>0</v>
      </c>
      <c r="AD185" s="12"/>
      <c r="AE185" s="12">
        <v>0</v>
      </c>
      <c r="AF185" s="12">
        <v>0</v>
      </c>
      <c r="AG185" s="75">
        <f>SUM(F185:AF185)</f>
        <v>0</v>
      </c>
      <c r="AH185" s="7">
        <v>182</v>
      </c>
    </row>
    <row r="186" spans="2:34" x14ac:dyDescent="0.25">
      <c r="D186" s="7">
        <v>2091</v>
      </c>
      <c r="E186" s="7" t="s">
        <v>437</v>
      </c>
      <c r="F186" s="12">
        <v>0</v>
      </c>
      <c r="G186" s="12">
        <v>0</v>
      </c>
      <c r="H186" s="12">
        <v>0</v>
      </c>
      <c r="I186" s="12">
        <v>200000</v>
      </c>
      <c r="J186" s="12"/>
      <c r="K186" s="12">
        <v>0</v>
      </c>
      <c r="L186" s="12">
        <v>0</v>
      </c>
      <c r="M186" s="12">
        <v>0</v>
      </c>
      <c r="N186" s="12">
        <v>0</v>
      </c>
      <c r="O186" s="12">
        <v>0</v>
      </c>
      <c r="P186" s="12">
        <v>0</v>
      </c>
      <c r="Q186" s="12">
        <v>0</v>
      </c>
      <c r="R186" s="12">
        <v>0</v>
      </c>
      <c r="S186" s="12">
        <v>0</v>
      </c>
      <c r="T186" s="12"/>
      <c r="U186" s="12"/>
      <c r="V186" s="12"/>
      <c r="W186" s="12">
        <v>0</v>
      </c>
      <c r="X186" s="12"/>
      <c r="Y186" s="12">
        <v>0</v>
      </c>
      <c r="Z186" s="12">
        <v>0</v>
      </c>
      <c r="AA186" s="12">
        <v>0</v>
      </c>
      <c r="AB186" s="12">
        <v>0</v>
      </c>
      <c r="AC186" s="12">
        <v>0</v>
      </c>
      <c r="AD186" s="12"/>
      <c r="AE186" s="12">
        <v>0</v>
      </c>
      <c r="AF186" s="12">
        <v>0</v>
      </c>
      <c r="AG186" s="75">
        <f>SUM(F186:AF186)</f>
        <v>200000</v>
      </c>
      <c r="AH186" s="7">
        <v>183</v>
      </c>
    </row>
    <row r="187" spans="2:34" x14ac:dyDescent="0.25">
      <c r="D187" s="7">
        <v>2092</v>
      </c>
      <c r="E187" s="7" t="s">
        <v>438</v>
      </c>
      <c r="F187" s="12">
        <v>0</v>
      </c>
      <c r="G187" s="12">
        <v>0</v>
      </c>
      <c r="H187" s="12">
        <v>0</v>
      </c>
      <c r="I187" s="12">
        <v>0</v>
      </c>
      <c r="J187" s="12"/>
      <c r="K187" s="12">
        <v>0</v>
      </c>
      <c r="L187" s="12">
        <v>0</v>
      </c>
      <c r="M187" s="12">
        <v>0</v>
      </c>
      <c r="N187" s="12">
        <v>0</v>
      </c>
      <c r="O187" s="12">
        <v>0</v>
      </c>
      <c r="P187" s="12">
        <v>0</v>
      </c>
      <c r="Q187" s="12">
        <v>0</v>
      </c>
      <c r="R187" s="12">
        <v>0</v>
      </c>
      <c r="S187" s="12">
        <v>0</v>
      </c>
      <c r="T187" s="12"/>
      <c r="U187" s="12"/>
      <c r="V187" s="12"/>
      <c r="W187" s="12">
        <v>0</v>
      </c>
      <c r="X187" s="12"/>
      <c r="Y187" s="12">
        <v>0</v>
      </c>
      <c r="Z187" s="12">
        <v>0</v>
      </c>
      <c r="AA187" s="12">
        <v>0</v>
      </c>
      <c r="AB187" s="12">
        <v>0</v>
      </c>
      <c r="AC187" s="12">
        <v>0</v>
      </c>
      <c r="AD187" s="12"/>
      <c r="AE187" s="12">
        <v>0</v>
      </c>
      <c r="AF187" s="12">
        <v>0</v>
      </c>
      <c r="AG187" s="75">
        <f>SUM(F187:AF187)</f>
        <v>0</v>
      </c>
      <c r="AH187" s="7">
        <v>184</v>
      </c>
    </row>
    <row r="188" spans="2:34" x14ac:dyDescent="0.25">
      <c r="D188" s="7">
        <v>2093</v>
      </c>
      <c r="E188" s="7" t="s">
        <v>439</v>
      </c>
      <c r="F188" s="12">
        <v>0</v>
      </c>
      <c r="G188" s="12">
        <v>0</v>
      </c>
      <c r="H188" s="12">
        <v>0</v>
      </c>
      <c r="I188" s="12">
        <v>0</v>
      </c>
      <c r="J188" s="12"/>
      <c r="K188" s="12">
        <v>0</v>
      </c>
      <c r="L188" s="12">
        <v>0</v>
      </c>
      <c r="M188" s="12">
        <v>0</v>
      </c>
      <c r="N188" s="12">
        <v>0</v>
      </c>
      <c r="O188" s="12">
        <v>0</v>
      </c>
      <c r="P188" s="12">
        <v>0</v>
      </c>
      <c r="Q188" s="12">
        <v>0</v>
      </c>
      <c r="R188" s="12">
        <v>0</v>
      </c>
      <c r="S188" s="12">
        <v>0</v>
      </c>
      <c r="T188" s="12"/>
      <c r="U188" s="12"/>
      <c r="V188" s="12"/>
      <c r="W188" s="12">
        <v>0</v>
      </c>
      <c r="X188" s="12"/>
      <c r="Y188" s="12">
        <v>0</v>
      </c>
      <c r="Z188" s="12">
        <v>0</v>
      </c>
      <c r="AA188" s="12">
        <v>0</v>
      </c>
      <c r="AB188" s="12">
        <v>0</v>
      </c>
      <c r="AC188" s="12">
        <v>0</v>
      </c>
      <c r="AD188" s="12"/>
      <c r="AE188" s="12">
        <v>0</v>
      </c>
      <c r="AF188" s="12">
        <v>0</v>
      </c>
      <c r="AG188" s="75">
        <f>SUM(F188:AF188)</f>
        <v>0</v>
      </c>
      <c r="AH188" s="7">
        <v>185</v>
      </c>
    </row>
    <row r="189" spans="2:34" x14ac:dyDescent="0.25">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75"/>
      <c r="AH189" s="7">
        <v>186</v>
      </c>
    </row>
    <row r="190" spans="2:34" x14ac:dyDescent="0.25">
      <c r="B190" s="109">
        <v>29</v>
      </c>
      <c r="C190" s="109"/>
      <c r="D190" s="109"/>
      <c r="E190" s="109" t="s">
        <v>259</v>
      </c>
      <c r="F190" s="110">
        <f>F191+F194+F198+F201+F204+F207+F210+F213+F216</f>
        <v>768182.21</v>
      </c>
      <c r="G190" s="110">
        <f t="shared" ref="G190:AG190" si="42">G191+G194+G198+G201+G204+G207+G210+G213+G216</f>
        <v>67996706.409999996</v>
      </c>
      <c r="H190" s="110">
        <f t="shared" si="42"/>
        <v>234853</v>
      </c>
      <c r="I190" s="110">
        <f t="shared" si="42"/>
        <v>9591619.7800000012</v>
      </c>
      <c r="J190" s="110">
        <f t="shared" si="42"/>
        <v>0</v>
      </c>
      <c r="K190" s="110">
        <f t="shared" si="42"/>
        <v>684793.31</v>
      </c>
      <c r="L190" s="110">
        <f t="shared" si="42"/>
        <v>0</v>
      </c>
      <c r="M190" s="110">
        <f t="shared" si="42"/>
        <v>573399.64</v>
      </c>
      <c r="N190" s="110">
        <f t="shared" si="42"/>
        <v>0</v>
      </c>
      <c r="O190" s="110">
        <f t="shared" si="42"/>
        <v>21341.26</v>
      </c>
      <c r="P190" s="110">
        <f t="shared" si="42"/>
        <v>14773063.039999999</v>
      </c>
      <c r="Q190" s="110">
        <f t="shared" si="42"/>
        <v>81638.03</v>
      </c>
      <c r="R190" s="110">
        <f t="shared" si="42"/>
        <v>2570.59</v>
      </c>
      <c r="S190" s="110">
        <f t="shared" si="42"/>
        <v>40479.120000000003</v>
      </c>
      <c r="T190" s="110">
        <f t="shared" si="42"/>
        <v>0</v>
      </c>
      <c r="U190" s="110">
        <f t="shared" si="42"/>
        <v>0</v>
      </c>
      <c r="V190" s="110">
        <f t="shared" si="42"/>
        <v>0</v>
      </c>
      <c r="W190" s="110">
        <f t="shared" si="42"/>
        <v>15199.75</v>
      </c>
      <c r="X190" s="110">
        <f t="shared" si="42"/>
        <v>0</v>
      </c>
      <c r="Y190" s="110">
        <f t="shared" si="42"/>
        <v>2819611.74</v>
      </c>
      <c r="Z190" s="110">
        <f t="shared" si="42"/>
        <v>2970770.46</v>
      </c>
      <c r="AA190" s="110">
        <f t="shared" si="42"/>
        <v>304059.52000000002</v>
      </c>
      <c r="AB190" s="110">
        <f t="shared" si="42"/>
        <v>2054471.35</v>
      </c>
      <c r="AC190" s="110">
        <f t="shared" si="42"/>
        <v>349120.01</v>
      </c>
      <c r="AD190" s="110">
        <f t="shared" si="42"/>
        <v>0</v>
      </c>
      <c r="AE190" s="110">
        <f t="shared" si="42"/>
        <v>561666.32000000007</v>
      </c>
      <c r="AF190" s="110">
        <f t="shared" si="42"/>
        <v>566769.19999999995</v>
      </c>
      <c r="AG190" s="110">
        <f t="shared" si="42"/>
        <v>104410314.74000001</v>
      </c>
      <c r="AH190" s="7">
        <v>187</v>
      </c>
    </row>
    <row r="191" spans="2:34" x14ac:dyDescent="0.25">
      <c r="C191" s="111">
        <v>290</v>
      </c>
      <c r="D191" s="111"/>
      <c r="E191" s="111" t="s">
        <v>260</v>
      </c>
      <c r="F191" s="112">
        <f>F192</f>
        <v>0</v>
      </c>
      <c r="G191" s="112">
        <f t="shared" ref="G191:AF191" si="43">G192</f>
        <v>4068706.41</v>
      </c>
      <c r="H191" s="112">
        <f t="shared" si="43"/>
        <v>234853</v>
      </c>
      <c r="I191" s="112">
        <f t="shared" si="43"/>
        <v>1262004.1000000001</v>
      </c>
      <c r="J191" s="112">
        <f t="shared" si="43"/>
        <v>0</v>
      </c>
      <c r="K191" s="112">
        <f t="shared" si="43"/>
        <v>136411.95000000001</v>
      </c>
      <c r="L191" s="112">
        <f t="shared" si="43"/>
        <v>0</v>
      </c>
      <c r="M191" s="112">
        <f t="shared" si="43"/>
        <v>573399.64</v>
      </c>
      <c r="N191" s="112">
        <f t="shared" si="43"/>
        <v>0</v>
      </c>
      <c r="O191" s="112">
        <f t="shared" si="43"/>
        <v>0</v>
      </c>
      <c r="P191" s="112">
        <f t="shared" si="43"/>
        <v>0</v>
      </c>
      <c r="Q191" s="112">
        <f t="shared" si="43"/>
        <v>0</v>
      </c>
      <c r="R191" s="112">
        <f t="shared" si="43"/>
        <v>0</v>
      </c>
      <c r="S191" s="112">
        <f t="shared" si="43"/>
        <v>0</v>
      </c>
      <c r="T191" s="112">
        <f t="shared" si="43"/>
        <v>0</v>
      </c>
      <c r="U191" s="112">
        <f t="shared" si="43"/>
        <v>0</v>
      </c>
      <c r="V191" s="112">
        <f t="shared" si="43"/>
        <v>0</v>
      </c>
      <c r="W191" s="112">
        <f t="shared" si="43"/>
        <v>0</v>
      </c>
      <c r="X191" s="112">
        <f t="shared" si="43"/>
        <v>0</v>
      </c>
      <c r="Y191" s="112">
        <f t="shared" si="43"/>
        <v>2029672.73</v>
      </c>
      <c r="Z191" s="112">
        <f t="shared" si="43"/>
        <v>427817.65</v>
      </c>
      <c r="AA191" s="112">
        <f t="shared" si="43"/>
        <v>0</v>
      </c>
      <c r="AB191" s="112">
        <f t="shared" si="43"/>
        <v>460418.79</v>
      </c>
      <c r="AC191" s="112">
        <f t="shared" si="43"/>
        <v>0</v>
      </c>
      <c r="AD191" s="112">
        <f t="shared" si="43"/>
        <v>0</v>
      </c>
      <c r="AE191" s="112">
        <f t="shared" si="43"/>
        <v>0</v>
      </c>
      <c r="AF191" s="112">
        <f t="shared" si="43"/>
        <v>632249.94999999995</v>
      </c>
      <c r="AG191" s="112">
        <f>SUM(F191:AF191)</f>
        <v>9825534.2199999988</v>
      </c>
      <c r="AH191" s="7">
        <v>188</v>
      </c>
    </row>
    <row r="192" spans="2:34" x14ac:dyDescent="0.25">
      <c r="D192" s="7">
        <v>2900</v>
      </c>
      <c r="E192" s="7" t="s">
        <v>260</v>
      </c>
      <c r="F192" s="12">
        <v>0</v>
      </c>
      <c r="G192" s="12">
        <v>4068706.41</v>
      </c>
      <c r="H192" s="12">
        <v>234853</v>
      </c>
      <c r="I192" s="12">
        <v>1262004.1000000001</v>
      </c>
      <c r="J192" s="12"/>
      <c r="K192" s="12">
        <v>136411.95000000001</v>
      </c>
      <c r="L192" s="12">
        <v>0</v>
      </c>
      <c r="M192" s="12">
        <v>573399.64</v>
      </c>
      <c r="N192" s="12">
        <v>0</v>
      </c>
      <c r="O192" s="12">
        <v>0</v>
      </c>
      <c r="P192" s="12">
        <v>0</v>
      </c>
      <c r="Q192" s="12">
        <v>0</v>
      </c>
      <c r="R192" s="12">
        <v>0</v>
      </c>
      <c r="S192" s="12">
        <v>0</v>
      </c>
      <c r="T192" s="12"/>
      <c r="U192" s="12"/>
      <c r="V192" s="12"/>
      <c r="W192" s="12">
        <v>0</v>
      </c>
      <c r="X192" s="12"/>
      <c r="Y192" s="12">
        <v>2029672.73</v>
      </c>
      <c r="Z192" s="12">
        <v>427817.65</v>
      </c>
      <c r="AA192" s="12">
        <v>0</v>
      </c>
      <c r="AB192" s="12">
        <v>460418.79</v>
      </c>
      <c r="AC192" s="12">
        <v>0</v>
      </c>
      <c r="AD192" s="12"/>
      <c r="AE192" s="12">
        <v>0</v>
      </c>
      <c r="AF192" s="12">
        <v>632249.94999999995</v>
      </c>
      <c r="AG192" s="75">
        <f>SUM(F192:AF192)</f>
        <v>9825534.2199999988</v>
      </c>
      <c r="AH192" s="7">
        <v>189</v>
      </c>
    </row>
    <row r="193" spans="3:34" x14ac:dyDescent="0.25">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v>0</v>
      </c>
      <c r="AF193" s="12"/>
      <c r="AG193" s="75"/>
      <c r="AH193" s="7">
        <v>190</v>
      </c>
    </row>
    <row r="194" spans="3:34" x14ac:dyDescent="0.25">
      <c r="C194" s="111">
        <v>291</v>
      </c>
      <c r="D194" s="111"/>
      <c r="E194" s="111" t="s">
        <v>261</v>
      </c>
      <c r="F194" s="112">
        <f>F195+F196</f>
        <v>0</v>
      </c>
      <c r="G194" s="112">
        <f t="shared" ref="G194:AF194" si="44">G195+G196</f>
        <v>0</v>
      </c>
      <c r="H194" s="112">
        <f t="shared" si="44"/>
        <v>0</v>
      </c>
      <c r="I194" s="112">
        <f t="shared" si="44"/>
        <v>0</v>
      </c>
      <c r="J194" s="112">
        <f t="shared" si="44"/>
        <v>0</v>
      </c>
      <c r="K194" s="112">
        <f t="shared" si="44"/>
        <v>0</v>
      </c>
      <c r="L194" s="112">
        <f t="shared" si="44"/>
        <v>0</v>
      </c>
      <c r="M194" s="112">
        <f t="shared" si="44"/>
        <v>0</v>
      </c>
      <c r="N194" s="112">
        <f t="shared" si="44"/>
        <v>0</v>
      </c>
      <c r="O194" s="112">
        <f t="shared" si="44"/>
        <v>0</v>
      </c>
      <c r="P194" s="112">
        <f t="shared" si="44"/>
        <v>0</v>
      </c>
      <c r="Q194" s="112">
        <f t="shared" si="44"/>
        <v>0</v>
      </c>
      <c r="R194" s="112">
        <f t="shared" si="44"/>
        <v>0</v>
      </c>
      <c r="S194" s="112">
        <f t="shared" si="44"/>
        <v>0</v>
      </c>
      <c r="T194" s="112">
        <f t="shared" si="44"/>
        <v>0</v>
      </c>
      <c r="U194" s="112">
        <f t="shared" si="44"/>
        <v>0</v>
      </c>
      <c r="V194" s="112">
        <f t="shared" si="44"/>
        <v>0</v>
      </c>
      <c r="W194" s="112">
        <f t="shared" si="44"/>
        <v>0</v>
      </c>
      <c r="X194" s="112">
        <f t="shared" si="44"/>
        <v>0</v>
      </c>
      <c r="Y194" s="112">
        <f t="shared" si="44"/>
        <v>0</v>
      </c>
      <c r="Z194" s="112">
        <f t="shared" si="44"/>
        <v>0</v>
      </c>
      <c r="AA194" s="112">
        <f t="shared" si="44"/>
        <v>0</v>
      </c>
      <c r="AB194" s="112">
        <f t="shared" si="44"/>
        <v>0</v>
      </c>
      <c r="AC194" s="112">
        <f t="shared" si="44"/>
        <v>0</v>
      </c>
      <c r="AD194" s="112">
        <f t="shared" si="44"/>
        <v>0</v>
      </c>
      <c r="AE194" s="112">
        <f t="shared" si="44"/>
        <v>0</v>
      </c>
      <c r="AF194" s="112">
        <f t="shared" si="44"/>
        <v>0</v>
      </c>
      <c r="AG194" s="112">
        <f>SUM(F194:AF194)</f>
        <v>0</v>
      </c>
      <c r="AH194" s="7">
        <v>191</v>
      </c>
    </row>
    <row r="195" spans="3:34" x14ac:dyDescent="0.25">
      <c r="D195" s="7">
        <v>2910</v>
      </c>
      <c r="E195" s="7" t="s">
        <v>261</v>
      </c>
      <c r="F195" s="12">
        <v>0</v>
      </c>
      <c r="G195" s="12">
        <v>0</v>
      </c>
      <c r="H195" s="12">
        <v>0</v>
      </c>
      <c r="I195" s="12">
        <v>0</v>
      </c>
      <c r="J195" s="12"/>
      <c r="K195" s="12">
        <v>0</v>
      </c>
      <c r="L195" s="12">
        <v>0</v>
      </c>
      <c r="M195" s="12">
        <v>0</v>
      </c>
      <c r="N195" s="12">
        <v>0</v>
      </c>
      <c r="O195" s="12">
        <v>0</v>
      </c>
      <c r="P195" s="12">
        <v>0</v>
      </c>
      <c r="Q195" s="12">
        <v>0</v>
      </c>
      <c r="R195" s="12">
        <v>0</v>
      </c>
      <c r="S195" s="12">
        <v>0</v>
      </c>
      <c r="T195" s="12"/>
      <c r="U195" s="12"/>
      <c r="V195" s="12"/>
      <c r="W195" s="12">
        <v>0</v>
      </c>
      <c r="X195" s="12"/>
      <c r="Y195" s="12">
        <v>0</v>
      </c>
      <c r="Z195" s="12">
        <v>0</v>
      </c>
      <c r="AA195" s="12">
        <v>0</v>
      </c>
      <c r="AB195" s="12">
        <v>0</v>
      </c>
      <c r="AC195" s="12">
        <v>0</v>
      </c>
      <c r="AD195" s="12"/>
      <c r="AE195" s="12">
        <v>0</v>
      </c>
      <c r="AF195" s="12">
        <v>0</v>
      </c>
      <c r="AG195" s="75">
        <f>SUM(F195:AF195)</f>
        <v>0</v>
      </c>
      <c r="AH195" s="7">
        <v>192</v>
      </c>
    </row>
    <row r="196" spans="3:34" x14ac:dyDescent="0.25">
      <c r="D196" s="7">
        <v>2911</v>
      </c>
      <c r="E196" s="7" t="s">
        <v>440</v>
      </c>
      <c r="F196" s="12">
        <v>0</v>
      </c>
      <c r="G196" s="12">
        <v>0</v>
      </c>
      <c r="H196" s="12">
        <v>0</v>
      </c>
      <c r="I196" s="12">
        <v>0</v>
      </c>
      <c r="J196" s="12"/>
      <c r="K196" s="12">
        <v>0</v>
      </c>
      <c r="L196" s="12">
        <v>0</v>
      </c>
      <c r="M196" s="12">
        <v>0</v>
      </c>
      <c r="N196" s="12">
        <v>0</v>
      </c>
      <c r="O196" s="12">
        <v>0</v>
      </c>
      <c r="P196" s="12">
        <v>0</v>
      </c>
      <c r="Q196" s="12">
        <v>0</v>
      </c>
      <c r="R196" s="12">
        <v>0</v>
      </c>
      <c r="S196" s="12">
        <v>0</v>
      </c>
      <c r="T196" s="12"/>
      <c r="U196" s="12"/>
      <c r="V196" s="12"/>
      <c r="W196" s="12">
        <v>0</v>
      </c>
      <c r="X196" s="12"/>
      <c r="Y196" s="12">
        <v>0</v>
      </c>
      <c r="Z196" s="12">
        <v>0</v>
      </c>
      <c r="AA196" s="12">
        <v>0</v>
      </c>
      <c r="AB196" s="12">
        <v>0</v>
      </c>
      <c r="AC196" s="12">
        <v>0</v>
      </c>
      <c r="AD196" s="12"/>
      <c r="AE196" s="12">
        <v>0</v>
      </c>
      <c r="AF196" s="12">
        <v>0</v>
      </c>
      <c r="AG196" s="75">
        <f>SUM(F196:AF196)</f>
        <v>0</v>
      </c>
      <c r="AH196" s="7">
        <v>193</v>
      </c>
    </row>
    <row r="197" spans="3:34" x14ac:dyDescent="0.25">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75"/>
      <c r="AH197" s="7">
        <v>194</v>
      </c>
    </row>
    <row r="198" spans="3:34" x14ac:dyDescent="0.25">
      <c r="C198" s="111">
        <v>292</v>
      </c>
      <c r="D198" s="111"/>
      <c r="E198" s="111" t="s">
        <v>262</v>
      </c>
      <c r="F198" s="112">
        <f>F199</f>
        <v>0</v>
      </c>
      <c r="G198" s="112">
        <f t="shared" ref="G198:AF198" si="45">G199</f>
        <v>0</v>
      </c>
      <c r="H198" s="112">
        <f t="shared" si="45"/>
        <v>0</v>
      </c>
      <c r="I198" s="112">
        <f t="shared" si="45"/>
        <v>0</v>
      </c>
      <c r="J198" s="112">
        <f t="shared" si="45"/>
        <v>0</v>
      </c>
      <c r="K198" s="112">
        <f t="shared" si="45"/>
        <v>0</v>
      </c>
      <c r="L198" s="112">
        <f t="shared" si="45"/>
        <v>0</v>
      </c>
      <c r="M198" s="112">
        <f t="shared" si="45"/>
        <v>0</v>
      </c>
      <c r="N198" s="112">
        <f t="shared" si="45"/>
        <v>0</v>
      </c>
      <c r="O198" s="112">
        <f t="shared" si="45"/>
        <v>0</v>
      </c>
      <c r="P198" s="112">
        <f t="shared" si="45"/>
        <v>0</v>
      </c>
      <c r="Q198" s="112">
        <f t="shared" si="45"/>
        <v>0</v>
      </c>
      <c r="R198" s="112">
        <f t="shared" si="45"/>
        <v>0</v>
      </c>
      <c r="S198" s="112">
        <f t="shared" si="45"/>
        <v>0</v>
      </c>
      <c r="T198" s="112">
        <f t="shared" si="45"/>
        <v>0</v>
      </c>
      <c r="U198" s="112">
        <f t="shared" si="45"/>
        <v>0</v>
      </c>
      <c r="V198" s="112">
        <f t="shared" si="45"/>
        <v>0</v>
      </c>
      <c r="W198" s="112">
        <f t="shared" si="45"/>
        <v>15199.75</v>
      </c>
      <c r="X198" s="112">
        <f t="shared" si="45"/>
        <v>0</v>
      </c>
      <c r="Y198" s="112">
        <f t="shared" si="45"/>
        <v>0</v>
      </c>
      <c r="Z198" s="112">
        <f t="shared" si="45"/>
        <v>0</v>
      </c>
      <c r="AA198" s="112">
        <f t="shared" si="45"/>
        <v>0</v>
      </c>
      <c r="AB198" s="112">
        <f t="shared" si="45"/>
        <v>0</v>
      </c>
      <c r="AC198" s="112">
        <f t="shared" si="45"/>
        <v>0</v>
      </c>
      <c r="AD198" s="112">
        <f t="shared" si="45"/>
        <v>0</v>
      </c>
      <c r="AE198" s="112">
        <f t="shared" si="45"/>
        <v>0</v>
      </c>
      <c r="AF198" s="112">
        <f t="shared" si="45"/>
        <v>0</v>
      </c>
      <c r="AG198" s="112">
        <f>SUM(F198:AF198)</f>
        <v>15199.75</v>
      </c>
      <c r="AH198" s="7">
        <v>195</v>
      </c>
    </row>
    <row r="199" spans="3:34" x14ac:dyDescent="0.25">
      <c r="D199" s="7">
        <v>2920</v>
      </c>
      <c r="E199" s="7" t="s">
        <v>262</v>
      </c>
      <c r="F199" s="12">
        <v>0</v>
      </c>
      <c r="G199" s="12">
        <v>0</v>
      </c>
      <c r="H199" s="12">
        <v>0</v>
      </c>
      <c r="I199" s="12">
        <v>0</v>
      </c>
      <c r="J199" s="12"/>
      <c r="K199" s="12">
        <v>0</v>
      </c>
      <c r="L199" s="12">
        <v>0</v>
      </c>
      <c r="M199" s="12">
        <v>0</v>
      </c>
      <c r="N199" s="12">
        <v>0</v>
      </c>
      <c r="O199" s="12">
        <v>0</v>
      </c>
      <c r="P199" s="12">
        <v>0</v>
      </c>
      <c r="Q199" s="12">
        <v>0</v>
      </c>
      <c r="R199" s="12">
        <v>0</v>
      </c>
      <c r="S199" s="12">
        <v>0</v>
      </c>
      <c r="T199" s="12"/>
      <c r="U199" s="12"/>
      <c r="V199" s="12"/>
      <c r="W199" s="12">
        <v>15199.75</v>
      </c>
      <c r="X199" s="12"/>
      <c r="Y199" s="12">
        <v>0</v>
      </c>
      <c r="Z199" s="12">
        <v>0</v>
      </c>
      <c r="AA199" s="12">
        <v>0</v>
      </c>
      <c r="AB199" s="12">
        <v>0</v>
      </c>
      <c r="AC199" s="12">
        <v>0</v>
      </c>
      <c r="AD199" s="12"/>
      <c r="AE199" s="12">
        <v>0</v>
      </c>
      <c r="AF199" s="12">
        <v>0</v>
      </c>
      <c r="AG199" s="75">
        <f>SUM(F199:AF199)</f>
        <v>15199.75</v>
      </c>
      <c r="AH199" s="7">
        <v>196</v>
      </c>
    </row>
    <row r="200" spans="3:34" x14ac:dyDescent="0.25">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75"/>
      <c r="AH200" s="7">
        <v>197</v>
      </c>
    </row>
    <row r="201" spans="3:34" x14ac:dyDescent="0.25">
      <c r="C201" s="111">
        <v>293</v>
      </c>
      <c r="D201" s="111"/>
      <c r="E201" s="111" t="s">
        <v>263</v>
      </c>
      <c r="F201" s="112">
        <f>F202</f>
        <v>0</v>
      </c>
      <c r="G201" s="112">
        <f t="shared" ref="G201:AF201" si="46">G202</f>
        <v>0</v>
      </c>
      <c r="H201" s="112">
        <f t="shared" si="46"/>
        <v>0</v>
      </c>
      <c r="I201" s="112">
        <f t="shared" si="46"/>
        <v>6271668.6900000004</v>
      </c>
      <c r="J201" s="112">
        <f t="shared" si="46"/>
        <v>0</v>
      </c>
      <c r="K201" s="112">
        <f t="shared" si="46"/>
        <v>0</v>
      </c>
      <c r="L201" s="112">
        <f t="shared" si="46"/>
        <v>0</v>
      </c>
      <c r="M201" s="112">
        <f t="shared" si="46"/>
        <v>0</v>
      </c>
      <c r="N201" s="112">
        <f t="shared" si="46"/>
        <v>0</v>
      </c>
      <c r="O201" s="112">
        <f t="shared" si="46"/>
        <v>0</v>
      </c>
      <c r="P201" s="112">
        <f t="shared" si="46"/>
        <v>13513948.65</v>
      </c>
      <c r="Q201" s="112">
        <f t="shared" si="46"/>
        <v>0</v>
      </c>
      <c r="R201" s="112">
        <f t="shared" si="46"/>
        <v>0</v>
      </c>
      <c r="S201" s="112">
        <f t="shared" si="46"/>
        <v>0</v>
      </c>
      <c r="T201" s="112">
        <f t="shared" si="46"/>
        <v>0</v>
      </c>
      <c r="U201" s="112">
        <f t="shared" si="46"/>
        <v>0</v>
      </c>
      <c r="V201" s="112">
        <f t="shared" si="46"/>
        <v>0</v>
      </c>
      <c r="W201" s="112">
        <f t="shared" si="46"/>
        <v>0</v>
      </c>
      <c r="X201" s="112">
        <f t="shared" si="46"/>
        <v>0</v>
      </c>
      <c r="Y201" s="112">
        <f t="shared" si="46"/>
        <v>0</v>
      </c>
      <c r="Z201" s="112">
        <f t="shared" si="46"/>
        <v>0</v>
      </c>
      <c r="AA201" s="112">
        <f t="shared" si="46"/>
        <v>0</v>
      </c>
      <c r="AB201" s="112">
        <f t="shared" si="46"/>
        <v>1514513.11</v>
      </c>
      <c r="AC201" s="112">
        <f t="shared" si="46"/>
        <v>0</v>
      </c>
      <c r="AD201" s="112">
        <f t="shared" si="46"/>
        <v>0</v>
      </c>
      <c r="AE201" s="112">
        <f t="shared" si="46"/>
        <v>0</v>
      </c>
      <c r="AF201" s="112">
        <f t="shared" si="46"/>
        <v>0</v>
      </c>
      <c r="AG201" s="112">
        <f>SUM(F201:AF201)</f>
        <v>21300130.449999999</v>
      </c>
      <c r="AH201" s="7">
        <v>198</v>
      </c>
    </row>
    <row r="202" spans="3:34" x14ac:dyDescent="0.25">
      <c r="D202" s="7">
        <v>2930</v>
      </c>
      <c r="E202" s="7" t="s">
        <v>263</v>
      </c>
      <c r="F202" s="12">
        <v>0</v>
      </c>
      <c r="G202" s="12">
        <v>0</v>
      </c>
      <c r="H202" s="12">
        <v>0</v>
      </c>
      <c r="I202" s="12">
        <v>6271668.6900000004</v>
      </c>
      <c r="J202" s="12"/>
      <c r="K202" s="12">
        <v>0</v>
      </c>
      <c r="L202" s="12">
        <v>0</v>
      </c>
      <c r="M202" s="12">
        <v>0</v>
      </c>
      <c r="N202" s="12">
        <v>0</v>
      </c>
      <c r="O202" s="12">
        <v>0</v>
      </c>
      <c r="P202" s="12">
        <v>13513948.65</v>
      </c>
      <c r="Q202" s="12">
        <v>0</v>
      </c>
      <c r="R202" s="12">
        <v>0</v>
      </c>
      <c r="S202" s="12">
        <v>0</v>
      </c>
      <c r="T202" s="12"/>
      <c r="U202" s="12"/>
      <c r="V202" s="12"/>
      <c r="W202" s="12">
        <v>0</v>
      </c>
      <c r="X202" s="12"/>
      <c r="Y202" s="12">
        <v>0</v>
      </c>
      <c r="Z202" s="12">
        <v>0</v>
      </c>
      <c r="AA202" s="12">
        <v>0</v>
      </c>
      <c r="AB202" s="12">
        <v>1514513.11</v>
      </c>
      <c r="AC202" s="12">
        <v>0</v>
      </c>
      <c r="AD202" s="12"/>
      <c r="AE202" s="12">
        <v>0</v>
      </c>
      <c r="AF202" s="12">
        <v>0</v>
      </c>
      <c r="AG202" s="75">
        <f>SUM(F202:AF202)</f>
        <v>21300130.449999999</v>
      </c>
      <c r="AH202" s="7">
        <v>199</v>
      </c>
    </row>
    <row r="203" spans="3:34" x14ac:dyDescent="0.25">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75"/>
      <c r="AH203" s="7">
        <v>200</v>
      </c>
    </row>
    <row r="204" spans="3:34" x14ac:dyDescent="0.25">
      <c r="C204" s="111">
        <v>294</v>
      </c>
      <c r="D204" s="111"/>
      <c r="E204" s="111" t="s">
        <v>264</v>
      </c>
      <c r="F204" s="112">
        <f>F205</f>
        <v>0</v>
      </c>
      <c r="G204" s="112">
        <f t="shared" ref="G204:AF204" si="47">G205</f>
        <v>0</v>
      </c>
      <c r="H204" s="112">
        <f t="shared" si="47"/>
        <v>0</v>
      </c>
      <c r="I204" s="112">
        <f t="shared" si="47"/>
        <v>0</v>
      </c>
      <c r="J204" s="112">
        <f t="shared" si="47"/>
        <v>0</v>
      </c>
      <c r="K204" s="112">
        <f t="shared" si="47"/>
        <v>0</v>
      </c>
      <c r="L204" s="112">
        <f t="shared" si="47"/>
        <v>0</v>
      </c>
      <c r="M204" s="112">
        <f t="shared" si="47"/>
        <v>0</v>
      </c>
      <c r="N204" s="112">
        <f t="shared" si="47"/>
        <v>0</v>
      </c>
      <c r="O204" s="112">
        <f t="shared" si="47"/>
        <v>0</v>
      </c>
      <c r="P204" s="112">
        <f t="shared" si="47"/>
        <v>141113.85999999999</v>
      </c>
      <c r="Q204" s="112">
        <f t="shared" si="47"/>
        <v>11638.03</v>
      </c>
      <c r="R204" s="112">
        <f t="shared" si="47"/>
        <v>0</v>
      </c>
      <c r="S204" s="112">
        <f t="shared" si="47"/>
        <v>0</v>
      </c>
      <c r="T204" s="112">
        <f t="shared" si="47"/>
        <v>0</v>
      </c>
      <c r="U204" s="112">
        <f t="shared" si="47"/>
        <v>0</v>
      </c>
      <c r="V204" s="112">
        <f t="shared" si="47"/>
        <v>0</v>
      </c>
      <c r="W204" s="112">
        <f t="shared" si="47"/>
        <v>0</v>
      </c>
      <c r="X204" s="112">
        <f t="shared" si="47"/>
        <v>0</v>
      </c>
      <c r="Y204" s="112">
        <f t="shared" si="47"/>
        <v>0</v>
      </c>
      <c r="Z204" s="112">
        <f t="shared" si="47"/>
        <v>0</v>
      </c>
      <c r="AA204" s="112">
        <f t="shared" si="47"/>
        <v>0</v>
      </c>
      <c r="AB204" s="112">
        <f t="shared" si="47"/>
        <v>79539.45</v>
      </c>
      <c r="AC204" s="112">
        <f t="shared" si="47"/>
        <v>0</v>
      </c>
      <c r="AD204" s="112">
        <f t="shared" si="47"/>
        <v>0</v>
      </c>
      <c r="AE204" s="112">
        <f t="shared" si="47"/>
        <v>270000</v>
      </c>
      <c r="AF204" s="112">
        <f t="shared" si="47"/>
        <v>0</v>
      </c>
      <c r="AG204" s="112">
        <f>SUM(F204:AF204)</f>
        <v>502291.33999999997</v>
      </c>
      <c r="AH204" s="7">
        <v>201</v>
      </c>
    </row>
    <row r="205" spans="3:34" x14ac:dyDescent="0.25">
      <c r="D205" s="7">
        <v>2940</v>
      </c>
      <c r="E205" s="7" t="s">
        <v>264</v>
      </c>
      <c r="F205" s="12">
        <v>0</v>
      </c>
      <c r="G205" s="12">
        <v>0</v>
      </c>
      <c r="H205" s="12">
        <v>0</v>
      </c>
      <c r="I205" s="12">
        <v>0</v>
      </c>
      <c r="J205" s="12"/>
      <c r="K205" s="12">
        <v>0</v>
      </c>
      <c r="L205" s="12">
        <v>0</v>
      </c>
      <c r="M205" s="12">
        <v>0</v>
      </c>
      <c r="N205" s="12">
        <v>0</v>
      </c>
      <c r="O205" s="12">
        <v>0</v>
      </c>
      <c r="P205" s="12">
        <v>141113.85999999999</v>
      </c>
      <c r="Q205" s="12">
        <v>11638.03</v>
      </c>
      <c r="R205" s="12">
        <v>0</v>
      </c>
      <c r="S205" s="12">
        <v>0</v>
      </c>
      <c r="T205" s="12"/>
      <c r="U205" s="12"/>
      <c r="V205" s="12"/>
      <c r="W205" s="12">
        <v>0</v>
      </c>
      <c r="X205" s="12"/>
      <c r="Y205" s="12">
        <v>0</v>
      </c>
      <c r="Z205" s="12">
        <v>0</v>
      </c>
      <c r="AA205" s="12">
        <v>0</v>
      </c>
      <c r="AB205" s="12">
        <v>79539.45</v>
      </c>
      <c r="AC205" s="12">
        <v>0</v>
      </c>
      <c r="AD205" s="12"/>
      <c r="AE205" s="12">
        <v>270000</v>
      </c>
      <c r="AF205" s="12">
        <v>0</v>
      </c>
      <c r="AG205" s="75">
        <f>SUM(F205:AF205)</f>
        <v>502291.33999999997</v>
      </c>
      <c r="AH205" s="7">
        <v>202</v>
      </c>
    </row>
    <row r="206" spans="3:34" x14ac:dyDescent="0.25">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75"/>
      <c r="AH206" s="7">
        <v>203</v>
      </c>
    </row>
    <row r="207" spans="3:34" x14ac:dyDescent="0.25">
      <c r="C207" s="111">
        <v>295</v>
      </c>
      <c r="D207" s="111"/>
      <c r="E207" s="111" t="s">
        <v>265</v>
      </c>
      <c r="F207" s="112">
        <f>F208</f>
        <v>0</v>
      </c>
      <c r="G207" s="112">
        <f t="shared" ref="G207:AF207" si="48">G208</f>
        <v>63928000</v>
      </c>
      <c r="H207" s="112">
        <f>H208</f>
        <v>0</v>
      </c>
      <c r="I207" s="112">
        <f t="shared" si="48"/>
        <v>0</v>
      </c>
      <c r="J207" s="112">
        <f t="shared" si="48"/>
        <v>0</v>
      </c>
      <c r="K207" s="112">
        <f t="shared" si="48"/>
        <v>548381.36</v>
      </c>
      <c r="L207" s="112">
        <f t="shared" si="48"/>
        <v>0</v>
      </c>
      <c r="M207" s="112">
        <f t="shared" si="48"/>
        <v>0</v>
      </c>
      <c r="N207" s="112">
        <f t="shared" si="48"/>
        <v>0</v>
      </c>
      <c r="O207" s="112">
        <f t="shared" si="48"/>
        <v>0</v>
      </c>
      <c r="P207" s="112">
        <f t="shared" si="48"/>
        <v>0</v>
      </c>
      <c r="Q207" s="112">
        <f t="shared" si="48"/>
        <v>0</v>
      </c>
      <c r="R207" s="112">
        <f t="shared" si="48"/>
        <v>0</v>
      </c>
      <c r="S207" s="112">
        <f t="shared" si="48"/>
        <v>0</v>
      </c>
      <c r="T207" s="112">
        <f t="shared" si="48"/>
        <v>0</v>
      </c>
      <c r="U207" s="112">
        <f t="shared" si="48"/>
        <v>0</v>
      </c>
      <c r="V207" s="112">
        <f t="shared" si="48"/>
        <v>0</v>
      </c>
      <c r="W207" s="112">
        <f t="shared" si="48"/>
        <v>0</v>
      </c>
      <c r="X207" s="112">
        <f t="shared" si="48"/>
        <v>0</v>
      </c>
      <c r="Y207" s="112">
        <f t="shared" si="48"/>
        <v>0</v>
      </c>
      <c r="Z207" s="112">
        <f t="shared" si="48"/>
        <v>1648079</v>
      </c>
      <c r="AA207" s="112">
        <f t="shared" si="48"/>
        <v>0</v>
      </c>
      <c r="AB207" s="112">
        <f t="shared" si="48"/>
        <v>0</v>
      </c>
      <c r="AC207" s="112">
        <f t="shared" si="48"/>
        <v>0</v>
      </c>
      <c r="AD207" s="112">
        <f t="shared" si="48"/>
        <v>0</v>
      </c>
      <c r="AE207" s="112">
        <f t="shared" si="48"/>
        <v>0</v>
      </c>
      <c r="AF207" s="112">
        <f t="shared" si="48"/>
        <v>0</v>
      </c>
      <c r="AG207" s="112">
        <f>SUM(F207:AF207)</f>
        <v>66124460.359999999</v>
      </c>
      <c r="AH207" s="7">
        <v>204</v>
      </c>
    </row>
    <row r="208" spans="3:34" x14ac:dyDescent="0.25">
      <c r="D208" s="7">
        <v>2950</v>
      </c>
      <c r="E208" s="7" t="s">
        <v>265</v>
      </c>
      <c r="F208" s="12">
        <v>0</v>
      </c>
      <c r="G208" s="12">
        <v>63928000</v>
      </c>
      <c r="H208" s="12">
        <v>0</v>
      </c>
      <c r="I208" s="12">
        <v>0</v>
      </c>
      <c r="J208" s="12"/>
      <c r="K208" s="12">
        <v>548381.36</v>
      </c>
      <c r="L208" s="12">
        <v>0</v>
      </c>
      <c r="M208" s="12">
        <v>0</v>
      </c>
      <c r="N208" s="12">
        <v>0</v>
      </c>
      <c r="O208" s="12">
        <v>0</v>
      </c>
      <c r="P208" s="12">
        <v>0</v>
      </c>
      <c r="Q208" s="12">
        <v>0</v>
      </c>
      <c r="R208" s="12">
        <v>0</v>
      </c>
      <c r="S208" s="12">
        <v>0</v>
      </c>
      <c r="T208" s="12"/>
      <c r="U208" s="12"/>
      <c r="V208" s="12"/>
      <c r="W208" s="12">
        <v>0</v>
      </c>
      <c r="X208" s="12"/>
      <c r="Y208" s="12">
        <v>0</v>
      </c>
      <c r="Z208" s="12">
        <v>1648079</v>
      </c>
      <c r="AA208" s="12">
        <v>0</v>
      </c>
      <c r="AB208" s="12">
        <v>0</v>
      </c>
      <c r="AC208" s="12">
        <v>0</v>
      </c>
      <c r="AD208" s="12"/>
      <c r="AE208" s="12">
        <v>0</v>
      </c>
      <c r="AF208" s="12">
        <v>0</v>
      </c>
      <c r="AG208" s="75">
        <f>SUM(F208:AF208)</f>
        <v>66124460.359999999</v>
      </c>
      <c r="AH208" s="7">
        <v>205</v>
      </c>
    </row>
    <row r="209" spans="3:34" x14ac:dyDescent="0.25">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75"/>
      <c r="AH209" s="7">
        <v>206</v>
      </c>
    </row>
    <row r="210" spans="3:34" x14ac:dyDescent="0.25">
      <c r="C210" s="111">
        <v>296</v>
      </c>
      <c r="D210" s="111"/>
      <c r="E210" s="111" t="s">
        <v>266</v>
      </c>
      <c r="F210" s="112">
        <f>F211</f>
        <v>0</v>
      </c>
      <c r="G210" s="112">
        <f t="shared" ref="G210:AF210" si="49">G211</f>
        <v>0</v>
      </c>
      <c r="H210" s="112">
        <f t="shared" si="49"/>
        <v>0</v>
      </c>
      <c r="I210" s="112">
        <f t="shared" si="49"/>
        <v>0</v>
      </c>
      <c r="J210" s="112">
        <f t="shared" si="49"/>
        <v>0</v>
      </c>
      <c r="K210" s="112">
        <f t="shared" si="49"/>
        <v>0</v>
      </c>
      <c r="L210" s="112">
        <f t="shared" si="49"/>
        <v>0</v>
      </c>
      <c r="M210" s="112">
        <f t="shared" si="49"/>
        <v>0</v>
      </c>
      <c r="N210" s="112">
        <f t="shared" si="49"/>
        <v>0</v>
      </c>
      <c r="O210" s="112">
        <f t="shared" si="49"/>
        <v>0</v>
      </c>
      <c r="P210" s="112">
        <f t="shared" si="49"/>
        <v>0</v>
      </c>
      <c r="Q210" s="112">
        <f t="shared" si="49"/>
        <v>0</v>
      </c>
      <c r="R210" s="112">
        <f t="shared" si="49"/>
        <v>0</v>
      </c>
      <c r="S210" s="112">
        <f t="shared" si="49"/>
        <v>0</v>
      </c>
      <c r="T210" s="112">
        <f t="shared" si="49"/>
        <v>0</v>
      </c>
      <c r="U210" s="112">
        <f t="shared" si="49"/>
        <v>0</v>
      </c>
      <c r="V210" s="112">
        <f t="shared" si="49"/>
        <v>0</v>
      </c>
      <c r="W210" s="112">
        <f t="shared" si="49"/>
        <v>0</v>
      </c>
      <c r="X210" s="112">
        <f t="shared" si="49"/>
        <v>0</v>
      </c>
      <c r="Y210" s="112">
        <f t="shared" si="49"/>
        <v>0</v>
      </c>
      <c r="Z210" s="112">
        <f t="shared" si="49"/>
        <v>0</v>
      </c>
      <c r="AA210" s="112">
        <f t="shared" si="49"/>
        <v>0</v>
      </c>
      <c r="AB210" s="112">
        <f t="shared" si="49"/>
        <v>0</v>
      </c>
      <c r="AC210" s="112">
        <f t="shared" si="49"/>
        <v>0</v>
      </c>
      <c r="AD210" s="112">
        <f t="shared" si="49"/>
        <v>0</v>
      </c>
      <c r="AE210" s="112">
        <f t="shared" si="49"/>
        <v>0</v>
      </c>
      <c r="AF210" s="112">
        <f t="shared" si="49"/>
        <v>0</v>
      </c>
      <c r="AG210" s="112">
        <f>SUM(F210:AF210)</f>
        <v>0</v>
      </c>
      <c r="AH210" s="7">
        <v>207</v>
      </c>
    </row>
    <row r="211" spans="3:34" x14ac:dyDescent="0.25">
      <c r="D211" s="7">
        <v>2960</v>
      </c>
      <c r="E211" s="7" t="s">
        <v>266</v>
      </c>
      <c r="F211" s="12">
        <v>0</v>
      </c>
      <c r="G211" s="12">
        <v>0</v>
      </c>
      <c r="H211" s="12">
        <v>0</v>
      </c>
      <c r="I211" s="12">
        <v>0</v>
      </c>
      <c r="J211" s="12"/>
      <c r="K211" s="12">
        <v>0</v>
      </c>
      <c r="L211" s="12">
        <v>0</v>
      </c>
      <c r="M211" s="12">
        <v>0</v>
      </c>
      <c r="N211" s="12">
        <v>0</v>
      </c>
      <c r="O211" s="12">
        <v>0</v>
      </c>
      <c r="P211" s="12">
        <v>0</v>
      </c>
      <c r="Q211" s="12">
        <v>0</v>
      </c>
      <c r="R211" s="12">
        <v>0</v>
      </c>
      <c r="S211" s="12">
        <v>0</v>
      </c>
      <c r="T211" s="12"/>
      <c r="U211" s="12"/>
      <c r="V211" s="12"/>
      <c r="W211" s="12">
        <v>0</v>
      </c>
      <c r="X211" s="12"/>
      <c r="Y211" s="12">
        <v>0</v>
      </c>
      <c r="Z211" s="12">
        <v>0</v>
      </c>
      <c r="AA211" s="12">
        <v>0</v>
      </c>
      <c r="AB211" s="12">
        <v>0</v>
      </c>
      <c r="AC211" s="12">
        <v>0</v>
      </c>
      <c r="AD211" s="12"/>
      <c r="AE211" s="12">
        <v>0</v>
      </c>
      <c r="AF211" s="12">
        <v>0</v>
      </c>
      <c r="AG211" s="75">
        <f>SUM(F211:AF211)</f>
        <v>0</v>
      </c>
      <c r="AH211" s="7">
        <v>208</v>
      </c>
    </row>
    <row r="212" spans="3:34" x14ac:dyDescent="0.25">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75"/>
      <c r="AH212" s="7">
        <v>209</v>
      </c>
    </row>
    <row r="213" spans="3:34" x14ac:dyDescent="0.25">
      <c r="C213" s="111">
        <v>298</v>
      </c>
      <c r="D213" s="111"/>
      <c r="E213" s="111" t="s">
        <v>267</v>
      </c>
      <c r="F213" s="112">
        <f>F214</f>
        <v>0</v>
      </c>
      <c r="G213" s="112">
        <f t="shared" ref="G213:AF213" si="50">G214</f>
        <v>0</v>
      </c>
      <c r="H213" s="112">
        <f t="shared" si="50"/>
        <v>0</v>
      </c>
      <c r="I213" s="112">
        <f t="shared" si="50"/>
        <v>0</v>
      </c>
      <c r="J213" s="112">
        <f t="shared" si="50"/>
        <v>0</v>
      </c>
      <c r="K213" s="112">
        <f t="shared" si="50"/>
        <v>0</v>
      </c>
      <c r="L213" s="112">
        <f t="shared" si="50"/>
        <v>0</v>
      </c>
      <c r="M213" s="112">
        <f t="shared" si="50"/>
        <v>0</v>
      </c>
      <c r="N213" s="112">
        <f t="shared" si="50"/>
        <v>0</v>
      </c>
      <c r="O213" s="112">
        <f t="shared" si="50"/>
        <v>0</v>
      </c>
      <c r="P213" s="112">
        <f t="shared" si="50"/>
        <v>0</v>
      </c>
      <c r="Q213" s="112">
        <f t="shared" si="50"/>
        <v>0</v>
      </c>
      <c r="R213" s="112">
        <f t="shared" si="50"/>
        <v>0</v>
      </c>
      <c r="S213" s="112">
        <f t="shared" si="50"/>
        <v>0</v>
      </c>
      <c r="T213" s="112">
        <f t="shared" si="50"/>
        <v>0</v>
      </c>
      <c r="U213" s="112">
        <f t="shared" si="50"/>
        <v>0</v>
      </c>
      <c r="V213" s="112">
        <f t="shared" si="50"/>
        <v>0</v>
      </c>
      <c r="W213" s="112">
        <f t="shared" si="50"/>
        <v>0</v>
      </c>
      <c r="X213" s="112">
        <f t="shared" si="50"/>
        <v>0</v>
      </c>
      <c r="Y213" s="112">
        <f t="shared" si="50"/>
        <v>0</v>
      </c>
      <c r="Z213" s="112">
        <f t="shared" si="50"/>
        <v>0</v>
      </c>
      <c r="AA213" s="112">
        <f t="shared" si="50"/>
        <v>0</v>
      </c>
      <c r="AB213" s="112">
        <f t="shared" si="50"/>
        <v>0</v>
      </c>
      <c r="AC213" s="112">
        <f t="shared" si="50"/>
        <v>0</v>
      </c>
      <c r="AD213" s="112">
        <f t="shared" si="50"/>
        <v>0</v>
      </c>
      <c r="AE213" s="112">
        <f t="shared" si="50"/>
        <v>0</v>
      </c>
      <c r="AF213" s="112">
        <f t="shared" si="50"/>
        <v>0</v>
      </c>
      <c r="AG213" s="112">
        <f>SUM(F213:AF213)</f>
        <v>0</v>
      </c>
      <c r="AH213" s="7">
        <v>210</v>
      </c>
    </row>
    <row r="214" spans="3:34" x14ac:dyDescent="0.25">
      <c r="D214" s="7">
        <v>2980</v>
      </c>
      <c r="E214" s="7" t="s">
        <v>267</v>
      </c>
      <c r="F214" s="12">
        <v>0</v>
      </c>
      <c r="G214" s="12">
        <v>0</v>
      </c>
      <c r="H214" s="12">
        <v>0</v>
      </c>
      <c r="I214" s="12">
        <v>0</v>
      </c>
      <c r="J214" s="12"/>
      <c r="K214" s="12">
        <v>0</v>
      </c>
      <c r="L214" s="12">
        <v>0</v>
      </c>
      <c r="M214" s="12">
        <v>0</v>
      </c>
      <c r="N214" s="12">
        <v>0</v>
      </c>
      <c r="O214" s="12">
        <v>0</v>
      </c>
      <c r="P214" s="12">
        <v>0</v>
      </c>
      <c r="Q214" s="12">
        <v>0</v>
      </c>
      <c r="R214" s="12">
        <v>0</v>
      </c>
      <c r="S214" s="12">
        <v>0</v>
      </c>
      <c r="T214" s="12"/>
      <c r="U214" s="12"/>
      <c r="V214" s="12"/>
      <c r="W214" s="12">
        <v>0</v>
      </c>
      <c r="X214" s="12"/>
      <c r="Y214" s="12">
        <v>0</v>
      </c>
      <c r="Z214" s="12">
        <v>0</v>
      </c>
      <c r="AA214" s="12">
        <v>0</v>
      </c>
      <c r="AB214" s="12">
        <v>0</v>
      </c>
      <c r="AC214" s="12">
        <v>0</v>
      </c>
      <c r="AD214" s="12"/>
      <c r="AE214" s="12">
        <v>0</v>
      </c>
      <c r="AF214" s="12">
        <v>0</v>
      </c>
      <c r="AG214" s="75">
        <f>SUM(F214:AF214)</f>
        <v>0</v>
      </c>
      <c r="AH214" s="7">
        <v>211</v>
      </c>
    </row>
    <row r="215" spans="3:34" x14ac:dyDescent="0.25">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75"/>
      <c r="AH215" s="7">
        <v>212</v>
      </c>
    </row>
    <row r="216" spans="3:34" x14ac:dyDescent="0.25">
      <c r="C216" s="111">
        <v>299</v>
      </c>
      <c r="D216" s="111"/>
      <c r="E216" s="111" t="s">
        <v>441</v>
      </c>
      <c r="F216" s="112">
        <f>F217+F218</f>
        <v>768182.21</v>
      </c>
      <c r="G216" s="112">
        <f t="shared" ref="G216:AF216" si="51">G217+G218</f>
        <v>0</v>
      </c>
      <c r="H216" s="112">
        <f t="shared" si="51"/>
        <v>0</v>
      </c>
      <c r="I216" s="112">
        <f t="shared" si="51"/>
        <v>2057946.99</v>
      </c>
      <c r="J216" s="112">
        <f t="shared" si="51"/>
        <v>0</v>
      </c>
      <c r="K216" s="112">
        <f t="shared" si="51"/>
        <v>0</v>
      </c>
      <c r="L216" s="112">
        <f t="shared" si="51"/>
        <v>0</v>
      </c>
      <c r="M216" s="112">
        <f t="shared" si="51"/>
        <v>0</v>
      </c>
      <c r="N216" s="112">
        <f t="shared" si="51"/>
        <v>0</v>
      </c>
      <c r="O216" s="112">
        <f t="shared" si="51"/>
        <v>21341.26</v>
      </c>
      <c r="P216" s="112">
        <f t="shared" si="51"/>
        <v>1118000.53</v>
      </c>
      <c r="Q216" s="112">
        <f t="shared" si="51"/>
        <v>70000</v>
      </c>
      <c r="R216" s="112">
        <f t="shared" si="51"/>
        <v>2570.59</v>
      </c>
      <c r="S216" s="112">
        <f t="shared" si="51"/>
        <v>40479.120000000003</v>
      </c>
      <c r="T216" s="112">
        <f t="shared" si="51"/>
        <v>0</v>
      </c>
      <c r="U216" s="112">
        <f t="shared" si="51"/>
        <v>0</v>
      </c>
      <c r="V216" s="112">
        <f t="shared" si="51"/>
        <v>0</v>
      </c>
      <c r="W216" s="112">
        <f t="shared" si="51"/>
        <v>0</v>
      </c>
      <c r="X216" s="112">
        <f t="shared" si="51"/>
        <v>0</v>
      </c>
      <c r="Y216" s="112">
        <f>Y217+Y218</f>
        <v>789939.01</v>
      </c>
      <c r="Z216" s="112">
        <f t="shared" si="51"/>
        <v>894873.80999999994</v>
      </c>
      <c r="AA216" s="112">
        <f t="shared" si="51"/>
        <v>304059.52000000002</v>
      </c>
      <c r="AB216" s="112">
        <f t="shared" si="51"/>
        <v>0</v>
      </c>
      <c r="AC216" s="112">
        <f t="shared" si="51"/>
        <v>349120.01</v>
      </c>
      <c r="AD216" s="112">
        <f t="shared" si="51"/>
        <v>0</v>
      </c>
      <c r="AE216" s="112">
        <f t="shared" si="51"/>
        <v>291666.32</v>
      </c>
      <c r="AF216" s="112">
        <f t="shared" si="51"/>
        <v>-65480.75</v>
      </c>
      <c r="AG216" s="112">
        <f>SUM(F216:AF216)</f>
        <v>6642698.6199999992</v>
      </c>
      <c r="AH216" s="7">
        <v>213</v>
      </c>
    </row>
    <row r="217" spans="3:34" x14ac:dyDescent="0.25">
      <c r="D217" s="7">
        <v>2990</v>
      </c>
      <c r="E217" s="7" t="s">
        <v>441</v>
      </c>
      <c r="F217" s="15">
        <v>0</v>
      </c>
      <c r="G217" s="15">
        <v>0</v>
      </c>
      <c r="H217" s="15">
        <v>0</v>
      </c>
      <c r="I217" s="15">
        <v>44405.59</v>
      </c>
      <c r="J217" s="15"/>
      <c r="K217" s="15">
        <v>0</v>
      </c>
      <c r="L217" s="15">
        <v>0</v>
      </c>
      <c r="M217" s="15">
        <v>0</v>
      </c>
      <c r="N217" s="15">
        <v>0</v>
      </c>
      <c r="O217" s="15">
        <v>0</v>
      </c>
      <c r="P217" s="15">
        <v>268697.61</v>
      </c>
      <c r="Q217" s="15">
        <v>0</v>
      </c>
      <c r="R217" s="15">
        <v>0</v>
      </c>
      <c r="S217" s="15">
        <v>947.22</v>
      </c>
      <c r="T217" s="15"/>
      <c r="U217" s="15"/>
      <c r="V217" s="15"/>
      <c r="W217" s="15">
        <v>0</v>
      </c>
      <c r="X217" s="15"/>
      <c r="Y217" s="15">
        <v>9217.26</v>
      </c>
      <c r="Z217" s="15">
        <v>-63598.28</v>
      </c>
      <c r="AA217" s="15">
        <v>34988.94</v>
      </c>
      <c r="AB217" s="15">
        <v>0</v>
      </c>
      <c r="AC217" s="15">
        <v>-15808.55</v>
      </c>
      <c r="AD217" s="15"/>
      <c r="AE217" s="15">
        <v>97289.64</v>
      </c>
      <c r="AF217" s="15">
        <v>0</v>
      </c>
      <c r="AG217" s="73">
        <f>SUM(F217:AF217)</f>
        <v>376139.43</v>
      </c>
      <c r="AH217" s="7">
        <v>214</v>
      </c>
    </row>
    <row r="218" spans="3:34" x14ac:dyDescent="0.25">
      <c r="D218" s="7">
        <v>2999</v>
      </c>
      <c r="E218" s="7" t="s">
        <v>842</v>
      </c>
      <c r="F218" s="15">
        <v>768182.21</v>
      </c>
      <c r="G218" s="15">
        <v>0</v>
      </c>
      <c r="H218" s="15">
        <v>0</v>
      </c>
      <c r="I218" s="15">
        <v>2013541.4</v>
      </c>
      <c r="J218" s="15"/>
      <c r="K218" s="15">
        <v>0</v>
      </c>
      <c r="L218" s="15">
        <v>0</v>
      </c>
      <c r="M218" s="15">
        <v>0</v>
      </c>
      <c r="N218" s="15">
        <v>0</v>
      </c>
      <c r="O218" s="15">
        <v>21341.26</v>
      </c>
      <c r="P218" s="16">
        <v>849302.92</v>
      </c>
      <c r="Q218" s="15">
        <v>70000</v>
      </c>
      <c r="R218" s="15">
        <v>2570.59</v>
      </c>
      <c r="S218" s="15">
        <v>39531.9</v>
      </c>
      <c r="T218" s="15"/>
      <c r="U218" s="15"/>
      <c r="V218" s="15"/>
      <c r="W218" s="15">
        <v>0</v>
      </c>
      <c r="X218" s="15"/>
      <c r="Y218" s="15">
        <v>780721.75</v>
      </c>
      <c r="Z218" s="15">
        <v>958472.09</v>
      </c>
      <c r="AA218" s="15">
        <v>269070.58</v>
      </c>
      <c r="AB218" s="15">
        <v>0</v>
      </c>
      <c r="AC218" s="15">
        <v>364928.56</v>
      </c>
      <c r="AD218" s="15"/>
      <c r="AE218" s="15">
        <v>194376.68</v>
      </c>
      <c r="AF218" s="15">
        <v>-65480.75</v>
      </c>
      <c r="AG218" s="73">
        <f>SUM(F218:AF218)</f>
        <v>6266559.1899999985</v>
      </c>
      <c r="AH218" s="7">
        <v>215</v>
      </c>
    </row>
    <row r="219" spans="3:34" x14ac:dyDescent="0.25">
      <c r="F219" s="12"/>
      <c r="G219" s="12"/>
      <c r="H219" s="12"/>
      <c r="I219" s="113"/>
      <c r="J219" s="12"/>
      <c r="K219" s="12"/>
      <c r="L219" s="12"/>
      <c r="M219" s="12"/>
      <c r="N219" s="12"/>
      <c r="O219" s="12"/>
      <c r="P219" s="21"/>
      <c r="Q219" s="12"/>
      <c r="R219" s="12"/>
      <c r="S219" s="12"/>
      <c r="T219" s="12"/>
      <c r="U219" s="12"/>
      <c r="V219" s="12"/>
      <c r="W219" s="12"/>
      <c r="X219" s="12"/>
      <c r="Y219" s="12"/>
      <c r="Z219" s="12"/>
      <c r="AA219" s="12"/>
      <c r="AB219" s="12"/>
      <c r="AC219" s="12"/>
      <c r="AD219" s="12"/>
      <c r="AE219" s="12"/>
      <c r="AF219" s="12"/>
      <c r="AG219" s="75"/>
      <c r="AH219" s="7">
        <v>216</v>
      </c>
    </row>
    <row r="220" spans="3:34" x14ac:dyDescent="0.25">
      <c r="C220" s="114"/>
      <c r="D220" s="114"/>
      <c r="E220" s="114" t="s">
        <v>580</v>
      </c>
      <c r="AH220" s="7">
        <v>217</v>
      </c>
    </row>
    <row r="221" spans="3:34" x14ac:dyDescent="0.25">
      <c r="D221" s="7">
        <v>290</v>
      </c>
      <c r="E221" s="7" t="s">
        <v>817</v>
      </c>
      <c r="F221" s="12">
        <f>'Syndicats comptes 2021'!E156</f>
        <v>0</v>
      </c>
      <c r="G221" s="12">
        <f>'Syndicats comptes 2021'!F156</f>
        <v>0</v>
      </c>
      <c r="H221" s="12">
        <f>'Syndicats comptes 2021'!G156</f>
        <v>0</v>
      </c>
      <c r="I221" s="12">
        <f>'Syndicats comptes 2021'!H156</f>
        <v>0</v>
      </c>
      <c r="J221" s="12">
        <f>'Syndicats comptes 2021'!I156</f>
        <v>0</v>
      </c>
      <c r="K221" s="12">
        <f>'Syndicats comptes 2021'!J156</f>
        <v>0</v>
      </c>
      <c r="L221" s="12">
        <f>'Syndicats comptes 2021'!K156</f>
        <v>0</v>
      </c>
      <c r="M221" s="12">
        <f>'Syndicats comptes 2021'!L156</f>
        <v>0</v>
      </c>
      <c r="N221" s="12">
        <f>'Syndicats comptes 2021'!M156</f>
        <v>0</v>
      </c>
      <c r="O221" s="12">
        <f>'Syndicats comptes 2021'!N156</f>
        <v>0</v>
      </c>
      <c r="P221" s="12">
        <f>'Syndicats comptes 2021'!O156</f>
        <v>0</v>
      </c>
      <c r="Q221" s="12">
        <f>'Syndicats comptes 2021'!P156</f>
        <v>0</v>
      </c>
      <c r="R221" s="12">
        <f>'Syndicats comptes 2021'!Q156</f>
        <v>0</v>
      </c>
      <c r="S221" s="12">
        <f>'Syndicats comptes 2021'!R156</f>
        <v>0</v>
      </c>
      <c r="T221" s="12">
        <f>'Syndicats comptes 2021'!S156</f>
        <v>0</v>
      </c>
      <c r="U221" s="12">
        <f>'Syndicats comptes 2021'!T156</f>
        <v>0</v>
      </c>
      <c r="V221" s="12">
        <f>'Syndicats comptes 2021'!U156</f>
        <v>0</v>
      </c>
      <c r="W221" s="12">
        <f>'Syndicats comptes 2021'!V156</f>
        <v>0</v>
      </c>
      <c r="X221" s="12">
        <f>'Syndicats comptes 2021'!W156</f>
        <v>0</v>
      </c>
      <c r="Y221" s="12">
        <f>'Syndicats comptes 2021'!X156</f>
        <v>0</v>
      </c>
      <c r="Z221" s="12">
        <f>'Syndicats comptes 2021'!Y156</f>
        <v>-81355.89</v>
      </c>
      <c r="AA221" s="12">
        <f>'Syndicats comptes 2021'!Z156</f>
        <v>0</v>
      </c>
      <c r="AB221" s="12">
        <f>'Syndicats comptes 2021'!AA156</f>
        <v>0</v>
      </c>
      <c r="AC221" s="12">
        <f>'Syndicats comptes 2021'!AB156</f>
        <v>0</v>
      </c>
      <c r="AD221" s="12">
        <f>'Syndicats comptes 2021'!AC156</f>
        <v>0</v>
      </c>
      <c r="AE221" s="12">
        <f>'Syndicats comptes 2021'!AD156</f>
        <v>0</v>
      </c>
      <c r="AF221" s="12">
        <f>'Syndicats comptes 2021'!AE156</f>
        <v>48606.400000000001</v>
      </c>
      <c r="AG221" s="12">
        <f>'Syndicats comptes 2021'!AF156</f>
        <v>-32749.489999999998</v>
      </c>
      <c r="AH221" s="7">
        <v>218</v>
      </c>
    </row>
    <row r="222" spans="3:34" x14ac:dyDescent="0.25">
      <c r="D222" s="7">
        <v>2990</v>
      </c>
      <c r="E222" s="7" t="s">
        <v>818</v>
      </c>
      <c r="F222" s="12">
        <f>F217</f>
        <v>0</v>
      </c>
      <c r="G222" s="12">
        <f t="shared" ref="G222:AG222" si="52">G217</f>
        <v>0</v>
      </c>
      <c r="H222" s="12">
        <f t="shared" si="52"/>
        <v>0</v>
      </c>
      <c r="I222" s="12">
        <f t="shared" si="52"/>
        <v>44405.59</v>
      </c>
      <c r="J222" s="12">
        <f t="shared" si="52"/>
        <v>0</v>
      </c>
      <c r="K222" s="12">
        <f t="shared" si="52"/>
        <v>0</v>
      </c>
      <c r="L222" s="12">
        <f t="shared" si="52"/>
        <v>0</v>
      </c>
      <c r="M222" s="12">
        <f t="shared" si="52"/>
        <v>0</v>
      </c>
      <c r="N222" s="12">
        <f t="shared" si="52"/>
        <v>0</v>
      </c>
      <c r="O222" s="12">
        <f t="shared" si="52"/>
        <v>0</v>
      </c>
      <c r="P222" s="12">
        <f t="shared" si="52"/>
        <v>268697.61</v>
      </c>
      <c r="Q222" s="12">
        <f t="shared" si="52"/>
        <v>0</v>
      </c>
      <c r="R222" s="12">
        <f t="shared" si="52"/>
        <v>0</v>
      </c>
      <c r="S222" s="12">
        <f t="shared" si="52"/>
        <v>947.22</v>
      </c>
      <c r="T222" s="12">
        <f t="shared" si="52"/>
        <v>0</v>
      </c>
      <c r="U222" s="12">
        <f t="shared" si="52"/>
        <v>0</v>
      </c>
      <c r="V222" s="12">
        <f t="shared" si="52"/>
        <v>0</v>
      </c>
      <c r="W222" s="12">
        <f t="shared" si="52"/>
        <v>0</v>
      </c>
      <c r="X222" s="12">
        <f t="shared" si="52"/>
        <v>0</v>
      </c>
      <c r="Y222" s="12">
        <f t="shared" si="52"/>
        <v>9217.26</v>
      </c>
      <c r="Z222" s="12">
        <f t="shared" si="52"/>
        <v>-63598.28</v>
      </c>
      <c r="AA222" s="12">
        <f t="shared" si="52"/>
        <v>34988.94</v>
      </c>
      <c r="AB222" s="12">
        <f t="shared" si="52"/>
        <v>0</v>
      </c>
      <c r="AC222" s="12">
        <f t="shared" si="52"/>
        <v>-15808.55</v>
      </c>
      <c r="AD222" s="12">
        <f t="shared" si="52"/>
        <v>0</v>
      </c>
      <c r="AE222" s="12">
        <f t="shared" si="52"/>
        <v>97289.64</v>
      </c>
      <c r="AF222" s="12">
        <f t="shared" si="52"/>
        <v>0</v>
      </c>
      <c r="AG222" s="12">
        <f t="shared" si="52"/>
        <v>376139.43</v>
      </c>
      <c r="AH222" s="7">
        <v>219</v>
      </c>
    </row>
    <row r="223" spans="3:34" x14ac:dyDescent="0.25">
      <c r="AH223" s="7">
        <v>220</v>
      </c>
    </row>
    <row r="224" spans="3:34" x14ac:dyDescent="0.25">
      <c r="E224" s="6" t="s">
        <v>819</v>
      </c>
      <c r="F224" s="75">
        <f>F221+F222</f>
        <v>0</v>
      </c>
      <c r="G224" s="75">
        <f t="shared" ref="G224:AG224" si="53">G221+G222</f>
        <v>0</v>
      </c>
      <c r="H224" s="75">
        <f t="shared" si="53"/>
        <v>0</v>
      </c>
      <c r="I224" s="75">
        <f t="shared" si="53"/>
        <v>44405.59</v>
      </c>
      <c r="J224" s="75">
        <f t="shared" si="53"/>
        <v>0</v>
      </c>
      <c r="K224" s="75">
        <f t="shared" si="53"/>
        <v>0</v>
      </c>
      <c r="L224" s="75">
        <f t="shared" si="53"/>
        <v>0</v>
      </c>
      <c r="M224" s="75">
        <f t="shared" si="53"/>
        <v>0</v>
      </c>
      <c r="N224" s="75">
        <f t="shared" si="53"/>
        <v>0</v>
      </c>
      <c r="O224" s="75">
        <f t="shared" si="53"/>
        <v>0</v>
      </c>
      <c r="P224" s="75">
        <f t="shared" si="53"/>
        <v>268697.61</v>
      </c>
      <c r="Q224" s="75">
        <f t="shared" si="53"/>
        <v>0</v>
      </c>
      <c r="R224" s="75">
        <f t="shared" si="53"/>
        <v>0</v>
      </c>
      <c r="S224" s="75">
        <f t="shared" si="53"/>
        <v>947.22</v>
      </c>
      <c r="T224" s="75">
        <f t="shared" si="53"/>
        <v>0</v>
      </c>
      <c r="U224" s="75">
        <f t="shared" si="53"/>
        <v>0</v>
      </c>
      <c r="V224" s="75">
        <f t="shared" si="53"/>
        <v>0</v>
      </c>
      <c r="W224" s="75">
        <f t="shared" si="53"/>
        <v>0</v>
      </c>
      <c r="X224" s="75">
        <f t="shared" si="53"/>
        <v>0</v>
      </c>
      <c r="Y224" s="75">
        <f t="shared" si="53"/>
        <v>9217.26</v>
      </c>
      <c r="Z224" s="75">
        <f t="shared" si="53"/>
        <v>-144954.16999999998</v>
      </c>
      <c r="AA224" s="75">
        <f t="shared" si="53"/>
        <v>34988.94</v>
      </c>
      <c r="AB224" s="75">
        <f t="shared" si="53"/>
        <v>0</v>
      </c>
      <c r="AC224" s="75">
        <f t="shared" si="53"/>
        <v>-15808.55</v>
      </c>
      <c r="AD224" s="75">
        <f t="shared" si="53"/>
        <v>0</v>
      </c>
      <c r="AE224" s="75">
        <f>AE221+AE222</f>
        <v>97289.64</v>
      </c>
      <c r="AF224" s="75">
        <f t="shared" si="53"/>
        <v>48606.400000000001</v>
      </c>
      <c r="AG224" s="75">
        <f t="shared" si="53"/>
        <v>343389.94</v>
      </c>
      <c r="AH224" s="7">
        <v>221</v>
      </c>
    </row>
    <row r="225" spans="5:34" x14ac:dyDescent="0.25">
      <c r="N225" s="12"/>
      <c r="AG225" s="12"/>
      <c r="AH225" s="7">
        <v>222</v>
      </c>
    </row>
    <row r="226" spans="5:34" x14ac:dyDescent="0.25">
      <c r="E226" s="77" t="s">
        <v>581</v>
      </c>
      <c r="F226" s="21">
        <f>F5-F121</f>
        <v>0</v>
      </c>
      <c r="G226" s="21">
        <f t="shared" ref="G226:AG226" si="54">G5-G121</f>
        <v>0</v>
      </c>
      <c r="H226" s="21">
        <f t="shared" si="54"/>
        <v>0</v>
      </c>
      <c r="I226" s="21">
        <f t="shared" si="54"/>
        <v>0</v>
      </c>
      <c r="J226" s="21">
        <f t="shared" si="54"/>
        <v>0</v>
      </c>
      <c r="K226" s="21">
        <f t="shared" si="54"/>
        <v>0</v>
      </c>
      <c r="L226" s="21">
        <f t="shared" si="54"/>
        <v>0</v>
      </c>
      <c r="M226" s="21">
        <f t="shared" si="54"/>
        <v>0</v>
      </c>
      <c r="N226" s="21">
        <f t="shared" si="54"/>
        <v>0</v>
      </c>
      <c r="O226" s="21">
        <f t="shared" si="54"/>
        <v>0</v>
      </c>
      <c r="P226" s="21">
        <f t="shared" si="54"/>
        <v>0</v>
      </c>
      <c r="Q226" s="21">
        <f t="shared" si="54"/>
        <v>0</v>
      </c>
      <c r="R226" s="21">
        <f t="shared" si="54"/>
        <v>0</v>
      </c>
      <c r="S226" s="21">
        <f t="shared" si="54"/>
        <v>0</v>
      </c>
      <c r="T226" s="21">
        <f t="shared" si="54"/>
        <v>0</v>
      </c>
      <c r="U226" s="21">
        <f t="shared" si="54"/>
        <v>0</v>
      </c>
      <c r="V226" s="21">
        <f t="shared" si="54"/>
        <v>0</v>
      </c>
      <c r="W226" s="21">
        <f t="shared" si="54"/>
        <v>0</v>
      </c>
      <c r="X226" s="21">
        <f t="shared" si="54"/>
        <v>0</v>
      </c>
      <c r="Y226" s="21">
        <f t="shared" si="54"/>
        <v>0</v>
      </c>
      <c r="Z226" s="21">
        <f t="shared" si="54"/>
        <v>0</v>
      </c>
      <c r="AA226" s="21">
        <f t="shared" si="54"/>
        <v>0</v>
      </c>
      <c r="AB226" s="21">
        <f t="shared" si="54"/>
        <v>0</v>
      </c>
      <c r="AC226" s="21">
        <f t="shared" si="54"/>
        <v>0</v>
      </c>
      <c r="AD226" s="21">
        <f t="shared" si="54"/>
        <v>0</v>
      </c>
      <c r="AE226" s="21">
        <f t="shared" si="54"/>
        <v>0</v>
      </c>
      <c r="AF226" s="21">
        <f t="shared" si="54"/>
        <v>0</v>
      </c>
      <c r="AG226" s="21">
        <f t="shared" si="54"/>
        <v>0</v>
      </c>
      <c r="AH226" s="7">
        <v>223</v>
      </c>
    </row>
    <row r="227" spans="5:34" x14ac:dyDescent="0.25">
      <c r="AH227" s="7">
        <v>224</v>
      </c>
    </row>
    <row r="228" spans="5:34" x14ac:dyDescent="0.25">
      <c r="AE228" s="12"/>
    </row>
  </sheetData>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2:F230"/>
  <sheetViews>
    <sheetView workbookViewId="0">
      <selection activeCell="E5" sqref="E5"/>
    </sheetView>
  </sheetViews>
  <sheetFormatPr baseColWidth="10" defaultColWidth="11.44140625" defaultRowHeight="13.8" x14ac:dyDescent="0.25"/>
  <cols>
    <col min="1" max="3" width="4.6640625" style="7" customWidth="1"/>
    <col min="4" max="4" width="9" style="7" customWidth="1"/>
    <col min="5" max="5" width="63.5546875" style="7" customWidth="1"/>
    <col min="6" max="6" width="22.6640625" style="7" customWidth="1"/>
    <col min="7" max="16384" width="11.44140625" style="7"/>
  </cols>
  <sheetData>
    <row r="2" spans="1:6" ht="21" x14ac:dyDescent="0.4">
      <c r="A2" s="79" t="s">
        <v>823</v>
      </c>
      <c r="B2" s="6"/>
      <c r="C2" s="6"/>
      <c r="D2" s="6"/>
      <c r="E2" s="6"/>
    </row>
    <row r="4" spans="1:6" ht="14.4" thickBot="1" x14ac:dyDescent="0.3">
      <c r="E4" s="7" t="s">
        <v>813</v>
      </c>
    </row>
    <row r="5" spans="1:6" ht="14.4" thickBot="1" x14ac:dyDescent="0.3">
      <c r="A5" s="7" t="s">
        <v>814</v>
      </c>
      <c r="E5" s="83" t="s">
        <v>794</v>
      </c>
    </row>
    <row r="8" spans="1:6" ht="21" x14ac:dyDescent="0.4">
      <c r="A8" s="102">
        <v>1</v>
      </c>
      <c r="B8" s="102"/>
      <c r="C8" s="102"/>
      <c r="D8" s="102"/>
      <c r="E8" s="102" t="s">
        <v>238</v>
      </c>
      <c r="F8" s="115">
        <f>HLOOKUP($E$5,'Syndicats Bilan'!$F$4:$AG$227,2,0)</f>
        <v>149710.46</v>
      </c>
    </row>
    <row r="9" spans="1:6" x14ac:dyDescent="0.25">
      <c r="A9" s="6"/>
      <c r="B9" s="104">
        <v>10</v>
      </c>
      <c r="C9" s="104"/>
      <c r="D9" s="104"/>
      <c r="E9" s="104" t="s">
        <v>239</v>
      </c>
      <c r="F9" s="105">
        <f>HLOOKUP($E$5,'Syndicats Bilan'!$F$4:$AG$227,3,0)</f>
        <v>149710.46</v>
      </c>
    </row>
    <row r="10" spans="1:6" x14ac:dyDescent="0.25">
      <c r="C10" s="76">
        <v>100</v>
      </c>
      <c r="D10" s="76"/>
      <c r="E10" s="76" t="s">
        <v>240</v>
      </c>
      <c r="F10" s="96">
        <f>HLOOKUP($E$5,'Syndicats Bilan'!$F$4:$AG$227,4,0)</f>
        <v>69070.23</v>
      </c>
    </row>
    <row r="11" spans="1:6" x14ac:dyDescent="0.25">
      <c r="D11" s="7">
        <v>1000</v>
      </c>
      <c r="E11" s="7" t="s">
        <v>310</v>
      </c>
      <c r="F11" s="12">
        <f>HLOOKUP($E$5,'Syndicats Bilan'!$F$4:$AG$227,5,0)</f>
        <v>0</v>
      </c>
    </row>
    <row r="12" spans="1:6" x14ac:dyDescent="0.25">
      <c r="D12" s="7">
        <v>1001</v>
      </c>
      <c r="E12" s="7" t="s">
        <v>311</v>
      </c>
      <c r="F12" s="12">
        <f>HLOOKUP($E$5,'Syndicats Bilan'!$F$4:$AG$227,6,0)</f>
        <v>0</v>
      </c>
    </row>
    <row r="13" spans="1:6" x14ac:dyDescent="0.25">
      <c r="D13" s="7">
        <v>1002</v>
      </c>
      <c r="E13" s="7" t="s">
        <v>319</v>
      </c>
      <c r="F13" s="12">
        <f>HLOOKUP($E$5,'Syndicats Bilan'!$F$4:$AG$227,7,0)</f>
        <v>69070.23</v>
      </c>
    </row>
    <row r="14" spans="1:6" x14ac:dyDescent="0.25">
      <c r="D14" s="7">
        <v>1003</v>
      </c>
      <c r="E14" s="7" t="s">
        <v>312</v>
      </c>
      <c r="F14" s="12">
        <f>HLOOKUP($E$5,'Syndicats Bilan'!$F$4:$AG$227,8,0)</f>
        <v>0</v>
      </c>
    </row>
    <row r="15" spans="1:6" x14ac:dyDescent="0.25">
      <c r="D15" s="7">
        <v>1004</v>
      </c>
      <c r="E15" s="7" t="s">
        <v>313</v>
      </c>
      <c r="F15" s="12">
        <f>HLOOKUP($E$5,'Syndicats Bilan'!$F$4:$AG$227,9,0)</f>
        <v>0</v>
      </c>
    </row>
    <row r="16" spans="1:6" x14ac:dyDescent="0.25">
      <c r="D16" s="7">
        <v>1009</v>
      </c>
      <c r="E16" s="7" t="s">
        <v>314</v>
      </c>
      <c r="F16" s="12">
        <f>HLOOKUP($E$5,'Syndicats Bilan'!$F$4:$AG$227,10,0)</f>
        <v>0</v>
      </c>
    </row>
    <row r="17" spans="3:6" x14ac:dyDescent="0.25">
      <c r="F17" s="12"/>
    </row>
    <row r="18" spans="3:6" x14ac:dyDescent="0.25">
      <c r="C18" s="76">
        <v>101</v>
      </c>
      <c r="D18" s="76"/>
      <c r="E18" s="76" t="s">
        <v>241</v>
      </c>
      <c r="F18" s="96">
        <f>HLOOKUP($E$5,'Syndicats Bilan'!$F$4:$AG$227,12,0)</f>
        <v>80640.23</v>
      </c>
    </row>
    <row r="19" spans="3:6" x14ac:dyDescent="0.25">
      <c r="D19" s="7">
        <v>1010</v>
      </c>
      <c r="E19" s="7" t="s">
        <v>315</v>
      </c>
      <c r="F19" s="12">
        <f>HLOOKUP($E$5,'Syndicats Bilan'!$F$4:$AG$227,13,0)</f>
        <v>0</v>
      </c>
    </row>
    <row r="20" spans="3:6" x14ac:dyDescent="0.25">
      <c r="D20" s="7">
        <v>1011</v>
      </c>
      <c r="E20" s="7" t="s">
        <v>396</v>
      </c>
      <c r="F20" s="12">
        <f>HLOOKUP($E$5,'Syndicats Bilan'!$F$4:$AG$227,14,0)</f>
        <v>80640.23</v>
      </c>
    </row>
    <row r="21" spans="3:6" x14ac:dyDescent="0.25">
      <c r="D21" s="7">
        <v>1012</v>
      </c>
      <c r="E21" s="7" t="s">
        <v>316</v>
      </c>
      <c r="F21" s="12">
        <f>HLOOKUP($E$5,'Syndicats Bilan'!$F$4:$AG$227,15,0)</f>
        <v>0</v>
      </c>
    </row>
    <row r="22" spans="3:6" x14ac:dyDescent="0.25">
      <c r="D22" s="7">
        <v>1013</v>
      </c>
      <c r="E22" s="7" t="s">
        <v>317</v>
      </c>
      <c r="F22" s="12">
        <f>HLOOKUP($E$5,'Syndicats Bilan'!$F$4:$AG$227,16,0)</f>
        <v>0</v>
      </c>
    </row>
    <row r="23" spans="3:6" x14ac:dyDescent="0.25">
      <c r="D23" s="7">
        <v>1014</v>
      </c>
      <c r="E23" s="7" t="s">
        <v>318</v>
      </c>
      <c r="F23" s="12">
        <f>HLOOKUP($E$5,'Syndicats Bilan'!$F$4:$AG$227,17,0)</f>
        <v>0</v>
      </c>
    </row>
    <row r="24" spans="3:6" x14ac:dyDescent="0.25">
      <c r="D24" s="7">
        <v>1015</v>
      </c>
      <c r="E24" s="7" t="s">
        <v>320</v>
      </c>
      <c r="F24" s="12">
        <f>HLOOKUP($E$5,'Syndicats Bilan'!$F$4:$AG$227,18,0)</f>
        <v>0</v>
      </c>
    </row>
    <row r="25" spans="3:6" x14ac:dyDescent="0.25">
      <c r="D25" s="7">
        <v>1016</v>
      </c>
      <c r="E25" s="7" t="s">
        <v>321</v>
      </c>
      <c r="F25" s="12">
        <f>HLOOKUP($E$5,'Syndicats Bilan'!$F$4:$AG$227,19,0)</f>
        <v>0</v>
      </c>
    </row>
    <row r="26" spans="3:6" x14ac:dyDescent="0.25">
      <c r="D26" s="7">
        <v>1019</v>
      </c>
      <c r="E26" s="7" t="s">
        <v>322</v>
      </c>
      <c r="F26" s="12">
        <f>HLOOKUP($E$5,'Syndicats Bilan'!$F$4:$AG$227,20,0)</f>
        <v>0</v>
      </c>
    </row>
    <row r="27" spans="3:6" x14ac:dyDescent="0.25">
      <c r="F27" s="12"/>
    </row>
    <row r="28" spans="3:6" x14ac:dyDescent="0.25">
      <c r="C28" s="76">
        <v>102</v>
      </c>
      <c r="D28" s="76"/>
      <c r="E28" s="76" t="s">
        <v>242</v>
      </c>
      <c r="F28" s="96">
        <f>HLOOKUP($E$5,'Syndicats Bilan'!$F$4:$AG$227,22,0)</f>
        <v>0</v>
      </c>
    </row>
    <row r="29" spans="3:6" x14ac:dyDescent="0.25">
      <c r="D29" s="7">
        <v>1020</v>
      </c>
      <c r="E29" s="7" t="s">
        <v>323</v>
      </c>
      <c r="F29" s="12">
        <f>HLOOKUP($E$5,'Syndicats Bilan'!$F$4:$AG$227,23,0)</f>
        <v>0</v>
      </c>
    </row>
    <row r="30" spans="3:6" x14ac:dyDescent="0.25">
      <c r="D30" s="7">
        <v>1022</v>
      </c>
      <c r="E30" s="7" t="s">
        <v>324</v>
      </c>
      <c r="F30" s="12">
        <f>HLOOKUP($E$5,'Syndicats Bilan'!$F$4:$AG$227,24,0)</f>
        <v>0</v>
      </c>
    </row>
    <row r="31" spans="3:6" x14ac:dyDescent="0.25">
      <c r="D31" s="7">
        <v>1023</v>
      </c>
      <c r="E31" s="7" t="s">
        <v>325</v>
      </c>
      <c r="F31" s="12">
        <f>HLOOKUP($E$5,'Syndicats Bilan'!$F$4:$AG$227,25,0)</f>
        <v>0</v>
      </c>
    </row>
    <row r="32" spans="3:6" x14ac:dyDescent="0.25">
      <c r="D32" s="7">
        <v>1029</v>
      </c>
      <c r="E32" s="7" t="s">
        <v>326</v>
      </c>
      <c r="F32" s="12">
        <f>HLOOKUP($E$5,'Syndicats Bilan'!$F$4:$AG$227,26,0)</f>
        <v>0</v>
      </c>
    </row>
    <row r="33" spans="3:6" x14ac:dyDescent="0.25">
      <c r="F33" s="12"/>
    </row>
    <row r="34" spans="3:6" x14ac:dyDescent="0.25">
      <c r="C34" s="76">
        <v>104</v>
      </c>
      <c r="D34" s="76"/>
      <c r="E34" s="76" t="s">
        <v>243</v>
      </c>
      <c r="F34" s="96">
        <f>HLOOKUP($E$5,'Syndicats Bilan'!$F$4:$AG$227,28,0)</f>
        <v>0</v>
      </c>
    </row>
    <row r="35" spans="3:6" x14ac:dyDescent="0.25">
      <c r="D35" s="7">
        <v>1040</v>
      </c>
      <c r="E35" s="7" t="s">
        <v>61</v>
      </c>
      <c r="F35" s="12">
        <f>HLOOKUP($E$5,'Syndicats Bilan'!$F$4:$AG$227,29,0)</f>
        <v>0</v>
      </c>
    </row>
    <row r="36" spans="3:6" x14ac:dyDescent="0.25">
      <c r="D36" s="7">
        <v>1041</v>
      </c>
      <c r="E36" s="7" t="s">
        <v>327</v>
      </c>
      <c r="F36" s="12">
        <f>HLOOKUP($E$5,'Syndicats Bilan'!$F$4:$AG$227,30,0)</f>
        <v>0</v>
      </c>
    </row>
    <row r="37" spans="3:6" x14ac:dyDescent="0.25">
      <c r="D37" s="7">
        <v>1042</v>
      </c>
      <c r="E37" s="7" t="s">
        <v>328</v>
      </c>
      <c r="F37" s="12">
        <f>HLOOKUP($E$5,'Syndicats Bilan'!$F$4:$AG$227,31,0)</f>
        <v>0</v>
      </c>
    </row>
    <row r="38" spans="3:6" x14ac:dyDescent="0.25">
      <c r="D38" s="7">
        <v>1043</v>
      </c>
      <c r="E38" s="7" t="s">
        <v>329</v>
      </c>
      <c r="F38" s="12">
        <f>HLOOKUP($E$5,'Syndicats Bilan'!$F$4:$AG$227,32,0)</f>
        <v>0</v>
      </c>
    </row>
    <row r="39" spans="3:6" x14ac:dyDescent="0.25">
      <c r="D39" s="7">
        <v>1044</v>
      </c>
      <c r="E39" s="7" t="s">
        <v>330</v>
      </c>
      <c r="F39" s="12">
        <f>HLOOKUP($E$5,'Syndicats Bilan'!$F$4:$AG$227,33,0)</f>
        <v>0</v>
      </c>
    </row>
    <row r="40" spans="3:6" x14ac:dyDescent="0.25">
      <c r="D40" s="7">
        <v>1045</v>
      </c>
      <c r="E40" s="7" t="s">
        <v>331</v>
      </c>
      <c r="F40" s="12">
        <f>HLOOKUP($E$5,'Syndicats Bilan'!$F$4:$AG$227,34,0)</f>
        <v>0</v>
      </c>
    </row>
    <row r="41" spans="3:6" x14ac:dyDescent="0.25">
      <c r="D41" s="7">
        <v>1046</v>
      </c>
      <c r="E41" s="7" t="s">
        <v>332</v>
      </c>
      <c r="F41" s="12">
        <f>HLOOKUP($E$5,'Syndicats Bilan'!$F$4:$AG$227,35,0)</f>
        <v>0</v>
      </c>
    </row>
    <row r="42" spans="3:6" x14ac:dyDescent="0.25">
      <c r="D42" s="7">
        <v>1049</v>
      </c>
      <c r="E42" s="7" t="s">
        <v>333</v>
      </c>
      <c r="F42" s="12">
        <f>HLOOKUP($E$5,'Syndicats Bilan'!$F$4:$AG$227,36,0)</f>
        <v>0</v>
      </c>
    </row>
    <row r="43" spans="3:6" x14ac:dyDescent="0.25">
      <c r="F43" s="12"/>
    </row>
    <row r="44" spans="3:6" x14ac:dyDescent="0.25">
      <c r="C44" s="76">
        <v>106</v>
      </c>
      <c r="D44" s="76"/>
      <c r="E44" s="76" t="s">
        <v>244</v>
      </c>
      <c r="F44" s="96">
        <f>HLOOKUP($E$5,'Syndicats Bilan'!$F$4:$AG$227,38,0)</f>
        <v>0</v>
      </c>
    </row>
    <row r="45" spans="3:6" x14ac:dyDescent="0.25">
      <c r="D45" s="7">
        <v>1060</v>
      </c>
      <c r="E45" s="7" t="s">
        <v>334</v>
      </c>
      <c r="F45" s="12">
        <f>HLOOKUP($E$5,'Syndicats Bilan'!$F$4:$AG$227,39,0)</f>
        <v>0</v>
      </c>
    </row>
    <row r="46" spans="3:6" x14ac:dyDescent="0.25">
      <c r="D46" s="7">
        <v>1061</v>
      </c>
      <c r="E46" s="7" t="s">
        <v>335</v>
      </c>
      <c r="F46" s="12">
        <f>HLOOKUP($E$5,'Syndicats Bilan'!$F$4:$AG$227,40,0)</f>
        <v>0</v>
      </c>
    </row>
    <row r="47" spans="3:6" x14ac:dyDescent="0.25">
      <c r="D47" s="7">
        <v>1062</v>
      </c>
      <c r="E47" s="7" t="s">
        <v>336</v>
      </c>
      <c r="F47" s="12">
        <f>HLOOKUP($E$5,'Syndicats Bilan'!$F$4:$AG$227,41,0)</f>
        <v>0</v>
      </c>
    </row>
    <row r="48" spans="3:6" x14ac:dyDescent="0.25">
      <c r="D48" s="7">
        <v>1063</v>
      </c>
      <c r="E48" s="7" t="s">
        <v>337</v>
      </c>
      <c r="F48" s="12">
        <f>HLOOKUP($E$5,'Syndicats Bilan'!$F$4:$AG$227,42,0)</f>
        <v>0</v>
      </c>
    </row>
    <row r="49" spans="3:6" x14ac:dyDescent="0.25">
      <c r="D49" s="7">
        <v>1068</v>
      </c>
      <c r="E49" s="7" t="s">
        <v>338</v>
      </c>
      <c r="F49" s="12">
        <f>HLOOKUP($E$5,'Syndicats Bilan'!$F$4:$AG$227,43,0)</f>
        <v>0</v>
      </c>
    </row>
    <row r="50" spans="3:6" x14ac:dyDescent="0.25">
      <c r="F50" s="12"/>
    </row>
    <row r="51" spans="3:6" x14ac:dyDescent="0.25">
      <c r="C51" s="76">
        <v>107</v>
      </c>
      <c r="D51" s="76"/>
      <c r="E51" s="76" t="s">
        <v>343</v>
      </c>
      <c r="F51" s="96">
        <f>HLOOKUP($E$5,'Syndicats Bilan'!$F$4:$AG$227,45,0)</f>
        <v>0</v>
      </c>
    </row>
    <row r="52" spans="3:6" x14ac:dyDescent="0.25">
      <c r="D52" s="7">
        <v>1070</v>
      </c>
      <c r="E52" s="7" t="s">
        <v>339</v>
      </c>
      <c r="F52" s="12">
        <f>HLOOKUP($E$5,'Syndicats Bilan'!$F$4:$AG$227,46,0)</f>
        <v>0</v>
      </c>
    </row>
    <row r="53" spans="3:6" x14ac:dyDescent="0.25">
      <c r="D53" s="7">
        <v>1071</v>
      </c>
      <c r="E53" s="7" t="s">
        <v>340</v>
      </c>
      <c r="F53" s="12">
        <f>HLOOKUP($E$5,'Syndicats Bilan'!$F$4:$AG$227,47,0)</f>
        <v>0</v>
      </c>
    </row>
    <row r="54" spans="3:6" x14ac:dyDescent="0.25">
      <c r="D54" s="7">
        <v>1072</v>
      </c>
      <c r="E54" s="7" t="s">
        <v>341</v>
      </c>
      <c r="F54" s="12">
        <f>HLOOKUP($E$5,'Syndicats Bilan'!$F$4:$AG$227,48,0)</f>
        <v>0</v>
      </c>
    </row>
    <row r="55" spans="3:6" x14ac:dyDescent="0.25">
      <c r="D55" s="7">
        <v>1079</v>
      </c>
      <c r="E55" s="7" t="s">
        <v>342</v>
      </c>
      <c r="F55" s="12">
        <f>HLOOKUP($E$5,'Syndicats Bilan'!$F$4:$AG$227,49,0)</f>
        <v>0</v>
      </c>
    </row>
    <row r="56" spans="3:6" x14ac:dyDescent="0.25">
      <c r="F56" s="12"/>
    </row>
    <row r="57" spans="3:6" x14ac:dyDescent="0.25">
      <c r="C57" s="76">
        <v>108</v>
      </c>
      <c r="D57" s="76"/>
      <c r="E57" s="76" t="s">
        <v>245</v>
      </c>
      <c r="F57" s="96">
        <f>HLOOKUP($E$5,'Syndicats Bilan'!$F$4:$AG$227,51,0)</f>
        <v>0</v>
      </c>
    </row>
    <row r="58" spans="3:6" x14ac:dyDescent="0.25">
      <c r="D58" s="7">
        <v>1080</v>
      </c>
      <c r="E58" s="7" t="s">
        <v>344</v>
      </c>
      <c r="F58" s="12">
        <f>HLOOKUP($E$5,'Syndicats Bilan'!$F$4:$AG$227,52,0)</f>
        <v>0</v>
      </c>
    </row>
    <row r="59" spans="3:6" x14ac:dyDescent="0.25">
      <c r="D59" s="7">
        <v>1084</v>
      </c>
      <c r="E59" s="7" t="s">
        <v>345</v>
      </c>
      <c r="F59" s="12">
        <f>HLOOKUP($E$5,'Syndicats Bilan'!$F$4:$AG$227,53,0)</f>
        <v>0</v>
      </c>
    </row>
    <row r="60" spans="3:6" x14ac:dyDescent="0.25">
      <c r="D60" s="7">
        <v>1086</v>
      </c>
      <c r="E60" s="7" t="s">
        <v>346</v>
      </c>
      <c r="F60" s="12">
        <f>HLOOKUP($E$5,'Syndicats Bilan'!$F$4:$AG$227,54,0)</f>
        <v>0</v>
      </c>
    </row>
    <row r="61" spans="3:6" x14ac:dyDescent="0.25">
      <c r="D61" s="7">
        <v>1087</v>
      </c>
      <c r="E61" s="7" t="s">
        <v>347</v>
      </c>
      <c r="F61" s="12">
        <f>HLOOKUP($E$5,'Syndicats Bilan'!$F$4:$AG$227,55,0)</f>
        <v>0</v>
      </c>
    </row>
    <row r="62" spans="3:6" x14ac:dyDescent="0.25">
      <c r="D62" s="7">
        <v>1088</v>
      </c>
      <c r="E62" s="7" t="s">
        <v>348</v>
      </c>
      <c r="F62" s="12">
        <f>HLOOKUP($E$5,'Syndicats Bilan'!$F$4:$AG$227,6,0)</f>
        <v>0</v>
      </c>
    </row>
    <row r="63" spans="3:6" x14ac:dyDescent="0.25">
      <c r="D63" s="7">
        <v>1089</v>
      </c>
      <c r="E63" s="7" t="s">
        <v>349</v>
      </c>
      <c r="F63" s="12">
        <f>HLOOKUP($E$5,'Syndicats Bilan'!$F$4:$AG$227,57,0)</f>
        <v>0</v>
      </c>
    </row>
    <row r="64" spans="3:6" x14ac:dyDescent="0.25">
      <c r="F64" s="12"/>
    </row>
    <row r="65" spans="2:6" x14ac:dyDescent="0.25">
      <c r="C65" s="76">
        <v>109</v>
      </c>
      <c r="D65" s="76"/>
      <c r="E65" s="76" t="s">
        <v>350</v>
      </c>
      <c r="F65" s="96">
        <f>HLOOKUP($E$5,'Syndicats Bilan'!$F$4:$AG$227,59,0)</f>
        <v>0</v>
      </c>
    </row>
    <row r="66" spans="2:6" x14ac:dyDescent="0.25">
      <c r="D66" s="7">
        <v>1090</v>
      </c>
      <c r="E66" s="7" t="s">
        <v>350</v>
      </c>
      <c r="F66" s="12">
        <f>HLOOKUP($E$5,'Syndicats Bilan'!$F$4:$AG$227,60,0)</f>
        <v>0</v>
      </c>
    </row>
    <row r="67" spans="2:6" x14ac:dyDescent="0.25">
      <c r="D67" s="7">
        <v>1091</v>
      </c>
      <c r="E67" s="7" t="s">
        <v>351</v>
      </c>
      <c r="F67" s="12">
        <f>HLOOKUP($E$5,'Syndicats Bilan'!$F$4:$AG$227,61,0)</f>
        <v>0</v>
      </c>
    </row>
    <row r="68" spans="2:6" x14ac:dyDescent="0.25">
      <c r="D68" s="7">
        <v>1092</v>
      </c>
      <c r="E68" s="7" t="s">
        <v>352</v>
      </c>
      <c r="F68" s="12">
        <f>HLOOKUP($E$5,'Syndicats Bilan'!$F$4:$AG$227,62,0)</f>
        <v>0</v>
      </c>
    </row>
    <row r="69" spans="2:6" x14ac:dyDescent="0.25">
      <c r="D69" s="7">
        <v>1093</v>
      </c>
      <c r="E69" s="7" t="s">
        <v>353</v>
      </c>
      <c r="F69" s="12">
        <f>HLOOKUP($E$5,'Syndicats Bilan'!$F$4:$AG$227,63,0)</f>
        <v>0</v>
      </c>
    </row>
    <row r="70" spans="2:6" x14ac:dyDescent="0.25">
      <c r="F70" s="12"/>
    </row>
    <row r="71" spans="2:6" x14ac:dyDescent="0.25">
      <c r="B71" s="106">
        <v>14</v>
      </c>
      <c r="C71" s="106"/>
      <c r="D71" s="106"/>
      <c r="E71" s="106" t="s">
        <v>246</v>
      </c>
      <c r="F71" s="107">
        <f>HLOOKUP($E$5,'Syndicats Bilan'!$F$4:$AG$227,65,0)</f>
        <v>0</v>
      </c>
    </row>
    <row r="72" spans="2:6" x14ac:dyDescent="0.25">
      <c r="C72" s="76">
        <v>140</v>
      </c>
      <c r="D72" s="76"/>
      <c r="E72" s="76" t="s">
        <v>248</v>
      </c>
      <c r="F72" s="96">
        <f>HLOOKUP($E$5,'Syndicats Bilan'!$F$4:$AG$227,66,0)</f>
        <v>0</v>
      </c>
    </row>
    <row r="73" spans="2:6" x14ac:dyDescent="0.25">
      <c r="D73" s="7">
        <v>1400</v>
      </c>
      <c r="E73" s="7" t="s">
        <v>354</v>
      </c>
      <c r="F73" s="12">
        <f>HLOOKUP($E$5,'Syndicats Bilan'!$F$4:$AG$227,67,0)</f>
        <v>0</v>
      </c>
    </row>
    <row r="74" spans="2:6" x14ac:dyDescent="0.25">
      <c r="D74" s="7">
        <v>1401</v>
      </c>
      <c r="E74" s="7" t="s">
        <v>355</v>
      </c>
      <c r="F74" s="12">
        <f>HLOOKUP($E$5,'Syndicats Bilan'!$F$4:$AG$227,68,0)</f>
        <v>0</v>
      </c>
    </row>
    <row r="75" spans="2:6" x14ac:dyDescent="0.25">
      <c r="D75" s="7">
        <v>1402</v>
      </c>
      <c r="E75" s="7" t="s">
        <v>356</v>
      </c>
      <c r="F75" s="12">
        <f>HLOOKUP($E$5,'Syndicats Bilan'!$F$4:$AG$227,69,0)</f>
        <v>0</v>
      </c>
    </row>
    <row r="76" spans="2:6" x14ac:dyDescent="0.25">
      <c r="D76" s="7">
        <v>1403</v>
      </c>
      <c r="E76" s="7" t="s">
        <v>357</v>
      </c>
      <c r="F76" s="12">
        <f>HLOOKUP($E$5,'Syndicats Bilan'!$F$4:$AG$227,70,0)</f>
        <v>0</v>
      </c>
    </row>
    <row r="77" spans="2:6" x14ac:dyDescent="0.25">
      <c r="D77" s="7">
        <v>1404</v>
      </c>
      <c r="E77" s="7" t="s">
        <v>358</v>
      </c>
      <c r="F77" s="12">
        <f>HLOOKUP($E$5,'Syndicats Bilan'!$F$4:$AG$227,71,0)</f>
        <v>0</v>
      </c>
    </row>
    <row r="78" spans="2:6" x14ac:dyDescent="0.25">
      <c r="D78" s="7">
        <v>1405</v>
      </c>
      <c r="E78" s="7" t="s">
        <v>359</v>
      </c>
      <c r="F78" s="12">
        <f>HLOOKUP($E$5,'Syndicats Bilan'!$F$4:$AG$227,72,0)</f>
        <v>0</v>
      </c>
    </row>
    <row r="79" spans="2:6" x14ac:dyDescent="0.25">
      <c r="D79" s="7">
        <v>1406</v>
      </c>
      <c r="E79" s="7" t="s">
        <v>360</v>
      </c>
      <c r="F79" s="12">
        <f>HLOOKUP($E$5,'Syndicats Bilan'!$F$4:$AG$227,73,0)</f>
        <v>0</v>
      </c>
    </row>
    <row r="80" spans="2:6" x14ac:dyDescent="0.25">
      <c r="D80" s="7">
        <v>1407</v>
      </c>
      <c r="E80" s="7" t="s">
        <v>361</v>
      </c>
      <c r="F80" s="12">
        <f>HLOOKUP($E$5,'Syndicats Bilan'!$F$4:$AG$227,74,0)</f>
        <v>0</v>
      </c>
    </row>
    <row r="81" spans="3:6" x14ac:dyDescent="0.25">
      <c r="D81" s="7">
        <v>1409</v>
      </c>
      <c r="E81" s="7" t="s">
        <v>362</v>
      </c>
      <c r="F81" s="12">
        <f>HLOOKUP($E$5,'Syndicats Bilan'!$F$4:$AG$227,75,0)</f>
        <v>0</v>
      </c>
    </row>
    <row r="82" spans="3:6" x14ac:dyDescent="0.25">
      <c r="F82" s="12"/>
    </row>
    <row r="83" spans="3:6" x14ac:dyDescent="0.25">
      <c r="C83" s="76">
        <v>142</v>
      </c>
      <c r="D83" s="76"/>
      <c r="E83" s="76" t="s">
        <v>577</v>
      </c>
      <c r="F83" s="96">
        <f>HLOOKUP($E$5,'Syndicats Bilan'!$F$4:$AG$227,77,0)</f>
        <v>0</v>
      </c>
    </row>
    <row r="84" spans="3:6" x14ac:dyDescent="0.25">
      <c r="D84" s="7">
        <v>1420</v>
      </c>
      <c r="E84" s="7" t="s">
        <v>363</v>
      </c>
      <c r="F84" s="12">
        <f>HLOOKUP($E$5,'Syndicats Bilan'!$F$4:$AG$227,78,0)</f>
        <v>0</v>
      </c>
    </row>
    <row r="85" spans="3:6" x14ac:dyDescent="0.25">
      <c r="D85" s="7">
        <v>1421</v>
      </c>
      <c r="E85" s="7" t="s">
        <v>364</v>
      </c>
      <c r="F85" s="12">
        <f>HLOOKUP($E$5,'Syndicats Bilan'!$F$4:$AG$227,79,0)</f>
        <v>0</v>
      </c>
    </row>
    <row r="86" spans="3:6" x14ac:dyDescent="0.25">
      <c r="D86" s="7">
        <v>1427</v>
      </c>
      <c r="E86" s="7" t="s">
        <v>576</v>
      </c>
      <c r="F86" s="12">
        <f>HLOOKUP($E$5,'Syndicats Bilan'!$F$4:$AG$227,80,0)</f>
        <v>0</v>
      </c>
    </row>
    <row r="87" spans="3:6" x14ac:dyDescent="0.25">
      <c r="D87" s="7">
        <v>1429</v>
      </c>
      <c r="E87" s="7" t="s">
        <v>462</v>
      </c>
      <c r="F87" s="12">
        <f>HLOOKUP($E$5,'Syndicats Bilan'!$F$4:$AG$227,81,0)</f>
        <v>0</v>
      </c>
    </row>
    <row r="88" spans="3:6" x14ac:dyDescent="0.25">
      <c r="F88" s="12"/>
    </row>
    <row r="89" spans="3:6" x14ac:dyDescent="0.25">
      <c r="C89" s="76">
        <v>144</v>
      </c>
      <c r="D89" s="76"/>
      <c r="E89" s="76" t="s">
        <v>249</v>
      </c>
      <c r="F89" s="96">
        <f>HLOOKUP($E$5,'Syndicats Bilan'!$F$4:$AG$227,83,0)</f>
        <v>0</v>
      </c>
    </row>
    <row r="90" spans="3:6" x14ac:dyDescent="0.25">
      <c r="D90" s="7">
        <v>1440</v>
      </c>
      <c r="E90" s="7" t="s">
        <v>365</v>
      </c>
      <c r="F90" s="12">
        <f>HLOOKUP($E$5,'Syndicats Bilan'!$F$4:$AG$227,84,0)</f>
        <v>0</v>
      </c>
    </row>
    <row r="91" spans="3:6" x14ac:dyDescent="0.25">
      <c r="D91" s="7">
        <v>1441</v>
      </c>
      <c r="E91" s="7" t="s">
        <v>367</v>
      </c>
      <c r="F91" s="12">
        <f>HLOOKUP($E$5,'Syndicats Bilan'!$F$4:$AG$227,85,0)</f>
        <v>0</v>
      </c>
    </row>
    <row r="92" spans="3:6" x14ac:dyDescent="0.25">
      <c r="D92" s="7">
        <v>1442</v>
      </c>
      <c r="E92" s="7" t="s">
        <v>366</v>
      </c>
      <c r="F92" s="12">
        <f>HLOOKUP($E$5,'Syndicats Bilan'!$F$4:$AG$227,86,0)</f>
        <v>0</v>
      </c>
    </row>
    <row r="93" spans="3:6" x14ac:dyDescent="0.25">
      <c r="D93" s="7">
        <v>1443</v>
      </c>
      <c r="E93" s="7" t="s">
        <v>368</v>
      </c>
      <c r="F93" s="12">
        <f>HLOOKUP($E$5,'Syndicats Bilan'!$F$4:$AG$227,87,0)</f>
        <v>0</v>
      </c>
    </row>
    <row r="94" spans="3:6" x14ac:dyDescent="0.25">
      <c r="D94" s="7">
        <v>1444</v>
      </c>
      <c r="E94" s="7" t="s">
        <v>369</v>
      </c>
      <c r="F94" s="12">
        <f>HLOOKUP($E$5,'Syndicats Bilan'!$F$4:$AG$227,88,0)</f>
        <v>0</v>
      </c>
    </row>
    <row r="95" spans="3:6" x14ac:dyDescent="0.25">
      <c r="D95" s="7">
        <v>1445</v>
      </c>
      <c r="E95" s="7" t="s">
        <v>370</v>
      </c>
      <c r="F95" s="12">
        <f>HLOOKUP($E$5,'Syndicats Bilan'!$F$4:$AG$227,89,0)</f>
        <v>0</v>
      </c>
    </row>
    <row r="96" spans="3:6" x14ac:dyDescent="0.25">
      <c r="D96" s="7">
        <v>1446</v>
      </c>
      <c r="E96" s="7" t="s">
        <v>371</v>
      </c>
      <c r="F96" s="12">
        <f>HLOOKUP($E$5,'Syndicats Bilan'!$F$4:$AG$227,90,0)</f>
        <v>0</v>
      </c>
    </row>
    <row r="97" spans="3:6" x14ac:dyDescent="0.25">
      <c r="D97" s="7">
        <v>1447</v>
      </c>
      <c r="E97" s="7" t="s">
        <v>372</v>
      </c>
      <c r="F97" s="12">
        <f>HLOOKUP($E$5,'Syndicats Bilan'!$F$4:$AG$227,91,0)</f>
        <v>0</v>
      </c>
    </row>
    <row r="98" spans="3:6" x14ac:dyDescent="0.25">
      <c r="D98" s="7">
        <v>1448</v>
      </c>
      <c r="E98" s="7" t="s">
        <v>373</v>
      </c>
      <c r="F98" s="12">
        <f>HLOOKUP($E$5,'Syndicats Bilan'!$F$4:$AG$227,92,0)</f>
        <v>0</v>
      </c>
    </row>
    <row r="99" spans="3:6" x14ac:dyDescent="0.25">
      <c r="F99" s="12"/>
    </row>
    <row r="100" spans="3:6" x14ac:dyDescent="0.25">
      <c r="C100" s="76">
        <v>145</v>
      </c>
      <c r="D100" s="76"/>
      <c r="E100" s="76" t="s">
        <v>376</v>
      </c>
      <c r="F100" s="96">
        <f>HLOOKUP($E$5,'Syndicats Bilan'!$F$4:$AG$227,94,0)</f>
        <v>0</v>
      </c>
    </row>
    <row r="101" spans="3:6" x14ac:dyDescent="0.25">
      <c r="D101" s="7">
        <v>1450</v>
      </c>
      <c r="E101" s="7" t="s">
        <v>375</v>
      </c>
      <c r="F101" s="12">
        <f>HLOOKUP($E$5,'Syndicats Bilan'!$F$4:$AG$227,95,0)</f>
        <v>0</v>
      </c>
    </row>
    <row r="102" spans="3:6" x14ac:dyDescent="0.25">
      <c r="D102" s="7">
        <v>1451</v>
      </c>
      <c r="E102" s="7" t="s">
        <v>374</v>
      </c>
      <c r="F102" s="12">
        <f>HLOOKUP($E$5,'Syndicats Bilan'!$F$4:$AG$227,96,0)</f>
        <v>0</v>
      </c>
    </row>
    <row r="103" spans="3:6" x14ac:dyDescent="0.25">
      <c r="D103" s="7">
        <v>1452</v>
      </c>
      <c r="E103" s="7" t="s">
        <v>377</v>
      </c>
      <c r="F103" s="12">
        <f>HLOOKUP($E$5,'Syndicats Bilan'!$F$4:$AG$227,97,0)</f>
        <v>0</v>
      </c>
    </row>
    <row r="104" spans="3:6" x14ac:dyDescent="0.25">
      <c r="D104" s="7">
        <v>1453</v>
      </c>
      <c r="E104" s="7" t="s">
        <v>378</v>
      </c>
      <c r="F104" s="12">
        <f>HLOOKUP($E$5,'Syndicats Bilan'!$F$4:$AG$227,98,0)</f>
        <v>0</v>
      </c>
    </row>
    <row r="105" spans="3:6" x14ac:dyDescent="0.25">
      <c r="D105" s="7">
        <v>1454</v>
      </c>
      <c r="E105" s="7" t="s">
        <v>379</v>
      </c>
      <c r="F105" s="12">
        <f>HLOOKUP($E$5,'Syndicats Bilan'!$F$4:$AG$227,99,0)</f>
        <v>0</v>
      </c>
    </row>
    <row r="106" spans="3:6" x14ac:dyDescent="0.25">
      <c r="D106" s="7">
        <v>1455</v>
      </c>
      <c r="E106" s="7" t="s">
        <v>380</v>
      </c>
      <c r="F106" s="12">
        <f>HLOOKUP($E$5,'Syndicats Bilan'!$F$4:$AG$227,100,0)</f>
        <v>0</v>
      </c>
    </row>
    <row r="107" spans="3:6" x14ac:dyDescent="0.25">
      <c r="D107" s="7">
        <v>1456</v>
      </c>
      <c r="E107" s="7" t="s">
        <v>381</v>
      </c>
      <c r="F107" s="12">
        <f>HLOOKUP($E$5,'Syndicats Bilan'!$F$4:$AG$227,101,0)</f>
        <v>0</v>
      </c>
    </row>
    <row r="108" spans="3:6" x14ac:dyDescent="0.25">
      <c r="D108" s="7">
        <v>1457</v>
      </c>
      <c r="E108" s="7" t="s">
        <v>382</v>
      </c>
      <c r="F108" s="12">
        <f>HLOOKUP($E$5,'Syndicats Bilan'!$F$4:$AG$227,102,0)</f>
        <v>0</v>
      </c>
    </row>
    <row r="109" spans="3:6" x14ac:dyDescent="0.25">
      <c r="D109" s="7">
        <v>1458</v>
      </c>
      <c r="E109" s="7" t="s">
        <v>383</v>
      </c>
      <c r="F109" s="12">
        <f>HLOOKUP($E$5,'Syndicats Bilan'!$F$4:$AG$227,103,0)</f>
        <v>0</v>
      </c>
    </row>
    <row r="110" spans="3:6" x14ac:dyDescent="0.25">
      <c r="F110" s="12"/>
    </row>
    <row r="111" spans="3:6" x14ac:dyDescent="0.25">
      <c r="C111" s="76">
        <v>146</v>
      </c>
      <c r="D111" s="76"/>
      <c r="E111" s="76" t="s">
        <v>394</v>
      </c>
      <c r="F111" s="96">
        <f>HLOOKUP($E$5,'Syndicats Bilan'!$F$4:$AG$227,105,0)</f>
        <v>0</v>
      </c>
    </row>
    <row r="112" spans="3:6" x14ac:dyDescent="0.25">
      <c r="D112" s="7">
        <v>1460</v>
      </c>
      <c r="E112" s="7" t="s">
        <v>391</v>
      </c>
      <c r="F112" s="12">
        <f>HLOOKUP($E$5,'Syndicats Bilan'!$F$4:$AG$227,106,0)</f>
        <v>0</v>
      </c>
    </row>
    <row r="113" spans="1:6" x14ac:dyDescent="0.25">
      <c r="D113" s="7">
        <v>1461</v>
      </c>
      <c r="E113" s="7" t="s">
        <v>392</v>
      </c>
      <c r="F113" s="12">
        <f>HLOOKUP($E$5,'Syndicats Bilan'!$F$4:$AG$227,107,0)</f>
        <v>0</v>
      </c>
    </row>
    <row r="114" spans="1:6" x14ac:dyDescent="0.25">
      <c r="D114" s="7">
        <v>1462</v>
      </c>
      <c r="E114" s="7" t="s">
        <v>384</v>
      </c>
      <c r="F114" s="12">
        <f>HLOOKUP($E$5,'Syndicats Bilan'!$F$4:$AG$227,108,0)</f>
        <v>0</v>
      </c>
    </row>
    <row r="115" spans="1:6" x14ac:dyDescent="0.25">
      <c r="D115" s="7">
        <v>1463</v>
      </c>
      <c r="E115" s="7" t="s">
        <v>385</v>
      </c>
      <c r="F115" s="12">
        <f>HLOOKUP($E$5,'Syndicats Bilan'!$F$4:$AG$227,109,0)</f>
        <v>0</v>
      </c>
    </row>
    <row r="116" spans="1:6" x14ac:dyDescent="0.25">
      <c r="D116" s="7">
        <v>1464</v>
      </c>
      <c r="E116" s="7" t="s">
        <v>386</v>
      </c>
      <c r="F116" s="12">
        <f>HLOOKUP($E$5,'Syndicats Bilan'!$F$4:$AG$227,110,0)</f>
        <v>0</v>
      </c>
    </row>
    <row r="117" spans="1:6" x14ac:dyDescent="0.25">
      <c r="D117" s="7">
        <v>1465</v>
      </c>
      <c r="E117" s="7" t="s">
        <v>387</v>
      </c>
      <c r="F117" s="12">
        <f>HLOOKUP($E$5,'Syndicats Bilan'!$F$4:$AG$227,111,0)</f>
        <v>0</v>
      </c>
    </row>
    <row r="118" spans="1:6" x14ac:dyDescent="0.25">
      <c r="D118" s="7">
        <v>1466</v>
      </c>
      <c r="E118" s="7" t="s">
        <v>393</v>
      </c>
      <c r="F118" s="12">
        <f>HLOOKUP($E$5,'Syndicats Bilan'!$F$4:$AG$227,112,0)</f>
        <v>0</v>
      </c>
    </row>
    <row r="119" spans="1:6" x14ac:dyDescent="0.25">
      <c r="D119" s="7">
        <v>1467</v>
      </c>
      <c r="E119" s="7" t="s">
        <v>388</v>
      </c>
      <c r="F119" s="12">
        <f>HLOOKUP($E$5,'Syndicats Bilan'!$F$4:$AG$227,113,0)</f>
        <v>0</v>
      </c>
    </row>
    <row r="120" spans="1:6" x14ac:dyDescent="0.25">
      <c r="D120" s="7">
        <v>1468</v>
      </c>
      <c r="E120" s="7" t="s">
        <v>389</v>
      </c>
      <c r="F120" s="12">
        <f>HLOOKUP($E$5,'Syndicats Bilan'!$F$4:$AG$227,114,0)</f>
        <v>0</v>
      </c>
    </row>
    <row r="121" spans="1:6" x14ac:dyDescent="0.25">
      <c r="D121" s="7">
        <v>1469</v>
      </c>
      <c r="E121" s="7" t="s">
        <v>390</v>
      </c>
      <c r="F121" s="12">
        <f>HLOOKUP($E$5,'Syndicats Bilan'!$F$4:$AG$227,115,0)</f>
        <v>0</v>
      </c>
    </row>
    <row r="122" spans="1:6" x14ac:dyDescent="0.25">
      <c r="F122" s="12"/>
    </row>
    <row r="123" spans="1:6" x14ac:dyDescent="0.25">
      <c r="F123" s="12"/>
    </row>
    <row r="124" spans="1:6" ht="21" x14ac:dyDescent="0.4">
      <c r="A124" s="17">
        <v>2</v>
      </c>
      <c r="B124" s="17"/>
      <c r="C124" s="17"/>
      <c r="D124" s="17"/>
      <c r="E124" s="17" t="s">
        <v>250</v>
      </c>
      <c r="F124" s="117">
        <f>HLOOKUP($E$5,'Syndicats Bilan'!$F$4:$AG$227,118,0)</f>
        <v>149710.46</v>
      </c>
    </row>
    <row r="125" spans="1:6" x14ac:dyDescent="0.25">
      <c r="A125" s="6"/>
      <c r="B125" s="109">
        <v>20</v>
      </c>
      <c r="C125" s="109"/>
      <c r="D125" s="109"/>
      <c r="E125" s="109" t="s">
        <v>251</v>
      </c>
      <c r="F125" s="110">
        <f>HLOOKUP($E$5,'Syndicats Bilan'!$F$4:$AG$227,119,0)</f>
        <v>128369.2</v>
      </c>
    </row>
    <row r="126" spans="1:6" x14ac:dyDescent="0.25">
      <c r="C126" s="111">
        <v>200</v>
      </c>
      <c r="D126" s="111"/>
      <c r="E126" s="111" t="s">
        <v>252</v>
      </c>
      <c r="F126" s="112">
        <f>HLOOKUP($E$5,'Syndicats Bilan'!$F$4:$AG$227,120,0)</f>
        <v>18000</v>
      </c>
    </row>
    <row r="127" spans="1:6" x14ac:dyDescent="0.25">
      <c r="D127" s="7">
        <v>2000</v>
      </c>
      <c r="E127" s="7" t="s">
        <v>395</v>
      </c>
      <c r="F127" s="12">
        <f>HLOOKUP($E$5,'Syndicats Bilan'!$F$4:$AG$227,121,0)</f>
        <v>0</v>
      </c>
    </row>
    <row r="128" spans="1:6" x14ac:dyDescent="0.25">
      <c r="D128" s="7">
        <v>2001</v>
      </c>
      <c r="E128" s="7" t="s">
        <v>396</v>
      </c>
      <c r="F128" s="12">
        <f>HLOOKUP($E$5,'Syndicats Bilan'!$F$4:$AG$227,122,0)</f>
        <v>0</v>
      </c>
    </row>
    <row r="129" spans="3:6" x14ac:dyDescent="0.25">
      <c r="D129" s="7">
        <v>2002</v>
      </c>
      <c r="E129" s="7" t="s">
        <v>397</v>
      </c>
      <c r="F129" s="12">
        <f>HLOOKUP($E$5,'Syndicats Bilan'!$F$4:$AG$227,123,0)</f>
        <v>0</v>
      </c>
    </row>
    <row r="130" spans="3:6" x14ac:dyDescent="0.25">
      <c r="D130" s="7">
        <v>2003</v>
      </c>
      <c r="E130" s="7" t="s">
        <v>398</v>
      </c>
      <c r="F130" s="12">
        <f>HLOOKUP($E$5,'Syndicats Bilan'!$F$4:$AG$227,124,0)</f>
        <v>0</v>
      </c>
    </row>
    <row r="131" spans="3:6" x14ac:dyDescent="0.25">
      <c r="D131" s="7">
        <v>2004</v>
      </c>
      <c r="E131" s="7" t="s">
        <v>399</v>
      </c>
      <c r="F131" s="12">
        <f>HLOOKUP($E$5,'Syndicats Bilan'!$F$4:$AG$227,125,0)</f>
        <v>18000</v>
      </c>
    </row>
    <row r="132" spans="3:6" x14ac:dyDescent="0.25">
      <c r="D132" s="7">
        <v>2005</v>
      </c>
      <c r="E132" s="7" t="s">
        <v>320</v>
      </c>
      <c r="F132" s="12">
        <f>HLOOKUP($E$5,'Syndicats Bilan'!$F$4:$AG$227,126,0)</f>
        <v>0</v>
      </c>
    </row>
    <row r="133" spans="3:6" x14ac:dyDescent="0.25">
      <c r="D133" s="7">
        <v>2006</v>
      </c>
      <c r="E133" s="7" t="s">
        <v>444</v>
      </c>
      <c r="F133" s="12">
        <f>HLOOKUP($E$5,'Syndicats Bilan'!$F$4:$AG$227,127,0)</f>
        <v>0</v>
      </c>
    </row>
    <row r="134" spans="3:6" x14ac:dyDescent="0.25">
      <c r="D134" s="7">
        <v>2009</v>
      </c>
      <c r="E134" s="7" t="s">
        <v>401</v>
      </c>
      <c r="F134" s="12">
        <f>HLOOKUP($E$5,'Syndicats Bilan'!$F$4:$AG$227,128,0)</f>
        <v>0</v>
      </c>
    </row>
    <row r="135" spans="3:6" x14ac:dyDescent="0.25">
      <c r="F135" s="12"/>
    </row>
    <row r="136" spans="3:6" x14ac:dyDescent="0.25">
      <c r="C136" s="111">
        <v>201</v>
      </c>
      <c r="D136" s="111"/>
      <c r="E136" s="111" t="s">
        <v>253</v>
      </c>
      <c r="F136" s="112">
        <f>HLOOKUP($E$5,'Syndicats Bilan'!$F$4:$AG$227,130,0)</f>
        <v>0</v>
      </c>
    </row>
    <row r="137" spans="3:6" x14ac:dyDescent="0.25">
      <c r="D137" s="7">
        <v>2010</v>
      </c>
      <c r="E137" s="7" t="s">
        <v>402</v>
      </c>
      <c r="F137" s="12">
        <f>HLOOKUP($E$5,'Syndicats Bilan'!$F$4:$AG$227,131,0)</f>
        <v>0</v>
      </c>
    </row>
    <row r="138" spans="3:6" x14ac:dyDescent="0.25">
      <c r="D138" s="7">
        <v>2011</v>
      </c>
      <c r="E138" s="7" t="s">
        <v>403</v>
      </c>
      <c r="F138" s="12">
        <f>HLOOKUP($E$5,'Syndicats Bilan'!$F$4:$AG$227,132,0)</f>
        <v>0</v>
      </c>
    </row>
    <row r="139" spans="3:6" x14ac:dyDescent="0.25">
      <c r="D139" s="7">
        <v>2012</v>
      </c>
      <c r="E139" s="7" t="s">
        <v>404</v>
      </c>
      <c r="F139" s="12">
        <f>HLOOKUP($E$5,'Syndicats Bilan'!$F$4:$AG$227,133,0)</f>
        <v>0</v>
      </c>
    </row>
    <row r="140" spans="3:6" x14ac:dyDescent="0.25">
      <c r="D140" s="7">
        <v>2013</v>
      </c>
      <c r="E140" s="7" t="s">
        <v>405</v>
      </c>
      <c r="F140" s="12">
        <f>HLOOKUP($E$5,'Syndicats Bilan'!$F$4:$AG$227,134,0)</f>
        <v>0</v>
      </c>
    </row>
    <row r="141" spans="3:6" x14ac:dyDescent="0.25">
      <c r="D141" s="7">
        <v>2014</v>
      </c>
      <c r="E141" s="7" t="s">
        <v>407</v>
      </c>
      <c r="F141" s="12">
        <f>HLOOKUP($E$5,'Syndicats Bilan'!$F$4:$AG$227,135,0)</f>
        <v>0</v>
      </c>
    </row>
    <row r="142" spans="3:6" x14ac:dyDescent="0.25">
      <c r="D142" s="7">
        <v>2015</v>
      </c>
      <c r="E142" s="7" t="s">
        <v>406</v>
      </c>
      <c r="F142" s="12">
        <f>HLOOKUP($E$5,'Syndicats Bilan'!$F$4:$AG$227,136,0)</f>
        <v>0</v>
      </c>
    </row>
    <row r="143" spans="3:6" x14ac:dyDescent="0.25">
      <c r="D143" s="7">
        <v>2016</v>
      </c>
      <c r="E143" s="7" t="s">
        <v>268</v>
      </c>
      <c r="F143" s="12">
        <f>HLOOKUP($E$5,'Syndicats Bilan'!$F$4:$AG$227,137,0)</f>
        <v>0</v>
      </c>
    </row>
    <row r="144" spans="3:6" x14ac:dyDescent="0.25">
      <c r="D144" s="7">
        <v>2019</v>
      </c>
      <c r="E144" s="7" t="s">
        <v>408</v>
      </c>
      <c r="F144" s="12">
        <f>HLOOKUP($E$5,'Syndicats Bilan'!$F$4:$AG$227,138,0)</f>
        <v>0</v>
      </c>
    </row>
    <row r="145" spans="3:6" x14ac:dyDescent="0.25">
      <c r="F145" s="12"/>
    </row>
    <row r="146" spans="3:6" x14ac:dyDescent="0.25">
      <c r="C146" s="111">
        <v>204</v>
      </c>
      <c r="D146" s="111"/>
      <c r="E146" s="111" t="s">
        <v>254</v>
      </c>
      <c r="F146" s="112">
        <f>HLOOKUP($E$5,'Syndicats Bilan'!$F$4:$AG$227,140,0)</f>
        <v>4369.2</v>
      </c>
    </row>
    <row r="147" spans="3:6" x14ac:dyDescent="0.25">
      <c r="D147" s="7">
        <v>2040</v>
      </c>
      <c r="E147" s="7" t="s">
        <v>61</v>
      </c>
      <c r="F147" s="12">
        <f>HLOOKUP($E$5,'Syndicats Bilan'!$F$4:$AG$227,141,0)</f>
        <v>1097.8</v>
      </c>
    </row>
    <row r="148" spans="3:6" x14ac:dyDescent="0.25">
      <c r="D148" s="7">
        <v>2041</v>
      </c>
      <c r="E148" s="7" t="s">
        <v>276</v>
      </c>
      <c r="F148" s="12">
        <f>HLOOKUP($E$5,'Syndicats Bilan'!$F$4:$AG$227,142,0)</f>
        <v>3271.4</v>
      </c>
    </row>
    <row r="149" spans="3:6" x14ac:dyDescent="0.25">
      <c r="D149" s="7">
        <v>2042</v>
      </c>
      <c r="E149" s="7" t="s">
        <v>328</v>
      </c>
      <c r="F149" s="12">
        <f>HLOOKUP($E$5,'Syndicats Bilan'!$F$4:$AG$227,143,0)</f>
        <v>0</v>
      </c>
    </row>
    <row r="150" spans="3:6" x14ac:dyDescent="0.25">
      <c r="D150" s="7">
        <v>2043</v>
      </c>
      <c r="E150" s="7" t="s">
        <v>329</v>
      </c>
      <c r="F150" s="12">
        <f>HLOOKUP($E$5,'Syndicats Bilan'!$F$4:$AG$227,144,0)</f>
        <v>0</v>
      </c>
    </row>
    <row r="151" spans="3:6" x14ac:dyDescent="0.25">
      <c r="D151" s="7">
        <v>2044</v>
      </c>
      <c r="E151" s="7" t="s">
        <v>409</v>
      </c>
      <c r="F151" s="12">
        <f>HLOOKUP($E$5,'Syndicats Bilan'!$F$4:$AG$227,145,0)</f>
        <v>0</v>
      </c>
    </row>
    <row r="152" spans="3:6" x14ac:dyDescent="0.25">
      <c r="D152" s="7">
        <v>2045</v>
      </c>
      <c r="E152" s="7" t="s">
        <v>331</v>
      </c>
      <c r="F152" s="12">
        <f>HLOOKUP($E$5,'Syndicats Bilan'!$F$4:$AG$227,146,0)</f>
        <v>0</v>
      </c>
    </row>
    <row r="153" spans="3:6" x14ac:dyDescent="0.25">
      <c r="D153" s="7">
        <v>2046</v>
      </c>
      <c r="E153" s="7" t="s">
        <v>410</v>
      </c>
      <c r="F153" s="12">
        <f>HLOOKUP($E$5,'Syndicats Bilan'!$F$4:$AG$227,147,0)</f>
        <v>0</v>
      </c>
    </row>
    <row r="154" spans="3:6" x14ac:dyDescent="0.25">
      <c r="D154" s="7">
        <v>2049</v>
      </c>
      <c r="E154" s="7" t="s">
        <v>411</v>
      </c>
      <c r="F154" s="12">
        <f>HLOOKUP($E$5,'Syndicats Bilan'!$F$4:$AG$227,148,0)</f>
        <v>0</v>
      </c>
    </row>
    <row r="155" spans="3:6" x14ac:dyDescent="0.25">
      <c r="F155" s="12"/>
    </row>
    <row r="156" spans="3:6" x14ac:dyDescent="0.25">
      <c r="C156" s="111">
        <v>205</v>
      </c>
      <c r="D156" s="111"/>
      <c r="E156" s="111" t="s">
        <v>255</v>
      </c>
      <c r="F156" s="112">
        <f>HLOOKUP($E$5,'Syndicats Bilan'!$F$4:$AG$227,150,0)</f>
        <v>0</v>
      </c>
    </row>
    <row r="157" spans="3:6" x14ac:dyDescent="0.25">
      <c r="D157" s="7">
        <v>2050</v>
      </c>
      <c r="E157" s="7" t="s">
        <v>412</v>
      </c>
      <c r="F157" s="12">
        <f>HLOOKUP($E$5,'Syndicats Bilan'!$F$4:$AG$227,151,0)</f>
        <v>0</v>
      </c>
    </row>
    <row r="158" spans="3:6" x14ac:dyDescent="0.25">
      <c r="D158" s="7">
        <v>2051</v>
      </c>
      <c r="E158" s="7" t="s">
        <v>413</v>
      </c>
      <c r="F158" s="12">
        <f>HLOOKUP($E$5,'Syndicats Bilan'!$F$4:$AG$227,152,0)</f>
        <v>0</v>
      </c>
    </row>
    <row r="159" spans="3:6" x14ac:dyDescent="0.25">
      <c r="D159" s="7">
        <v>2052</v>
      </c>
      <c r="E159" s="7" t="s">
        <v>414</v>
      </c>
      <c r="F159" s="12">
        <f>HLOOKUP($E$5,'Syndicats Bilan'!$F$4:$AG$227,153,0)</f>
        <v>0</v>
      </c>
    </row>
    <row r="160" spans="3:6" x14ac:dyDescent="0.25">
      <c r="D160" s="7">
        <v>2053</v>
      </c>
      <c r="E160" s="7" t="s">
        <v>418</v>
      </c>
      <c r="F160" s="12">
        <f>HLOOKUP($E$5,'Syndicats Bilan'!$F$4:$AG$227,154,0)</f>
        <v>0</v>
      </c>
    </row>
    <row r="161" spans="3:6" x14ac:dyDescent="0.25">
      <c r="D161" s="7">
        <v>2054</v>
      </c>
      <c r="E161" s="7" t="s">
        <v>416</v>
      </c>
      <c r="F161" s="12">
        <f>HLOOKUP($E$5,'Syndicats Bilan'!$F$4:$AG$227,155,0)</f>
        <v>0</v>
      </c>
    </row>
    <row r="162" spans="3:6" x14ac:dyDescent="0.25">
      <c r="D162" s="7">
        <v>2055</v>
      </c>
      <c r="E162" s="7" t="s">
        <v>415</v>
      </c>
      <c r="F162" s="12">
        <f>HLOOKUP($E$5,'Syndicats Bilan'!$F$4:$AG$227,156,0)</f>
        <v>0</v>
      </c>
    </row>
    <row r="163" spans="3:6" x14ac:dyDescent="0.25">
      <c r="D163" s="7">
        <v>2056</v>
      </c>
      <c r="E163" s="7" t="s">
        <v>417</v>
      </c>
      <c r="F163" s="12">
        <f>HLOOKUP($E$5,'Syndicats Bilan'!$F$4:$AG$227,157,0)</f>
        <v>0</v>
      </c>
    </row>
    <row r="164" spans="3:6" x14ac:dyDescent="0.25">
      <c r="D164" s="7">
        <v>2057</v>
      </c>
      <c r="E164" s="7" t="s">
        <v>419</v>
      </c>
      <c r="F164" s="12">
        <f>HLOOKUP($E$5,'Syndicats Bilan'!$F$4:$AG$227,158,0)</f>
        <v>0</v>
      </c>
    </row>
    <row r="165" spans="3:6" x14ac:dyDescent="0.25">
      <c r="D165" s="7">
        <v>2058</v>
      </c>
      <c r="E165" s="7" t="s">
        <v>420</v>
      </c>
      <c r="F165" s="12">
        <f>HLOOKUP($E$5,'Syndicats Bilan'!$F$4:$AG$227,159,0)</f>
        <v>0</v>
      </c>
    </row>
    <row r="166" spans="3:6" x14ac:dyDescent="0.25">
      <c r="D166" s="7">
        <v>2059</v>
      </c>
      <c r="E166" s="7" t="s">
        <v>421</v>
      </c>
      <c r="F166" s="12">
        <f>HLOOKUP($E$5,'Syndicats Bilan'!$F$4:$AG$227,160,0)</f>
        <v>0</v>
      </c>
    </row>
    <row r="167" spans="3:6" x14ac:dyDescent="0.25">
      <c r="F167" s="12"/>
    </row>
    <row r="168" spans="3:6" x14ac:dyDescent="0.25">
      <c r="C168" s="111">
        <v>206</v>
      </c>
      <c r="D168" s="111"/>
      <c r="E168" s="111" t="s">
        <v>256</v>
      </c>
      <c r="F168" s="112">
        <f>HLOOKUP($E$5,'Syndicats Bilan'!$F$4:$AG$227,162,0)</f>
        <v>106000</v>
      </c>
    </row>
    <row r="169" spans="3:6" x14ac:dyDescent="0.25">
      <c r="D169" s="7">
        <v>2060</v>
      </c>
      <c r="E169" s="7" t="s">
        <v>422</v>
      </c>
      <c r="F169" s="12">
        <f>HLOOKUP($E$5,'Syndicats Bilan'!$F$4:$AG$227,163,0)</f>
        <v>0</v>
      </c>
    </row>
    <row r="170" spans="3:6" x14ac:dyDescent="0.25">
      <c r="D170" s="7">
        <v>2062</v>
      </c>
      <c r="E170" s="7" t="s">
        <v>423</v>
      </c>
      <c r="F170" s="12">
        <f>HLOOKUP($E$5,'Syndicats Bilan'!$F$4:$AG$227,164,0)</f>
        <v>0</v>
      </c>
    </row>
    <row r="171" spans="3:6" x14ac:dyDescent="0.25">
      <c r="D171" s="7">
        <v>2063</v>
      </c>
      <c r="E171" s="7" t="s">
        <v>424</v>
      </c>
      <c r="F171" s="12">
        <f>HLOOKUP($E$5,'Syndicats Bilan'!$F$4:$AG$227,165,0)</f>
        <v>0</v>
      </c>
    </row>
    <row r="172" spans="3:6" x14ac:dyDescent="0.25">
      <c r="D172" s="7">
        <v>2064</v>
      </c>
      <c r="E172" s="7" t="s">
        <v>445</v>
      </c>
      <c r="F172" s="12">
        <f>HLOOKUP($E$5,'Syndicats Bilan'!$F$4:$AG$227,166,0)</f>
        <v>0</v>
      </c>
    </row>
    <row r="173" spans="3:6" x14ac:dyDescent="0.25">
      <c r="D173" s="7">
        <v>2067</v>
      </c>
      <c r="E173" s="7" t="s">
        <v>426</v>
      </c>
      <c r="F173" s="12">
        <f>HLOOKUP($E$5,'Syndicats Bilan'!$F$4:$AG$227,167,0)</f>
        <v>0</v>
      </c>
    </row>
    <row r="174" spans="3:6" x14ac:dyDescent="0.25">
      <c r="D174" s="7">
        <v>2069</v>
      </c>
      <c r="E174" s="7" t="s">
        <v>427</v>
      </c>
      <c r="F174" s="12">
        <f>HLOOKUP($E$5,'Syndicats Bilan'!$F$4:$AG$227,168,0)</f>
        <v>106000</v>
      </c>
    </row>
    <row r="175" spans="3:6" x14ac:dyDescent="0.25">
      <c r="F175" s="12"/>
    </row>
    <row r="176" spans="3:6" x14ac:dyDescent="0.25">
      <c r="C176" s="111">
        <v>208</v>
      </c>
      <c r="D176" s="111"/>
      <c r="E176" s="111" t="s">
        <v>257</v>
      </c>
      <c r="F176" s="112">
        <f>HLOOKUP($E$5,'Syndicats Bilan'!$F$4:$AG$227,170,0)</f>
        <v>0</v>
      </c>
    </row>
    <row r="177" spans="3:6" x14ac:dyDescent="0.25">
      <c r="D177" s="7">
        <v>2081</v>
      </c>
      <c r="E177" s="7" t="s">
        <v>428</v>
      </c>
      <c r="F177" s="12">
        <f>HLOOKUP($E$5,'Syndicats Bilan'!$F$4:$AG$227,171,0)</f>
        <v>0</v>
      </c>
    </row>
    <row r="178" spans="3:6" x14ac:dyDescent="0.25">
      <c r="D178" s="7">
        <v>2082</v>
      </c>
      <c r="E178" s="7" t="s">
        <v>429</v>
      </c>
      <c r="F178" s="12">
        <f>HLOOKUP($E$5,'Syndicats Bilan'!$F$4:$AG$227,172,0)</f>
        <v>0</v>
      </c>
    </row>
    <row r="179" spans="3:6" x14ac:dyDescent="0.25">
      <c r="D179" s="7">
        <v>2083</v>
      </c>
      <c r="E179" s="7" t="s">
        <v>430</v>
      </c>
      <c r="F179" s="12">
        <f>HLOOKUP($E$5,'Syndicats Bilan'!$F$4:$AG$227,173,0)</f>
        <v>0</v>
      </c>
    </row>
    <row r="180" spans="3:6" x14ac:dyDescent="0.25">
      <c r="D180" s="7">
        <v>2084</v>
      </c>
      <c r="E180" s="7" t="s">
        <v>431</v>
      </c>
      <c r="F180" s="12">
        <f>HLOOKUP($E$5,'Syndicats Bilan'!$F$4:$AG$227,174,0)</f>
        <v>0</v>
      </c>
    </row>
    <row r="181" spans="3:6" x14ac:dyDescent="0.25">
      <c r="D181" s="7">
        <v>2085</v>
      </c>
      <c r="E181" s="7" t="s">
        <v>433</v>
      </c>
      <c r="F181" s="12">
        <f>HLOOKUP($E$5,'Syndicats Bilan'!$F$4:$AG$227,175,0)</f>
        <v>0</v>
      </c>
    </row>
    <row r="182" spans="3:6" x14ac:dyDescent="0.25">
      <c r="D182" s="7">
        <v>2086</v>
      </c>
      <c r="E182" s="7" t="s">
        <v>432</v>
      </c>
      <c r="F182" s="12">
        <f>HLOOKUP($E$5,'Syndicats Bilan'!$F$4:$AG$227,176,0)</f>
        <v>0</v>
      </c>
    </row>
    <row r="183" spans="3:6" x14ac:dyDescent="0.25">
      <c r="D183" s="7">
        <v>2087</v>
      </c>
      <c r="E183" s="7" t="s">
        <v>434</v>
      </c>
      <c r="F183" s="12">
        <f>HLOOKUP($E$5,'Syndicats Bilan'!$F$4:$AG$227,177,0)</f>
        <v>0</v>
      </c>
    </row>
    <row r="184" spans="3:6" x14ac:dyDescent="0.25">
      <c r="D184" s="7">
        <v>2088</v>
      </c>
      <c r="E184" s="7" t="s">
        <v>435</v>
      </c>
      <c r="F184" s="12">
        <f>HLOOKUP($E$5,'Syndicats Bilan'!$F$4:$AG$227,178,0)</f>
        <v>0</v>
      </c>
    </row>
    <row r="185" spans="3:6" x14ac:dyDescent="0.25">
      <c r="D185" s="7">
        <v>2089</v>
      </c>
      <c r="E185" s="7" t="s">
        <v>436</v>
      </c>
      <c r="F185" s="12">
        <f>HLOOKUP($E$5,'Syndicats Bilan'!$F$4:$AG$227,179,0)</f>
        <v>0</v>
      </c>
    </row>
    <row r="186" spans="3:6" x14ac:dyDescent="0.25">
      <c r="F186" s="12"/>
    </row>
    <row r="187" spans="3:6" x14ac:dyDescent="0.25">
      <c r="C187" s="111">
        <v>209</v>
      </c>
      <c r="D187" s="111"/>
      <c r="E187" s="111" t="s">
        <v>258</v>
      </c>
      <c r="F187" s="112">
        <f>HLOOKUP($E$5,'Syndicats Bilan'!$F$4:$AG$227,181,0)</f>
        <v>0</v>
      </c>
    </row>
    <row r="188" spans="3:6" x14ac:dyDescent="0.25">
      <c r="D188" s="7">
        <v>2090</v>
      </c>
      <c r="E188" s="7" t="s">
        <v>258</v>
      </c>
      <c r="F188" s="12">
        <f>HLOOKUP($E$5,'Syndicats Bilan'!$F$4:$AG$227,182,0)</f>
        <v>0</v>
      </c>
    </row>
    <row r="189" spans="3:6" x14ac:dyDescent="0.25">
      <c r="D189" s="7">
        <v>2091</v>
      </c>
      <c r="E189" s="7" t="s">
        <v>437</v>
      </c>
      <c r="F189" s="12">
        <f>HLOOKUP($E$5,'Syndicats Bilan'!$F$4:$AG$227,183,0)</f>
        <v>0</v>
      </c>
    </row>
    <row r="190" spans="3:6" x14ac:dyDescent="0.25">
      <c r="D190" s="7">
        <v>2092</v>
      </c>
      <c r="E190" s="7" t="s">
        <v>438</v>
      </c>
      <c r="F190" s="12">
        <f>HLOOKUP($E$5,'Syndicats Bilan'!$F$4:$AG$227,184,0)</f>
        <v>0</v>
      </c>
    </row>
    <row r="191" spans="3:6" x14ac:dyDescent="0.25">
      <c r="D191" s="7">
        <v>2093</v>
      </c>
      <c r="E191" s="7" t="s">
        <v>439</v>
      </c>
      <c r="F191" s="12">
        <f>HLOOKUP($E$5,'Syndicats Bilan'!$F$4:$AG$227,185,0)</f>
        <v>0</v>
      </c>
    </row>
    <row r="192" spans="3:6" x14ac:dyDescent="0.25">
      <c r="F192" s="12"/>
    </row>
    <row r="193" spans="2:6" x14ac:dyDescent="0.25">
      <c r="B193" s="109">
        <v>29</v>
      </c>
      <c r="C193" s="109"/>
      <c r="D193" s="109"/>
      <c r="E193" s="109" t="s">
        <v>259</v>
      </c>
      <c r="F193" s="110">
        <f>HLOOKUP($E$5,'Syndicats Bilan'!$F$4:$AG$227,187,0)</f>
        <v>21341.26</v>
      </c>
    </row>
    <row r="194" spans="2:6" x14ac:dyDescent="0.25">
      <c r="C194" s="111">
        <v>290</v>
      </c>
      <c r="D194" s="111"/>
      <c r="E194" s="111" t="s">
        <v>260</v>
      </c>
      <c r="F194" s="112">
        <f>HLOOKUP($E$5,'Syndicats Bilan'!$F$4:$AG$227,188,0)</f>
        <v>0</v>
      </c>
    </row>
    <row r="195" spans="2:6" x14ac:dyDescent="0.25">
      <c r="D195" s="7">
        <v>2900</v>
      </c>
      <c r="E195" s="7" t="s">
        <v>260</v>
      </c>
      <c r="F195" s="12">
        <f>HLOOKUP($E$5,'Syndicats Bilan'!$F$4:$AG$227,189,0)</f>
        <v>0</v>
      </c>
    </row>
    <row r="196" spans="2:6" x14ac:dyDescent="0.25">
      <c r="F196" s="12"/>
    </row>
    <row r="197" spans="2:6" x14ac:dyDescent="0.25">
      <c r="C197" s="111">
        <v>291</v>
      </c>
      <c r="D197" s="111"/>
      <c r="E197" s="111" t="s">
        <v>261</v>
      </c>
      <c r="F197" s="112">
        <f>HLOOKUP($E$5,'Syndicats Bilan'!$F$4:$AG$227,191,0)</f>
        <v>0</v>
      </c>
    </row>
    <row r="198" spans="2:6" x14ac:dyDescent="0.25">
      <c r="D198" s="7">
        <v>2910</v>
      </c>
      <c r="E198" s="7" t="s">
        <v>261</v>
      </c>
      <c r="F198" s="12">
        <f>HLOOKUP($E$5,'Syndicats Bilan'!$F$4:$AG$227,192,0)</f>
        <v>0</v>
      </c>
    </row>
    <row r="199" spans="2:6" x14ac:dyDescent="0.25">
      <c r="D199" s="7">
        <v>2911</v>
      </c>
      <c r="E199" s="7" t="s">
        <v>440</v>
      </c>
      <c r="F199" s="12">
        <f>HLOOKUP($E$5,'Syndicats Bilan'!$F$4:$AG$227,193,0)</f>
        <v>0</v>
      </c>
    </row>
    <row r="200" spans="2:6" x14ac:dyDescent="0.25">
      <c r="F200" s="12"/>
    </row>
    <row r="201" spans="2:6" x14ac:dyDescent="0.25">
      <c r="C201" s="111">
        <v>292</v>
      </c>
      <c r="D201" s="111"/>
      <c r="E201" s="111" t="s">
        <v>262</v>
      </c>
      <c r="F201" s="112">
        <f>HLOOKUP($E$5,'Syndicats Bilan'!$F$4:$AG$227,195,0)</f>
        <v>0</v>
      </c>
    </row>
    <row r="202" spans="2:6" x14ac:dyDescent="0.25">
      <c r="D202" s="7">
        <v>2920</v>
      </c>
      <c r="E202" s="7" t="s">
        <v>262</v>
      </c>
      <c r="F202" s="12">
        <f>HLOOKUP($E$5,'Syndicats Bilan'!$F$4:$AG$227,196,0)</f>
        <v>0</v>
      </c>
    </row>
    <row r="203" spans="2:6" x14ac:dyDescent="0.25">
      <c r="F203" s="12"/>
    </row>
    <row r="204" spans="2:6" x14ac:dyDescent="0.25">
      <c r="C204" s="111">
        <v>293</v>
      </c>
      <c r="D204" s="111"/>
      <c r="E204" s="111" t="s">
        <v>263</v>
      </c>
      <c r="F204" s="112">
        <f>HLOOKUP($E$5,'Syndicats Bilan'!$F$4:$AG$227,198,0)</f>
        <v>0</v>
      </c>
    </row>
    <row r="205" spans="2:6" x14ac:dyDescent="0.25">
      <c r="D205" s="7">
        <v>2930</v>
      </c>
      <c r="E205" s="7" t="s">
        <v>263</v>
      </c>
      <c r="F205" s="12">
        <f>HLOOKUP($E$5,'Syndicats Bilan'!$F$4:$AG$227,199,0)</f>
        <v>0</v>
      </c>
    </row>
    <row r="206" spans="2:6" x14ac:dyDescent="0.25">
      <c r="F206" s="12"/>
    </row>
    <row r="207" spans="2:6" x14ac:dyDescent="0.25">
      <c r="C207" s="111">
        <v>294</v>
      </c>
      <c r="D207" s="111"/>
      <c r="E207" s="111" t="s">
        <v>264</v>
      </c>
      <c r="F207" s="112">
        <f>HLOOKUP($E$5,'Syndicats Bilan'!$F$4:$AG$227,201,0)</f>
        <v>0</v>
      </c>
    </row>
    <row r="208" spans="2:6" x14ac:dyDescent="0.25">
      <c r="D208" s="7">
        <v>2940</v>
      </c>
      <c r="E208" s="7" t="s">
        <v>264</v>
      </c>
      <c r="F208" s="12">
        <f>HLOOKUP($E$5,'Syndicats Bilan'!$F$4:$AG$227,202,0)</f>
        <v>0</v>
      </c>
    </row>
    <row r="209" spans="3:6" x14ac:dyDescent="0.25">
      <c r="F209" s="12"/>
    </row>
    <row r="210" spans="3:6" x14ac:dyDescent="0.25">
      <c r="C210" s="111">
        <v>295</v>
      </c>
      <c r="D210" s="111"/>
      <c r="E210" s="111" t="s">
        <v>265</v>
      </c>
      <c r="F210" s="112">
        <f>HLOOKUP($E$5,'Syndicats Bilan'!$F$4:$AG$227,204,0)</f>
        <v>0</v>
      </c>
    </row>
    <row r="211" spans="3:6" x14ac:dyDescent="0.25">
      <c r="D211" s="7">
        <v>2950</v>
      </c>
      <c r="E211" s="7" t="s">
        <v>265</v>
      </c>
      <c r="F211" s="12">
        <f>HLOOKUP($E$5,'Syndicats Bilan'!$F$4:$AG$227,205,0)</f>
        <v>0</v>
      </c>
    </row>
    <row r="212" spans="3:6" x14ac:dyDescent="0.25">
      <c r="F212" s="12"/>
    </row>
    <row r="213" spans="3:6" x14ac:dyDescent="0.25">
      <c r="C213" s="111">
        <v>296</v>
      </c>
      <c r="D213" s="111"/>
      <c r="E213" s="111" t="s">
        <v>266</v>
      </c>
      <c r="F213" s="112">
        <f>HLOOKUP($E$5,'Syndicats Bilan'!$F$4:$AG$227,207,0)</f>
        <v>0</v>
      </c>
    </row>
    <row r="214" spans="3:6" x14ac:dyDescent="0.25">
      <c r="D214" s="7">
        <v>2960</v>
      </c>
      <c r="E214" s="7" t="s">
        <v>266</v>
      </c>
      <c r="F214" s="12">
        <f>HLOOKUP($E$5,'Syndicats Bilan'!$F$4:$AG$227,208,0)</f>
        <v>0</v>
      </c>
    </row>
    <row r="215" spans="3:6" x14ac:dyDescent="0.25">
      <c r="F215" s="12"/>
    </row>
    <row r="216" spans="3:6" x14ac:dyDescent="0.25">
      <c r="C216" s="111">
        <v>298</v>
      </c>
      <c r="D216" s="111"/>
      <c r="E216" s="111" t="s">
        <v>267</v>
      </c>
      <c r="F216" s="112">
        <f>HLOOKUP($E$5,'Syndicats Bilan'!$F$4:$AG$227,210,0)</f>
        <v>0</v>
      </c>
    </row>
    <row r="217" spans="3:6" x14ac:dyDescent="0.25">
      <c r="D217" s="7">
        <v>2980</v>
      </c>
      <c r="E217" s="7" t="s">
        <v>267</v>
      </c>
      <c r="F217" s="12">
        <f>HLOOKUP($E$5,'Syndicats Bilan'!$F$4:$AG$227,211,0)</f>
        <v>0</v>
      </c>
    </row>
    <row r="218" spans="3:6" x14ac:dyDescent="0.25">
      <c r="F218" s="12"/>
    </row>
    <row r="219" spans="3:6" x14ac:dyDescent="0.25">
      <c r="C219" s="111">
        <v>299</v>
      </c>
      <c r="D219" s="111"/>
      <c r="E219" s="111" t="s">
        <v>441</v>
      </c>
      <c r="F219" s="112">
        <f>HLOOKUP($E$5,'Syndicats Bilan'!$F$4:$AG$227,213,0)</f>
        <v>21341.26</v>
      </c>
    </row>
    <row r="220" spans="3:6" x14ac:dyDescent="0.25">
      <c r="D220" s="7">
        <v>2990</v>
      </c>
      <c r="E220" s="7" t="s">
        <v>441</v>
      </c>
      <c r="F220" s="12">
        <f>HLOOKUP($E$5,'Syndicats Bilan'!$F$4:$AG$227,214,0)</f>
        <v>0</v>
      </c>
    </row>
    <row r="221" spans="3:6" x14ac:dyDescent="0.25">
      <c r="D221" s="7">
        <v>2999</v>
      </c>
      <c r="E221" s="7" t="s">
        <v>842</v>
      </c>
      <c r="F221" s="12">
        <f>HLOOKUP($E$5,'Syndicats Bilan'!$F$4:$AG$227,215,0)</f>
        <v>21341.26</v>
      </c>
    </row>
    <row r="222" spans="3:6" x14ac:dyDescent="0.25">
      <c r="F222" s="12"/>
    </row>
    <row r="223" spans="3:6" x14ac:dyDescent="0.25">
      <c r="C223" s="114"/>
      <c r="D223" s="114"/>
      <c r="E223" s="114" t="s">
        <v>580</v>
      </c>
      <c r="F223" s="118">
        <f>HLOOKUP($E$5,'Syndicats Bilan'!$F$4:$AG$227,217,0)</f>
        <v>0</v>
      </c>
    </row>
    <row r="224" spans="3:6" x14ac:dyDescent="0.25">
      <c r="D224" s="7">
        <v>290</v>
      </c>
      <c r="E224" s="7" t="s">
        <v>579</v>
      </c>
      <c r="F224" s="12">
        <f>HLOOKUP($E$5,'Syndicats Bilan'!$F$4:$AG$227,218,0)</f>
        <v>0</v>
      </c>
    </row>
    <row r="225" spans="4:6" x14ac:dyDescent="0.25">
      <c r="D225" s="7">
        <v>2990</v>
      </c>
      <c r="E225" s="7" t="s">
        <v>583</v>
      </c>
      <c r="F225" s="12">
        <f>HLOOKUP($E$5,'Syndicats Bilan'!$F$4:$AG$227,219,0)</f>
        <v>0</v>
      </c>
    </row>
    <row r="226" spans="4:6" x14ac:dyDescent="0.25">
      <c r="F226" s="12"/>
    </row>
    <row r="227" spans="4:6" x14ac:dyDescent="0.25">
      <c r="E227" s="6" t="s">
        <v>582</v>
      </c>
      <c r="F227" s="12">
        <f>HLOOKUP($E$5,'Syndicats Bilan'!$F$4:$AG$227,221,0)</f>
        <v>0</v>
      </c>
    </row>
    <row r="228" spans="4:6" x14ac:dyDescent="0.25">
      <c r="F228" s="12"/>
    </row>
    <row r="229" spans="4:6" x14ac:dyDescent="0.25">
      <c r="E229" s="77" t="s">
        <v>581</v>
      </c>
      <c r="F229" s="12">
        <f>HLOOKUP($E$5,'Syndicats Bilan'!$F$4:$AG$227,223,0)</f>
        <v>0</v>
      </c>
    </row>
    <row r="230" spans="4:6" x14ac:dyDescent="0.25">
      <c r="F230" s="1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A00-000000000000}">
          <x14:formula1>
            <xm:f>'Syndicats Bilan'!$F$4:$AG$4</xm:f>
          </x14:formula1>
          <xm:sqref>E5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59999389629810485"/>
  </sheetPr>
  <dimension ref="A1:B34"/>
  <sheetViews>
    <sheetView workbookViewId="0"/>
  </sheetViews>
  <sheetFormatPr baseColWidth="10" defaultColWidth="11.44140625" defaultRowHeight="13.8" x14ac:dyDescent="0.25"/>
  <cols>
    <col min="1" max="1" width="63.5546875" style="7" customWidth="1"/>
    <col min="2" max="2" width="22.88671875" style="7" customWidth="1"/>
    <col min="3" max="16384" width="11.44140625" style="7"/>
  </cols>
  <sheetData>
    <row r="1" spans="1:2" x14ac:dyDescent="0.25">
      <c r="A1" s="6"/>
    </row>
    <row r="4" spans="1:2" ht="21" x14ac:dyDescent="0.4">
      <c r="A4" s="79" t="s">
        <v>60</v>
      </c>
      <c r="B4" s="12"/>
    </row>
    <row r="5" spans="1:2" x14ac:dyDescent="0.25">
      <c r="A5" s="6" t="s">
        <v>747</v>
      </c>
      <c r="B5" s="12">
        <f>'MCH2'!BF6</f>
        <v>72750465.75</v>
      </c>
    </row>
    <row r="6" spans="1:2" x14ac:dyDescent="0.25">
      <c r="A6" s="6" t="s">
        <v>748</v>
      </c>
      <c r="B6" s="12">
        <f>'MCH2'!BF16</f>
        <v>86997834.980000004</v>
      </c>
    </row>
    <row r="7" spans="1:2" x14ac:dyDescent="0.25">
      <c r="A7" s="6" t="s">
        <v>749</v>
      </c>
      <c r="B7" s="12">
        <f>'MCH2'!BF28</f>
        <v>25063351.139999997</v>
      </c>
    </row>
    <row r="8" spans="1:2" x14ac:dyDescent="0.25">
      <c r="A8" s="6" t="s">
        <v>750</v>
      </c>
      <c r="B8" s="12">
        <f>'MCH2'!BF32</f>
        <v>8237138.9299999978</v>
      </c>
    </row>
    <row r="9" spans="1:2" x14ac:dyDescent="0.25">
      <c r="A9" s="6" t="s">
        <v>751</v>
      </c>
      <c r="B9" s="12">
        <f>'MCH2'!BF40</f>
        <v>2809245.6700000009</v>
      </c>
    </row>
    <row r="10" spans="1:2" x14ac:dyDescent="0.25">
      <c r="A10" s="6" t="s">
        <v>752</v>
      </c>
      <c r="B10" s="12">
        <f>'MCH2'!BF44</f>
        <v>196494126.72999996</v>
      </c>
    </row>
    <row r="11" spans="1:2" x14ac:dyDescent="0.25">
      <c r="A11" s="6" t="s">
        <v>753</v>
      </c>
      <c r="B11" s="12">
        <f>'MCH2'!BF54</f>
        <v>2688304.3000000003</v>
      </c>
    </row>
    <row r="12" spans="1:2" x14ac:dyDescent="0.25">
      <c r="A12" s="6" t="s">
        <v>754</v>
      </c>
      <c r="B12" s="12">
        <f>'MCH2'!BF57</f>
        <v>6661203.8000000007</v>
      </c>
    </row>
    <row r="13" spans="1:2" x14ac:dyDescent="0.25">
      <c r="A13" s="6" t="s">
        <v>755</v>
      </c>
      <c r="B13" s="12">
        <f>'MCH2'!BF65</f>
        <v>6706821.9000000004</v>
      </c>
    </row>
    <row r="14" spans="1:2" x14ac:dyDescent="0.25">
      <c r="B14" s="12"/>
    </row>
    <row r="15" spans="1:2" ht="21" x14ac:dyDescent="0.4">
      <c r="A15" s="79" t="s">
        <v>136</v>
      </c>
      <c r="B15" s="12"/>
    </row>
    <row r="16" spans="1:2" x14ac:dyDescent="0.25">
      <c r="A16" s="6" t="s">
        <v>756</v>
      </c>
      <c r="B16" s="12">
        <f>'MCH2'!BF77</f>
        <v>224239356.33000001</v>
      </c>
    </row>
    <row r="17" spans="1:2" x14ac:dyDescent="0.25">
      <c r="A17" s="6" t="s">
        <v>757</v>
      </c>
      <c r="B17" s="12">
        <f>'MCH2'!BF83</f>
        <v>1218755.5599999998</v>
      </c>
    </row>
    <row r="18" spans="1:2" x14ac:dyDescent="0.25">
      <c r="A18" s="6" t="s">
        <v>758</v>
      </c>
      <c r="B18" s="12">
        <f>'MCH2'!BF89</f>
        <v>90551826.059999987</v>
      </c>
    </row>
    <row r="19" spans="1:2" x14ac:dyDescent="0.25">
      <c r="A19" s="6" t="s">
        <v>759</v>
      </c>
      <c r="B19" s="12">
        <f>'MCH2'!BF100</f>
        <v>2316555.17</v>
      </c>
    </row>
    <row r="20" spans="1:2" x14ac:dyDescent="0.25">
      <c r="A20" s="6" t="s">
        <v>760</v>
      </c>
      <c r="B20" s="12">
        <f>'MCH2'!BF106</f>
        <v>14057802.459999997</v>
      </c>
    </row>
    <row r="21" spans="1:2" x14ac:dyDescent="0.25">
      <c r="A21" s="6" t="s">
        <v>761</v>
      </c>
      <c r="B21" s="12">
        <f>'MCH2'!BF118</f>
        <v>4005363.81</v>
      </c>
    </row>
    <row r="22" spans="1:2" x14ac:dyDescent="0.25">
      <c r="A22" s="6" t="s">
        <v>762</v>
      </c>
      <c r="B22" s="12">
        <f>'MCH2'!BF122</f>
        <v>66093642.559999995</v>
      </c>
    </row>
    <row r="23" spans="1:2" x14ac:dyDescent="0.25">
      <c r="A23" s="6" t="s">
        <v>763</v>
      </c>
      <c r="B23" s="12">
        <f>'MCH2'!BF129</f>
        <v>2342384.3000000003</v>
      </c>
    </row>
    <row r="24" spans="1:2" x14ac:dyDescent="0.25">
      <c r="A24" s="6" t="s">
        <v>764</v>
      </c>
      <c r="B24" s="12">
        <f>'MCH2'!BF132</f>
        <v>4457240.22</v>
      </c>
    </row>
    <row r="25" spans="1:2" x14ac:dyDescent="0.25">
      <c r="A25" s="6" t="s">
        <v>765</v>
      </c>
      <c r="B25" s="12">
        <f>'MCH2'!BF141</f>
        <v>6714147.8200000012</v>
      </c>
    </row>
    <row r="26" spans="1:2" x14ac:dyDescent="0.25">
      <c r="B26" s="12"/>
    </row>
    <row r="27" spans="1:2" x14ac:dyDescent="0.25">
      <c r="B27" s="12"/>
    </row>
    <row r="28" spans="1:2" x14ac:dyDescent="0.25">
      <c r="B28" s="12"/>
    </row>
    <row r="29" spans="1:2" x14ac:dyDescent="0.25">
      <c r="B29" s="12"/>
    </row>
    <row r="30" spans="1:2" x14ac:dyDescent="0.25">
      <c r="B30" s="12"/>
    </row>
    <row r="31" spans="1:2" x14ac:dyDescent="0.25">
      <c r="B31" s="12"/>
    </row>
    <row r="32" spans="1:2" x14ac:dyDescent="0.25">
      <c r="B32" s="12"/>
    </row>
    <row r="33" spans="2:2" x14ac:dyDescent="0.25">
      <c r="B33" s="12"/>
    </row>
    <row r="34" spans="2:2" x14ac:dyDescent="0.25">
      <c r="B34" s="12"/>
    </row>
  </sheetData>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FF0000"/>
  </sheetPr>
  <dimension ref="A2:AD29"/>
  <sheetViews>
    <sheetView workbookViewId="0">
      <selection activeCell="A2" sqref="A2"/>
    </sheetView>
  </sheetViews>
  <sheetFormatPr baseColWidth="10" defaultColWidth="11.44140625" defaultRowHeight="13.8" x14ac:dyDescent="0.25"/>
  <cols>
    <col min="1" max="1" width="5.6640625" style="7" customWidth="1"/>
    <col min="2" max="2" width="50.33203125" style="7" customWidth="1"/>
    <col min="3" max="30" width="16.33203125" style="7" customWidth="1"/>
    <col min="31" max="16384" width="11.44140625" style="7"/>
  </cols>
  <sheetData>
    <row r="2" spans="1:30" ht="21" x14ac:dyDescent="0.4">
      <c r="A2" s="79" t="s">
        <v>822</v>
      </c>
      <c r="B2" s="6"/>
    </row>
    <row r="3" spans="1:30" ht="15" customHeight="1" x14ac:dyDescent="0.25">
      <c r="A3" s="119" t="s">
        <v>812</v>
      </c>
      <c r="B3" s="6"/>
    </row>
    <row r="4" spans="1:30" ht="15" customHeight="1" x14ac:dyDescent="0.25">
      <c r="A4" s="6"/>
      <c r="B4" s="6"/>
    </row>
    <row r="5" spans="1:30" ht="15" customHeight="1" x14ac:dyDescent="0.4">
      <c r="A5" s="5"/>
      <c r="B5" s="6"/>
    </row>
    <row r="6" spans="1:30" x14ac:dyDescent="0.25">
      <c r="A6" s="120"/>
      <c r="C6" s="8"/>
      <c r="D6" s="8"/>
      <c r="E6" s="8"/>
      <c r="F6" s="8"/>
      <c r="G6" s="8"/>
      <c r="H6" s="8"/>
      <c r="I6" s="8"/>
      <c r="J6" s="8"/>
      <c r="K6" s="8"/>
      <c r="L6" s="8"/>
      <c r="M6" s="8"/>
      <c r="N6" s="8"/>
      <c r="O6" s="8"/>
      <c r="P6" s="8"/>
      <c r="Q6" s="8"/>
      <c r="R6" s="8"/>
      <c r="S6" s="8"/>
      <c r="T6" s="8"/>
      <c r="U6" s="8"/>
      <c r="V6" s="8"/>
      <c r="W6" s="8"/>
      <c r="X6" s="8"/>
      <c r="Y6" s="8"/>
      <c r="Z6" s="8"/>
      <c r="AA6" s="8"/>
      <c r="AB6" s="8"/>
      <c r="AC6" s="8"/>
      <c r="AD6" s="8"/>
    </row>
    <row r="7" spans="1:30" x14ac:dyDescent="0.25">
      <c r="C7" s="81" t="s">
        <v>786</v>
      </c>
      <c r="D7" s="81" t="s">
        <v>787</v>
      </c>
      <c r="E7" s="81" t="s">
        <v>788</v>
      </c>
      <c r="F7" s="81" t="s">
        <v>789</v>
      </c>
      <c r="G7" s="81" t="s">
        <v>790</v>
      </c>
      <c r="H7" s="81" t="s">
        <v>791</v>
      </c>
      <c r="I7" s="81" t="s">
        <v>792</v>
      </c>
      <c r="J7" s="81" t="s">
        <v>815</v>
      </c>
      <c r="K7" s="81" t="s">
        <v>793</v>
      </c>
      <c r="L7" s="81" t="s">
        <v>794</v>
      </c>
      <c r="M7" s="81" t="s">
        <v>795</v>
      </c>
      <c r="N7" s="81" t="s">
        <v>796</v>
      </c>
      <c r="O7" s="81" t="s">
        <v>797</v>
      </c>
      <c r="P7" s="81" t="s">
        <v>798</v>
      </c>
      <c r="Q7" s="81" t="s">
        <v>799</v>
      </c>
      <c r="R7" s="81" t="s">
        <v>800</v>
      </c>
      <c r="S7" s="81" t="s">
        <v>801</v>
      </c>
      <c r="T7" s="81" t="s">
        <v>802</v>
      </c>
      <c r="U7" s="81" t="s">
        <v>803</v>
      </c>
      <c r="V7" s="81" t="s">
        <v>804</v>
      </c>
      <c r="W7" s="81" t="s">
        <v>805</v>
      </c>
      <c r="X7" s="81" t="s">
        <v>806</v>
      </c>
      <c r="Y7" s="81" t="s">
        <v>807</v>
      </c>
      <c r="Z7" s="81" t="s">
        <v>808</v>
      </c>
      <c r="AA7" s="81" t="s">
        <v>809</v>
      </c>
      <c r="AB7" s="81" t="s">
        <v>810</v>
      </c>
      <c r="AC7" s="81" t="s">
        <v>811</v>
      </c>
      <c r="AD7" s="81" t="s">
        <v>65</v>
      </c>
    </row>
    <row r="8" spans="1:30" x14ac:dyDescent="0.25">
      <c r="A8" s="7">
        <v>10</v>
      </c>
      <c r="B8" s="7" t="s">
        <v>239</v>
      </c>
      <c r="C8" s="15">
        <f>'Syndicats Bilan'!F6</f>
        <v>242513.35</v>
      </c>
      <c r="D8" s="15">
        <f>'Syndicats Bilan'!G6</f>
        <v>3350374.54</v>
      </c>
      <c r="E8" s="15">
        <f>'Syndicats Bilan'!H6</f>
        <v>237306.6</v>
      </c>
      <c r="F8" s="15">
        <f>'Syndicats Bilan'!I6</f>
        <v>9725657.9199999999</v>
      </c>
      <c r="G8" s="15">
        <f>'Syndicats Bilan'!J6</f>
        <v>0</v>
      </c>
      <c r="H8" s="15">
        <f>'Syndicats Bilan'!K6</f>
        <v>208880.24</v>
      </c>
      <c r="I8" s="15">
        <f>'Syndicats Bilan'!L6</f>
        <v>470335.83</v>
      </c>
      <c r="J8" s="15">
        <f>'Syndicats Bilan'!M6</f>
        <v>1469114.96</v>
      </c>
      <c r="K8" s="15">
        <f>'Syndicats Bilan'!N6</f>
        <v>106191.56</v>
      </c>
      <c r="L8" s="15">
        <f>'Syndicats Bilan'!O6</f>
        <v>149710.46</v>
      </c>
      <c r="M8" s="15">
        <f>'Syndicats Bilan'!P6</f>
        <v>9504041.7899999991</v>
      </c>
      <c r="N8" s="15">
        <f>'Syndicats Bilan'!Q6</f>
        <v>41148.58</v>
      </c>
      <c r="O8" s="15">
        <f>'Syndicats Bilan'!R6</f>
        <v>6637.19</v>
      </c>
      <c r="P8" s="15">
        <f>'Syndicats Bilan'!S6</f>
        <v>42708.02</v>
      </c>
      <c r="Q8" s="15">
        <f>'Syndicats Bilan'!T6</f>
        <v>0</v>
      </c>
      <c r="R8" s="15">
        <f>'Syndicats Bilan'!U6</f>
        <v>0</v>
      </c>
      <c r="S8" s="15">
        <f>'Syndicats Bilan'!V6</f>
        <v>0</v>
      </c>
      <c r="T8" s="15">
        <f>'Syndicats Bilan'!W6</f>
        <v>15235.58</v>
      </c>
      <c r="U8" s="15">
        <f>'Syndicats Bilan'!X6</f>
        <v>0</v>
      </c>
      <c r="V8" s="15">
        <f>'Syndicats Bilan'!Y6</f>
        <v>3061072.16</v>
      </c>
      <c r="W8" s="15">
        <f>'Syndicats Bilan'!Z6</f>
        <v>2691321.33</v>
      </c>
      <c r="X8" s="15">
        <f>'Syndicats Bilan'!AA6</f>
        <v>449280.11</v>
      </c>
      <c r="Y8" s="15">
        <f>'Syndicats Bilan'!AB6</f>
        <v>3378690.4199999995</v>
      </c>
      <c r="Z8" s="15">
        <f>'Syndicats Bilan'!AC6</f>
        <v>349120.01</v>
      </c>
      <c r="AA8" s="15">
        <f>'Syndicats Bilan'!AD6</f>
        <v>0</v>
      </c>
      <c r="AB8" s="15">
        <f>'Syndicats Bilan'!AE6</f>
        <v>643247.32999999996</v>
      </c>
      <c r="AC8" s="15">
        <f>'Syndicats Bilan'!AF6</f>
        <v>813679.3</v>
      </c>
      <c r="AD8" s="15">
        <f>SUM(C8:AC8)</f>
        <v>36956267.279999994</v>
      </c>
    </row>
    <row r="9" spans="1:30" x14ac:dyDescent="0.2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x14ac:dyDescent="0.25">
      <c r="A10" s="7">
        <v>20</v>
      </c>
      <c r="B10" s="7" t="s">
        <v>251</v>
      </c>
      <c r="C10" s="15">
        <f>'Syndicats Bilan'!F122</f>
        <v>2082099.51</v>
      </c>
      <c r="D10" s="15">
        <f>'Syndicats Bilan'!G122</f>
        <v>218603.47</v>
      </c>
      <c r="E10" s="15">
        <f>'Syndicats Bilan'!H122</f>
        <v>2455.6</v>
      </c>
      <c r="F10" s="15">
        <f>'Syndicats Bilan'!I122</f>
        <v>3085189.8400000003</v>
      </c>
      <c r="G10" s="15">
        <f>'Syndicats Bilan'!J122</f>
        <v>0</v>
      </c>
      <c r="H10" s="15">
        <f>'Syndicats Bilan'!K122</f>
        <v>2889945.99</v>
      </c>
      <c r="I10" s="15">
        <f>'Syndicats Bilan'!L122</f>
        <v>917605.83000000007</v>
      </c>
      <c r="J10" s="15">
        <f>'Syndicats Bilan'!M122</f>
        <v>4651248.84</v>
      </c>
      <c r="K10" s="15">
        <f>'Syndicats Bilan'!N122</f>
        <v>106191.56</v>
      </c>
      <c r="L10" s="15">
        <f>'Syndicats Bilan'!O122</f>
        <v>128369.2</v>
      </c>
      <c r="M10" s="15">
        <f>'Syndicats Bilan'!P122</f>
        <v>128800.05</v>
      </c>
      <c r="N10" s="15">
        <f>'Syndicats Bilan'!Q122</f>
        <v>807.75</v>
      </c>
      <c r="O10" s="15">
        <f>'Syndicats Bilan'!R122</f>
        <v>28866.6</v>
      </c>
      <c r="P10" s="15">
        <f>'Syndicats Bilan'!S122</f>
        <v>4428.8999999999996</v>
      </c>
      <c r="Q10" s="15">
        <f>'Syndicats Bilan'!T122</f>
        <v>0</v>
      </c>
      <c r="R10" s="15">
        <f>'Syndicats Bilan'!U122</f>
        <v>0</v>
      </c>
      <c r="S10" s="15">
        <f>'Syndicats Bilan'!V122</f>
        <v>0</v>
      </c>
      <c r="T10" s="15">
        <f>'Syndicats Bilan'!W122</f>
        <v>1355070.47</v>
      </c>
      <c r="U10" s="15">
        <f>'Syndicats Bilan'!X122</f>
        <v>0</v>
      </c>
      <c r="V10" s="15">
        <f>'Syndicats Bilan'!Y122</f>
        <v>812322.41999999993</v>
      </c>
      <c r="W10" s="15">
        <f>'Syndicats Bilan'!Z122</f>
        <v>21862837.810000002</v>
      </c>
      <c r="X10" s="15">
        <f>'Syndicats Bilan'!AA122</f>
        <v>1926725.09</v>
      </c>
      <c r="Y10" s="15">
        <f>'Syndicats Bilan'!AB122</f>
        <v>4006694.71</v>
      </c>
      <c r="Z10" s="15">
        <f>'Syndicats Bilan'!AC122</f>
        <v>0</v>
      </c>
      <c r="AA10" s="15">
        <f>'Syndicats Bilan'!AD122</f>
        <v>0</v>
      </c>
      <c r="AB10" s="15">
        <f>'Syndicats Bilan'!AE122</f>
        <v>7876609.7599999998</v>
      </c>
      <c r="AC10" s="15">
        <f>'Syndicats Bilan'!AF122</f>
        <v>251227.1</v>
      </c>
      <c r="AD10" s="15">
        <f>SUM(C10:AC10)</f>
        <v>52336100.500000007</v>
      </c>
    </row>
    <row r="11" spans="1:30" x14ac:dyDescent="0.2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row>
    <row r="12" spans="1:30" x14ac:dyDescent="0.25">
      <c r="A12" s="7">
        <v>200</v>
      </c>
      <c r="B12" s="7" t="s">
        <v>448</v>
      </c>
      <c r="C12" s="15">
        <f>'Syndicats Bilan'!F123</f>
        <v>79417.45</v>
      </c>
      <c r="D12" s="15">
        <f>'Syndicats Bilan'!G123</f>
        <v>198757.56</v>
      </c>
      <c r="E12" s="15">
        <f>'Syndicats Bilan'!H123</f>
        <v>0</v>
      </c>
      <c r="F12" s="15">
        <f>'Syndicats Bilan'!I123</f>
        <v>2885189.8400000003</v>
      </c>
      <c r="G12" s="15">
        <f>'Syndicats Bilan'!J123</f>
        <v>0</v>
      </c>
      <c r="H12" s="15">
        <f>'Syndicats Bilan'!K123</f>
        <v>65814.290000000008</v>
      </c>
      <c r="I12" s="15">
        <f>'Syndicats Bilan'!L123</f>
        <v>383837.63</v>
      </c>
      <c r="J12" s="15">
        <f>'Syndicats Bilan'!M123</f>
        <v>108356.13</v>
      </c>
      <c r="K12" s="15">
        <f>'Syndicats Bilan'!N123</f>
        <v>10123.75</v>
      </c>
      <c r="L12" s="15">
        <f>'Syndicats Bilan'!O123</f>
        <v>18000</v>
      </c>
      <c r="M12" s="15">
        <f>'Syndicats Bilan'!P123</f>
        <v>122000.05</v>
      </c>
      <c r="N12" s="15">
        <f>'Syndicats Bilan'!Q123</f>
        <v>807.75</v>
      </c>
      <c r="O12" s="15">
        <f>'Syndicats Bilan'!R123</f>
        <v>0</v>
      </c>
      <c r="P12" s="15">
        <f>'Syndicats Bilan'!S123</f>
        <v>0</v>
      </c>
      <c r="Q12" s="15">
        <f>'Syndicats Bilan'!T123</f>
        <v>0</v>
      </c>
      <c r="R12" s="15">
        <f>'Syndicats Bilan'!U123</f>
        <v>0</v>
      </c>
      <c r="S12" s="15">
        <f>'Syndicats Bilan'!V123</f>
        <v>0</v>
      </c>
      <c r="T12" s="15">
        <f>'Syndicats Bilan'!W123</f>
        <v>0</v>
      </c>
      <c r="U12" s="15">
        <f>'Syndicats Bilan'!X123</f>
        <v>0</v>
      </c>
      <c r="V12" s="15">
        <f>'Syndicats Bilan'!Y123</f>
        <v>3186.6500000000015</v>
      </c>
      <c r="W12" s="15">
        <f>'Syndicats Bilan'!Z123</f>
        <v>808898.06</v>
      </c>
      <c r="X12" s="15">
        <f>'Syndicats Bilan'!AA123</f>
        <v>0</v>
      </c>
      <c r="Y12" s="15">
        <f>'Syndicats Bilan'!AB123</f>
        <v>159802.84</v>
      </c>
      <c r="Z12" s="15">
        <f>'Syndicats Bilan'!AC123</f>
        <v>0</v>
      </c>
      <c r="AA12" s="15">
        <f>'Syndicats Bilan'!AD123</f>
        <v>0</v>
      </c>
      <c r="AB12" s="15">
        <f>'Syndicats Bilan'!AE123</f>
        <v>141744.31</v>
      </c>
      <c r="AC12" s="15">
        <f>'Syndicats Bilan'!AF123</f>
        <v>0</v>
      </c>
      <c r="AD12" s="15">
        <f>SUM(C12:AC12)</f>
        <v>4985936.3099999996</v>
      </c>
    </row>
    <row r="13" spans="1:30" x14ac:dyDescent="0.2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row>
    <row r="14" spans="1:30" x14ac:dyDescent="0.25">
      <c r="A14" s="7">
        <v>201</v>
      </c>
      <c r="B14" s="7" t="s">
        <v>253</v>
      </c>
      <c r="C14" s="15">
        <f>'Syndicats Bilan'!F133</f>
        <v>0</v>
      </c>
      <c r="D14" s="15">
        <f>'Syndicats Bilan'!G133</f>
        <v>0</v>
      </c>
      <c r="E14" s="15">
        <f>'Syndicats Bilan'!H133</f>
        <v>0</v>
      </c>
      <c r="F14" s="15">
        <f>'Syndicats Bilan'!I133</f>
        <v>0</v>
      </c>
      <c r="G14" s="15">
        <f>'Syndicats Bilan'!J133</f>
        <v>0</v>
      </c>
      <c r="H14" s="15">
        <f>'Syndicats Bilan'!K133</f>
        <v>319920</v>
      </c>
      <c r="I14" s="15">
        <f>'Syndicats Bilan'!L133</f>
        <v>0</v>
      </c>
      <c r="J14" s="15">
        <f>'Syndicats Bilan'!M133</f>
        <v>1028506.16</v>
      </c>
      <c r="K14" s="15">
        <f>'Syndicats Bilan'!N133</f>
        <v>0</v>
      </c>
      <c r="L14" s="15">
        <f>'Syndicats Bilan'!O133</f>
        <v>0</v>
      </c>
      <c r="M14" s="15">
        <f>'Syndicats Bilan'!P133</f>
        <v>0</v>
      </c>
      <c r="N14" s="15">
        <f>'Syndicats Bilan'!Q133</f>
        <v>0</v>
      </c>
      <c r="O14" s="15">
        <f>'Syndicats Bilan'!R133</f>
        <v>0</v>
      </c>
      <c r="P14" s="15">
        <f>'Syndicats Bilan'!S133</f>
        <v>0</v>
      </c>
      <c r="Q14" s="15">
        <f>'Syndicats Bilan'!T133</f>
        <v>0</v>
      </c>
      <c r="R14" s="15">
        <f>'Syndicats Bilan'!U133</f>
        <v>0</v>
      </c>
      <c r="S14" s="15">
        <f>'Syndicats Bilan'!V133</f>
        <v>0</v>
      </c>
      <c r="T14" s="15">
        <f>'Syndicats Bilan'!W133</f>
        <v>855070.47</v>
      </c>
      <c r="U14" s="15">
        <f>'Syndicats Bilan'!X133</f>
        <v>0</v>
      </c>
      <c r="V14" s="15">
        <f>'Syndicats Bilan'!Y133</f>
        <v>611726.66999999993</v>
      </c>
      <c r="W14" s="15">
        <f>'Syndicats Bilan'!Z133</f>
        <v>7512158.1299999999</v>
      </c>
      <c r="X14" s="15">
        <f>'Syndicats Bilan'!AA133</f>
        <v>0</v>
      </c>
      <c r="Y14" s="15">
        <f>'Syndicats Bilan'!AB133</f>
        <v>180500</v>
      </c>
      <c r="Z14" s="15">
        <f>'Syndicats Bilan'!AC133</f>
        <v>0</v>
      </c>
      <c r="AA14" s="15">
        <f>'Syndicats Bilan'!AD133</f>
        <v>0</v>
      </c>
      <c r="AB14" s="15">
        <f>'Syndicats Bilan'!AE133</f>
        <v>250000</v>
      </c>
      <c r="AC14" s="15">
        <f>'Syndicats Bilan'!AF133</f>
        <v>0</v>
      </c>
      <c r="AD14" s="15">
        <f>SUM(C14:AC14)</f>
        <v>10757881.43</v>
      </c>
    </row>
    <row r="15" spans="1:30" x14ac:dyDescent="0.2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row>
    <row r="16" spans="1:30" x14ac:dyDescent="0.25">
      <c r="A16" s="7">
        <v>206</v>
      </c>
      <c r="B16" s="7" t="s">
        <v>256</v>
      </c>
      <c r="C16" s="15">
        <f>'Syndicats Bilan'!F165</f>
        <v>1916587.51</v>
      </c>
      <c r="D16" s="15">
        <f>'Syndicats Bilan'!G165</f>
        <v>0</v>
      </c>
      <c r="E16" s="15">
        <f>'Syndicats Bilan'!H165</f>
        <v>0</v>
      </c>
      <c r="F16" s="15">
        <f>'Syndicats Bilan'!I165</f>
        <v>0</v>
      </c>
      <c r="G16" s="15">
        <f>'Syndicats Bilan'!J165</f>
        <v>0</v>
      </c>
      <c r="H16" s="15">
        <f>'Syndicats Bilan'!K165</f>
        <v>2498078.7000000002</v>
      </c>
      <c r="I16" s="15">
        <f>'Syndicats Bilan'!L165</f>
        <v>500000</v>
      </c>
      <c r="J16" s="15">
        <f>'Syndicats Bilan'!M165</f>
        <v>3513500</v>
      </c>
      <c r="K16" s="15">
        <f>'Syndicats Bilan'!N165</f>
        <v>0</v>
      </c>
      <c r="L16" s="15">
        <f>'Syndicats Bilan'!O165</f>
        <v>106000</v>
      </c>
      <c r="M16" s="15">
        <f>'Syndicats Bilan'!P165</f>
        <v>0</v>
      </c>
      <c r="N16" s="15">
        <f>'Syndicats Bilan'!Q165</f>
        <v>0</v>
      </c>
      <c r="O16" s="15">
        <f>'Syndicats Bilan'!R165</f>
        <v>24800</v>
      </c>
      <c r="P16" s="15">
        <f>'Syndicats Bilan'!S165</f>
        <v>0</v>
      </c>
      <c r="Q16" s="15">
        <f>'Syndicats Bilan'!T165</f>
        <v>0</v>
      </c>
      <c r="R16" s="15">
        <f>'Syndicats Bilan'!U165</f>
        <v>0</v>
      </c>
      <c r="S16" s="15">
        <f>'Syndicats Bilan'!V165</f>
        <v>0</v>
      </c>
      <c r="T16" s="15">
        <f>'Syndicats Bilan'!W165</f>
        <v>500000</v>
      </c>
      <c r="U16" s="15">
        <f>'Syndicats Bilan'!X165</f>
        <v>0</v>
      </c>
      <c r="V16" s="15">
        <f>'Syndicats Bilan'!Y165</f>
        <v>170400</v>
      </c>
      <c r="W16" s="15">
        <f>'Syndicats Bilan'!Z165</f>
        <v>13163600</v>
      </c>
      <c r="X16" s="15">
        <f>'Syndicats Bilan'!AA165</f>
        <v>1775300</v>
      </c>
      <c r="Y16" s="15">
        <f>'Syndicats Bilan'!AB165</f>
        <v>3418000</v>
      </c>
      <c r="Z16" s="15">
        <f>'Syndicats Bilan'!AC165</f>
        <v>0</v>
      </c>
      <c r="AA16" s="15">
        <f>'Syndicats Bilan'!AD165</f>
        <v>0</v>
      </c>
      <c r="AB16" s="15">
        <f>'Syndicats Bilan'!AE165</f>
        <v>7350000</v>
      </c>
      <c r="AC16" s="15">
        <f>'Syndicats Bilan'!AF165</f>
        <v>0</v>
      </c>
      <c r="AD16" s="15">
        <f>SUM(C16:AC16)</f>
        <v>34936266.210000001</v>
      </c>
    </row>
    <row r="17" spans="1:30" x14ac:dyDescent="0.2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row>
    <row r="18" spans="1:30" x14ac:dyDescent="0.25">
      <c r="A18" s="7">
        <v>2016</v>
      </c>
      <c r="B18" s="7" t="s">
        <v>268</v>
      </c>
      <c r="C18" s="15">
        <f>'Syndicats Bilan'!F140</f>
        <v>0</v>
      </c>
      <c r="D18" s="15">
        <f>'Syndicats Bilan'!G140</f>
        <v>0</v>
      </c>
      <c r="E18" s="15">
        <f>'Syndicats Bilan'!H140</f>
        <v>0</v>
      </c>
      <c r="F18" s="15">
        <f>'Syndicats Bilan'!I140</f>
        <v>0</v>
      </c>
      <c r="G18" s="15">
        <f>'Syndicats Bilan'!J140</f>
        <v>0</v>
      </c>
      <c r="H18" s="15">
        <f>'Syndicats Bilan'!K140</f>
        <v>0</v>
      </c>
      <c r="I18" s="15">
        <f>'Syndicats Bilan'!L140</f>
        <v>0</v>
      </c>
      <c r="J18" s="15">
        <f>'Syndicats Bilan'!M140</f>
        <v>0</v>
      </c>
      <c r="K18" s="15">
        <f>'Syndicats Bilan'!N140</f>
        <v>0</v>
      </c>
      <c r="L18" s="15">
        <f>'Syndicats Bilan'!O140</f>
        <v>0</v>
      </c>
      <c r="M18" s="15">
        <f>'Syndicats Bilan'!P140</f>
        <v>0</v>
      </c>
      <c r="N18" s="15">
        <f>'Syndicats Bilan'!Q140</f>
        <v>0</v>
      </c>
      <c r="O18" s="15">
        <f>'Syndicats Bilan'!R140</f>
        <v>0</v>
      </c>
      <c r="P18" s="15">
        <f>'Syndicats Bilan'!S140</f>
        <v>0</v>
      </c>
      <c r="Q18" s="15">
        <f>'Syndicats Bilan'!T140</f>
        <v>0</v>
      </c>
      <c r="R18" s="15">
        <f>'Syndicats Bilan'!U140</f>
        <v>0</v>
      </c>
      <c r="S18" s="15">
        <f>'Syndicats Bilan'!V140</f>
        <v>0</v>
      </c>
      <c r="T18" s="15">
        <f>'Syndicats Bilan'!W140</f>
        <v>0</v>
      </c>
      <c r="U18" s="15">
        <f>'Syndicats Bilan'!X140</f>
        <v>0</v>
      </c>
      <c r="V18" s="15">
        <f>'Syndicats Bilan'!Y140</f>
        <v>0</v>
      </c>
      <c r="W18" s="15">
        <f>'Syndicats Bilan'!Z140</f>
        <v>0</v>
      </c>
      <c r="X18" s="15">
        <f>'Syndicats Bilan'!AA140</f>
        <v>0</v>
      </c>
      <c r="Y18" s="15">
        <f>'Syndicats Bilan'!AB140</f>
        <v>0</v>
      </c>
      <c r="Z18" s="15">
        <f>'Syndicats Bilan'!AC140</f>
        <v>0</v>
      </c>
      <c r="AA18" s="15">
        <f>'Syndicats Bilan'!AD140</f>
        <v>0</v>
      </c>
      <c r="AB18" s="15">
        <f>'Syndicats Bilan'!AE140</f>
        <v>0</v>
      </c>
      <c r="AC18" s="15">
        <f>'Syndicats Bilan'!AF140</f>
        <v>0</v>
      </c>
      <c r="AD18" s="15">
        <f>SUM(C18:AC18)</f>
        <v>0</v>
      </c>
    </row>
    <row r="19" spans="1:30" x14ac:dyDescent="0.2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row>
    <row r="20" spans="1:30" x14ac:dyDescent="0.2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row>
    <row r="21" spans="1:30" x14ac:dyDescent="0.25">
      <c r="B21" s="121" t="s">
        <v>563</v>
      </c>
      <c r="C21" s="122">
        <f>C12+C14+C16-C18</f>
        <v>1996004.96</v>
      </c>
      <c r="D21" s="122">
        <f t="shared" ref="D21:AC21" si="0">D12+D14+D16-D18</f>
        <v>198757.56</v>
      </c>
      <c r="E21" s="122">
        <f t="shared" si="0"/>
        <v>0</v>
      </c>
      <c r="F21" s="122">
        <f t="shared" si="0"/>
        <v>2885189.8400000003</v>
      </c>
      <c r="G21" s="122">
        <f t="shared" si="0"/>
        <v>0</v>
      </c>
      <c r="H21" s="122">
        <f t="shared" si="0"/>
        <v>2883812.99</v>
      </c>
      <c r="I21" s="122">
        <f t="shared" si="0"/>
        <v>883837.63</v>
      </c>
      <c r="J21" s="122">
        <f t="shared" si="0"/>
        <v>4650362.29</v>
      </c>
      <c r="K21" s="122">
        <f t="shared" si="0"/>
        <v>10123.75</v>
      </c>
      <c r="L21" s="122">
        <f t="shared" si="0"/>
        <v>124000</v>
      </c>
      <c r="M21" s="122">
        <f t="shared" si="0"/>
        <v>122000.05</v>
      </c>
      <c r="N21" s="122">
        <f t="shared" si="0"/>
        <v>807.75</v>
      </c>
      <c r="O21" s="122">
        <f t="shared" si="0"/>
        <v>24800</v>
      </c>
      <c r="P21" s="122">
        <f t="shared" si="0"/>
        <v>0</v>
      </c>
      <c r="Q21" s="122">
        <f t="shared" si="0"/>
        <v>0</v>
      </c>
      <c r="R21" s="122">
        <f t="shared" si="0"/>
        <v>0</v>
      </c>
      <c r="S21" s="122">
        <f t="shared" si="0"/>
        <v>0</v>
      </c>
      <c r="T21" s="122">
        <f t="shared" si="0"/>
        <v>1355070.47</v>
      </c>
      <c r="U21" s="122">
        <f t="shared" si="0"/>
        <v>0</v>
      </c>
      <c r="V21" s="122">
        <f t="shared" si="0"/>
        <v>785313.32</v>
      </c>
      <c r="W21" s="122">
        <f t="shared" si="0"/>
        <v>21484656.189999998</v>
      </c>
      <c r="X21" s="122">
        <f t="shared" si="0"/>
        <v>1775300</v>
      </c>
      <c r="Y21" s="122">
        <f t="shared" si="0"/>
        <v>3758302.84</v>
      </c>
      <c r="Z21" s="122">
        <f t="shared" si="0"/>
        <v>0</v>
      </c>
      <c r="AA21" s="122">
        <f t="shared" si="0"/>
        <v>0</v>
      </c>
      <c r="AB21" s="122">
        <f t="shared" si="0"/>
        <v>7741744.3099999996</v>
      </c>
      <c r="AC21" s="122">
        <f t="shared" si="0"/>
        <v>0</v>
      </c>
      <c r="AD21" s="122">
        <f>SUM(C21:AC21)</f>
        <v>50680083.950000003</v>
      </c>
    </row>
    <row r="22" spans="1:30" x14ac:dyDescent="0.25">
      <c r="B22" s="6"/>
      <c r="C22" s="73"/>
      <c r="D22" s="73"/>
      <c r="E22" s="73"/>
      <c r="F22" s="73"/>
      <c r="G22" s="73"/>
      <c r="H22" s="73"/>
      <c r="I22" s="73"/>
      <c r="J22" s="73"/>
      <c r="K22" s="73"/>
      <c r="L22" s="73"/>
      <c r="M22" s="73"/>
      <c r="N22" s="73"/>
      <c r="O22" s="73"/>
      <c r="P22" s="73"/>
      <c r="Q22" s="73"/>
      <c r="R22" s="73"/>
      <c r="S22" s="73"/>
      <c r="T22" s="73"/>
      <c r="U22" s="73"/>
      <c r="V22" s="73"/>
      <c r="W22" s="73"/>
      <c r="X22" s="73"/>
      <c r="Y22" s="73"/>
      <c r="Z22" s="73"/>
      <c r="AA22" s="73"/>
      <c r="AB22" s="73"/>
      <c r="AC22" s="73"/>
      <c r="AD22" s="73"/>
    </row>
    <row r="23" spans="1:30" x14ac:dyDescent="0.2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row>
    <row r="24" spans="1:30" x14ac:dyDescent="0.2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row>
    <row r="25" spans="1:30" x14ac:dyDescent="0.2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row>
    <row r="26" spans="1:30" x14ac:dyDescent="0.2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row>
    <row r="27" spans="1:30" x14ac:dyDescent="0.2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row>
    <row r="28" spans="1:30" x14ac:dyDescent="0.2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row>
    <row r="29" spans="1:30" x14ac:dyDescent="0.2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FF0000"/>
  </sheetPr>
  <dimension ref="A2:C22"/>
  <sheetViews>
    <sheetView workbookViewId="0">
      <selection activeCell="B5" sqref="B5"/>
    </sheetView>
  </sheetViews>
  <sheetFormatPr baseColWidth="10" defaultColWidth="11.44140625" defaultRowHeight="13.8" x14ac:dyDescent="0.25"/>
  <cols>
    <col min="1" max="1" width="5.6640625" style="7" customWidth="1"/>
    <col min="2" max="2" width="50.33203125" style="7" customWidth="1"/>
    <col min="3" max="3" width="22.88671875" style="7" customWidth="1"/>
    <col min="4" max="16384" width="11.44140625" style="7"/>
  </cols>
  <sheetData>
    <row r="2" spans="1:3" ht="21" x14ac:dyDescent="0.4">
      <c r="A2" s="79" t="s">
        <v>821</v>
      </c>
      <c r="B2" s="6"/>
    </row>
    <row r="3" spans="1:3" ht="15" customHeight="1" x14ac:dyDescent="0.4">
      <c r="A3" s="5"/>
      <c r="B3" s="6"/>
    </row>
    <row r="4" spans="1:3" ht="15" customHeight="1" thickBot="1" x14ac:dyDescent="0.3">
      <c r="A4" s="6"/>
      <c r="B4" s="7" t="s">
        <v>813</v>
      </c>
    </row>
    <row r="5" spans="1:3" ht="15" customHeight="1" thickBot="1" x14ac:dyDescent="0.45">
      <c r="A5" s="5"/>
      <c r="B5" s="124" t="s">
        <v>807</v>
      </c>
    </row>
    <row r="6" spans="1:3" ht="15" customHeight="1" x14ac:dyDescent="0.25">
      <c r="C6" s="29"/>
    </row>
    <row r="7" spans="1:3" ht="15" customHeight="1" x14ac:dyDescent="0.25">
      <c r="C7" s="125" t="s">
        <v>201</v>
      </c>
    </row>
    <row r="8" spans="1:3" x14ac:dyDescent="0.25">
      <c r="A8" s="7">
        <v>10</v>
      </c>
      <c r="B8" s="7" t="s">
        <v>239</v>
      </c>
      <c r="C8" s="12">
        <f>HLOOKUP($B$5,'Syndicats endettement'!C7:AD24,2,0)</f>
        <v>3378690.4199999995</v>
      </c>
    </row>
    <row r="9" spans="1:3" x14ac:dyDescent="0.25">
      <c r="C9" s="12"/>
    </row>
    <row r="10" spans="1:3" x14ac:dyDescent="0.25">
      <c r="A10" s="7">
        <v>20</v>
      </c>
      <c r="B10" s="7" t="s">
        <v>251</v>
      </c>
      <c r="C10" s="12">
        <f>HLOOKUP($B$5,'Syndicats endettement'!$C$7:$AD$21,4,0)</f>
        <v>4006694.71</v>
      </c>
    </row>
    <row r="11" spans="1:3" x14ac:dyDescent="0.25">
      <c r="C11" s="12"/>
    </row>
    <row r="12" spans="1:3" x14ac:dyDescent="0.25">
      <c r="A12" s="7">
        <v>200</v>
      </c>
      <c r="B12" s="7" t="s">
        <v>448</v>
      </c>
      <c r="C12" s="12">
        <f>HLOOKUP($B$5,'Syndicats endettement'!$C$7:$AD$21,6,0)</f>
        <v>159802.84</v>
      </c>
    </row>
    <row r="13" spans="1:3" x14ac:dyDescent="0.25">
      <c r="C13" s="12"/>
    </row>
    <row r="14" spans="1:3" x14ac:dyDescent="0.25">
      <c r="A14" s="7">
        <v>201</v>
      </c>
      <c r="B14" s="7" t="s">
        <v>253</v>
      </c>
      <c r="C14" s="12">
        <f>HLOOKUP($B$5,'Syndicats endettement'!$C$7:$AD$21,8,0)</f>
        <v>180500</v>
      </c>
    </row>
    <row r="15" spans="1:3" x14ac:dyDescent="0.25">
      <c r="C15" s="12"/>
    </row>
    <row r="16" spans="1:3" x14ac:dyDescent="0.25">
      <c r="A16" s="7">
        <v>206</v>
      </c>
      <c r="B16" s="7" t="s">
        <v>256</v>
      </c>
      <c r="C16" s="12">
        <f>HLOOKUP($B$5,'Syndicats endettement'!$C$7:$AD$21,10,0)</f>
        <v>3418000</v>
      </c>
    </row>
    <row r="17" spans="1:3" x14ac:dyDescent="0.25">
      <c r="C17" s="12"/>
    </row>
    <row r="18" spans="1:3" x14ac:dyDescent="0.25">
      <c r="A18" s="7">
        <v>2016</v>
      </c>
      <c r="B18" s="7" t="s">
        <v>268</v>
      </c>
      <c r="C18" s="12">
        <f>HLOOKUP($B$5,'Syndicats endettement'!$C$7:$AD$21,12,0)</f>
        <v>0</v>
      </c>
    </row>
    <row r="19" spans="1:3" x14ac:dyDescent="0.25">
      <c r="C19" s="12"/>
    </row>
    <row r="20" spans="1:3" x14ac:dyDescent="0.25">
      <c r="C20" s="12"/>
    </row>
    <row r="21" spans="1:3" x14ac:dyDescent="0.25">
      <c r="B21" s="121" t="s">
        <v>563</v>
      </c>
      <c r="C21" s="123">
        <f>HLOOKUP($B$5,'Syndicats endettement'!$C$7:$AD$21,15,0)</f>
        <v>3758302.84</v>
      </c>
    </row>
    <row r="22" spans="1:3" x14ac:dyDescent="0.25">
      <c r="B22" s="121" t="s">
        <v>495</v>
      </c>
      <c r="C22" s="123">
        <f>C21-C8</f>
        <v>379612.42000000039</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C00-000000000000}">
          <x14:formula1>
            <xm:f>'Syndicats Bilan'!$F$4:$AG$4</xm:f>
          </x14:formula1>
          <xm:sqref>B5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59999389629810485"/>
    <pageSetUpPr fitToPage="1"/>
  </sheetPr>
  <dimension ref="A1:I62"/>
  <sheetViews>
    <sheetView workbookViewId="0"/>
  </sheetViews>
  <sheetFormatPr baseColWidth="10" defaultColWidth="11.44140625" defaultRowHeight="13.8" x14ac:dyDescent="0.25"/>
  <cols>
    <col min="1" max="1" width="31.33203125" style="7" customWidth="1"/>
    <col min="2" max="7" width="21.44140625" style="7" customWidth="1"/>
    <col min="8" max="8" width="11.44140625" style="7" customWidth="1"/>
    <col min="9" max="9" width="12.6640625" style="7" bestFit="1" customWidth="1"/>
    <col min="10" max="16384" width="11.44140625" style="7"/>
  </cols>
  <sheetData>
    <row r="1" spans="1:7" ht="15.6" x14ac:dyDescent="0.3">
      <c r="A1" s="80" t="s">
        <v>744</v>
      </c>
      <c r="B1" s="80"/>
      <c r="C1" s="80"/>
    </row>
    <row r="2" spans="1:7" ht="15.6" x14ac:dyDescent="0.3">
      <c r="A2" s="80"/>
      <c r="B2" s="80"/>
      <c r="C2" s="80"/>
    </row>
    <row r="3" spans="1:7" ht="15.6" x14ac:dyDescent="0.3">
      <c r="A3" s="172" t="s">
        <v>67</v>
      </c>
      <c r="B3" s="29" t="s">
        <v>866</v>
      </c>
      <c r="C3" s="29" t="s">
        <v>867</v>
      </c>
      <c r="D3" s="29" t="s">
        <v>197</v>
      </c>
      <c r="E3" s="29" t="s">
        <v>870</v>
      </c>
      <c r="F3" s="29" t="s">
        <v>865</v>
      </c>
      <c r="G3" s="29" t="s">
        <v>868</v>
      </c>
    </row>
    <row r="4" spans="1:7" x14ac:dyDescent="0.25">
      <c r="A4" s="6"/>
      <c r="B4" s="28" t="s">
        <v>862</v>
      </c>
      <c r="C4" s="28" t="s">
        <v>863</v>
      </c>
      <c r="D4" s="28" t="s">
        <v>745</v>
      </c>
      <c r="E4" s="28" t="s">
        <v>746</v>
      </c>
      <c r="F4" s="28" t="s">
        <v>864</v>
      </c>
      <c r="G4" s="28" t="s">
        <v>869</v>
      </c>
    </row>
    <row r="5" spans="1:7" x14ac:dyDescent="0.25">
      <c r="A5" s="81" t="s">
        <v>56</v>
      </c>
      <c r="B5" s="15">
        <f>'MCH2'!E155</f>
        <v>-206117.81</v>
      </c>
      <c r="C5" s="171">
        <f>'MCH2'!E156</f>
        <v>322300.57</v>
      </c>
      <c r="D5" s="15">
        <f>'MCH2'!E154</f>
        <v>116182.76000000001</v>
      </c>
      <c r="E5" s="15">
        <f>'4.9 Comptes 2022 par habitant'!E154</f>
        <v>122.16904311251315</v>
      </c>
      <c r="F5" s="12">
        <f>'MCH2'!E63</f>
        <v>0</v>
      </c>
      <c r="G5" s="12">
        <f>'MCH2'!E139</f>
        <v>7472.67</v>
      </c>
    </row>
    <row r="6" spans="1:7" x14ac:dyDescent="0.25">
      <c r="A6" s="81" t="s">
        <v>18</v>
      </c>
      <c r="B6" s="15">
        <f>'MCH2'!F155</f>
        <v>-230931.74</v>
      </c>
      <c r="C6" s="171">
        <f>'MCH2'!F156</f>
        <v>30133.32</v>
      </c>
      <c r="D6" s="15">
        <f>'MCH2'!F154</f>
        <v>-200798.41999999998</v>
      </c>
      <c r="E6" s="15">
        <f>'4.9 Comptes 2022 par habitant'!F154</f>
        <v>-778.28844961240304</v>
      </c>
      <c r="F6" s="12">
        <f>'MCH2'!F63</f>
        <v>0</v>
      </c>
      <c r="G6" s="12">
        <f>'MCH2'!F139</f>
        <v>0</v>
      </c>
    </row>
    <row r="7" spans="1:7" x14ac:dyDescent="0.25">
      <c r="A7" s="81" t="s">
        <v>57</v>
      </c>
      <c r="B7" s="15">
        <f>'MCH2'!G155</f>
        <v>236110.02</v>
      </c>
      <c r="C7" s="171">
        <f>'MCH2'!G156</f>
        <v>41330.6</v>
      </c>
      <c r="D7" s="15">
        <f>'MCH2'!G154</f>
        <v>277440.62</v>
      </c>
      <c r="E7" s="15">
        <f>'4.9 Comptes 2022 par habitant'!G154</f>
        <v>589.0459023354565</v>
      </c>
      <c r="F7" s="12">
        <f>'MCH2'!G63</f>
        <v>0</v>
      </c>
      <c r="G7" s="12">
        <f>'MCH2'!G139</f>
        <v>0</v>
      </c>
    </row>
    <row r="8" spans="1:7" x14ac:dyDescent="0.25">
      <c r="A8" s="81" t="s">
        <v>53</v>
      </c>
      <c r="B8" s="15">
        <f>'MCH2'!H155</f>
        <v>-99527.26</v>
      </c>
      <c r="C8" s="171">
        <f>'MCH2'!H156</f>
        <v>44631.25</v>
      </c>
      <c r="D8" s="15">
        <f>'MCH2'!H154</f>
        <v>-54896.009999999995</v>
      </c>
      <c r="E8" s="15">
        <f>'4.9 Comptes 2022 par habitant'!H154</f>
        <v>-124.48074829931973</v>
      </c>
      <c r="F8" s="12">
        <f>'MCH2'!H63</f>
        <v>0</v>
      </c>
      <c r="G8" s="12">
        <f>'MCH2'!H139</f>
        <v>0</v>
      </c>
    </row>
    <row r="9" spans="1:7" x14ac:dyDescent="0.25">
      <c r="A9" s="81" t="s">
        <v>33</v>
      </c>
      <c r="B9" s="15">
        <f>'MCH2'!I155</f>
        <v>7190.95</v>
      </c>
      <c r="C9" s="171">
        <f>'MCH2'!I156</f>
        <v>159583.26999999999</v>
      </c>
      <c r="D9" s="15">
        <f>'MCH2'!I154</f>
        <v>166774.22</v>
      </c>
      <c r="E9" s="15">
        <f>'4.9 Comptes 2022 par habitant'!I154</f>
        <v>45.245311991318495</v>
      </c>
      <c r="F9" s="12">
        <f>'MCH2'!I63</f>
        <v>300000</v>
      </c>
      <c r="G9" s="12">
        <f>'MCH2'!I139</f>
        <v>0</v>
      </c>
    </row>
    <row r="10" spans="1:7" x14ac:dyDescent="0.25">
      <c r="A10" s="81" t="s">
        <v>10</v>
      </c>
      <c r="B10" s="15">
        <f>'MCH2'!J155</f>
        <v>0</v>
      </c>
      <c r="C10" s="171">
        <f>'MCH2'!J156</f>
        <v>317394.89</v>
      </c>
      <c r="D10" s="15">
        <f>'MCH2'!J154</f>
        <v>317394.89</v>
      </c>
      <c r="E10" s="15">
        <f>'4.9 Comptes 2022 par habitant'!J154</f>
        <v>95.802864473287059</v>
      </c>
      <c r="F10" s="12">
        <f>'MCH2'!J63</f>
        <v>0</v>
      </c>
      <c r="G10" s="12">
        <f>'MCH2'!J139</f>
        <v>190359.86</v>
      </c>
    </row>
    <row r="11" spans="1:7" x14ac:dyDescent="0.25">
      <c r="A11" s="81" t="s">
        <v>15</v>
      </c>
      <c r="B11" s="15">
        <f>'MCH2'!K155</f>
        <v>23773.27</v>
      </c>
      <c r="C11" s="171">
        <f>'MCH2'!K156</f>
        <v>445908.69</v>
      </c>
      <c r="D11" s="15">
        <f>'MCH2'!K154</f>
        <v>469681.96</v>
      </c>
      <c r="E11" s="15">
        <f>'4.9 Comptes 2022 par habitant'!K154</f>
        <v>176.9713489073097</v>
      </c>
      <c r="F11" s="12">
        <f>'MCH2'!K63</f>
        <v>650000</v>
      </c>
      <c r="G11" s="12">
        <f>'MCH2'!K139</f>
        <v>144677.5</v>
      </c>
    </row>
    <row r="12" spans="1:7" x14ac:dyDescent="0.25">
      <c r="A12" s="81" t="s">
        <v>28</v>
      </c>
      <c r="B12" s="15">
        <f>'MCH2'!L155</f>
        <v>-3253493.74</v>
      </c>
      <c r="C12" s="171">
        <f>'MCH2'!L156</f>
        <v>2211365.17</v>
      </c>
      <c r="D12" s="15">
        <f>'MCH2'!L154</f>
        <v>-1042128.5700000003</v>
      </c>
      <c r="E12" s="15">
        <f>'4.9 Comptes 2022 par habitant'!L154</f>
        <v>-82.47297958214628</v>
      </c>
      <c r="F12" s="12">
        <f>'MCH2'!L63</f>
        <v>0</v>
      </c>
      <c r="G12" s="12">
        <f>'MCH2'!L139</f>
        <v>2500000</v>
      </c>
    </row>
    <row r="13" spans="1:7" x14ac:dyDescent="0.25">
      <c r="A13" s="81" t="s">
        <v>42</v>
      </c>
      <c r="B13" s="15">
        <f>'MCH2'!M155</f>
        <v>-288991.67</v>
      </c>
      <c r="C13" s="171">
        <f>'MCH2'!M156</f>
        <v>175778.23</v>
      </c>
      <c r="D13" s="15">
        <f>'MCH2'!M154</f>
        <v>-113213.43999999997</v>
      </c>
      <c r="E13" s="15">
        <f>'4.9 Comptes 2022 par habitant'!M154</f>
        <v>-83.245176470588206</v>
      </c>
      <c r="F13" s="12">
        <f>'MCH2'!M63</f>
        <v>0</v>
      </c>
      <c r="G13" s="12">
        <f>'MCH2'!M139</f>
        <v>10700</v>
      </c>
    </row>
    <row r="14" spans="1:7" x14ac:dyDescent="0.25">
      <c r="A14" s="81" t="s">
        <v>23</v>
      </c>
      <c r="B14" s="15">
        <f>'MCH2'!N155</f>
        <v>3099.99</v>
      </c>
      <c r="C14" s="171">
        <f>'MCH2'!N156</f>
        <v>2001.08</v>
      </c>
      <c r="D14" s="15">
        <f>'MCH2'!N154</f>
        <v>5101.07</v>
      </c>
      <c r="E14" s="15">
        <f>'4.9 Comptes 2022 par habitant'!N154</f>
        <v>45.545267857142861</v>
      </c>
      <c r="F14" s="12">
        <f>'MCH2'!N63</f>
        <v>0</v>
      </c>
      <c r="G14" s="12">
        <f>'MCH2'!N139</f>
        <v>0</v>
      </c>
    </row>
    <row r="15" spans="1:7" x14ac:dyDescent="0.25">
      <c r="A15" s="81" t="s">
        <v>22</v>
      </c>
      <c r="B15" s="15">
        <f>'MCH2'!O155</f>
        <v>383432.05</v>
      </c>
      <c r="C15" s="171">
        <f>'MCH2'!O156</f>
        <v>702588.75</v>
      </c>
      <c r="D15" s="15">
        <f>'MCH2'!O154</f>
        <v>1086020.8</v>
      </c>
      <c r="E15" s="15">
        <f>'4.9 Comptes 2022 par habitant'!O154</f>
        <v>148.38376827435442</v>
      </c>
      <c r="F15" s="12">
        <f>'MCH2'!O63</f>
        <v>383300</v>
      </c>
      <c r="G15" s="12">
        <f>'MCH2'!O139</f>
        <v>60684.04</v>
      </c>
    </row>
    <row r="16" spans="1:7" x14ac:dyDescent="0.25">
      <c r="A16" s="81" t="s">
        <v>13</v>
      </c>
      <c r="B16" s="15">
        <f>'MCH2'!P155</f>
        <v>-86729.27</v>
      </c>
      <c r="C16" s="171">
        <f>'MCH2'!P156</f>
        <v>34808.21</v>
      </c>
      <c r="D16" s="15">
        <f>'MCH2'!P154</f>
        <v>-51921.060000000005</v>
      </c>
      <c r="E16" s="15">
        <f>'4.9 Comptes 2022 par habitant'!P154</f>
        <v>-99.46563218390807</v>
      </c>
      <c r="F16" s="12">
        <f>'MCH2'!P63</f>
        <v>337.1</v>
      </c>
      <c r="G16" s="12">
        <f>'MCH2'!P139</f>
        <v>29578.3</v>
      </c>
    </row>
    <row r="17" spans="1:7" x14ac:dyDescent="0.25">
      <c r="A17" s="81" t="s">
        <v>17</v>
      </c>
      <c r="B17" s="15">
        <f>'MCH2'!Q155</f>
        <v>1958.96</v>
      </c>
      <c r="C17" s="171">
        <f>'MCH2'!Q156</f>
        <v>25374.65</v>
      </c>
      <c r="D17" s="15">
        <f>'MCH2'!Q154</f>
        <v>27333.61</v>
      </c>
      <c r="E17" s="15">
        <f>'4.9 Comptes 2022 par habitant'!Q154</f>
        <v>257.86424528301887</v>
      </c>
      <c r="F17" s="12">
        <f>'MCH2'!Q63</f>
        <v>0</v>
      </c>
      <c r="G17" s="12">
        <f>'MCH2'!Q139</f>
        <v>0</v>
      </c>
    </row>
    <row r="18" spans="1:7" x14ac:dyDescent="0.25">
      <c r="A18" s="81" t="s">
        <v>43</v>
      </c>
      <c r="B18" s="15">
        <f>'MCH2'!R155</f>
        <v>-32883.71</v>
      </c>
      <c r="C18" s="171">
        <f>'MCH2'!R156</f>
        <v>-20394.82</v>
      </c>
      <c r="D18" s="15">
        <f>'MCH2'!R154</f>
        <v>-53278.53</v>
      </c>
      <c r="E18" s="15">
        <f>'4.9 Comptes 2022 par habitant'!R154</f>
        <v>-125.36124705882352</v>
      </c>
      <c r="F18" s="12">
        <f>'MCH2'!R63</f>
        <v>0</v>
      </c>
      <c r="G18" s="12">
        <f>'MCH2'!R139</f>
        <v>0</v>
      </c>
    </row>
    <row r="19" spans="1:7" x14ac:dyDescent="0.25">
      <c r="A19" s="81" t="s">
        <v>40</v>
      </c>
      <c r="B19" s="15">
        <f>'MCH2'!S155</f>
        <v>137834.76999999999</v>
      </c>
      <c r="C19" s="171">
        <f>'MCH2'!S156</f>
        <v>66205.73</v>
      </c>
      <c r="D19" s="15">
        <f>'MCH2'!S154</f>
        <v>204040.5</v>
      </c>
      <c r="E19" s="15">
        <f>'4.9 Comptes 2022 par habitant'!S154</f>
        <v>582.97285714285704</v>
      </c>
      <c r="F19" s="12">
        <f>'MCH2'!S63</f>
        <v>0</v>
      </c>
      <c r="G19" s="12">
        <f>'MCH2'!S139</f>
        <v>240001.25</v>
      </c>
    </row>
    <row r="20" spans="1:7" x14ac:dyDescent="0.25">
      <c r="A20" s="81" t="s">
        <v>31</v>
      </c>
      <c r="B20" s="15">
        <f>'MCH2'!T155</f>
        <v>100618.68</v>
      </c>
      <c r="C20" s="171">
        <f>'MCH2'!T156</f>
        <v>168853.41</v>
      </c>
      <c r="D20" s="15">
        <f>'MCH2'!T154</f>
        <v>269472.08999999997</v>
      </c>
      <c r="E20" s="15">
        <f>'4.9 Comptes 2022 par habitant'!T154</f>
        <v>367.62904502046388</v>
      </c>
      <c r="F20" s="12">
        <f>'MCH2'!T63</f>
        <v>95000</v>
      </c>
      <c r="G20" s="12">
        <f>'MCH2'!T139</f>
        <v>26100</v>
      </c>
    </row>
    <row r="21" spans="1:7" x14ac:dyDescent="0.25">
      <c r="A21" s="81" t="s">
        <v>12</v>
      </c>
      <c r="B21" s="15">
        <f>'MCH2'!U155</f>
        <v>-91225.19</v>
      </c>
      <c r="C21" s="171">
        <f>'MCH2'!U156</f>
        <v>38742.15</v>
      </c>
      <c r="D21" s="15">
        <f>'MCH2'!U154</f>
        <v>-52483.040000000001</v>
      </c>
      <c r="E21" s="15">
        <f>'4.9 Comptes 2022 par habitant'!U154</f>
        <v>-194.38162962962966</v>
      </c>
      <c r="F21" s="12">
        <f>'MCH2'!U63</f>
        <v>0</v>
      </c>
      <c r="G21" s="12">
        <f>'MCH2'!U139</f>
        <v>40667.550000000003</v>
      </c>
    </row>
    <row r="22" spans="1:7" x14ac:dyDescent="0.25">
      <c r="A22" s="81" t="s">
        <v>59</v>
      </c>
      <c r="B22" s="15">
        <f>'MCH2'!V155</f>
        <v>-83842.03</v>
      </c>
      <c r="C22" s="171">
        <f>'MCH2'!V156</f>
        <v>49400.92</v>
      </c>
      <c r="D22" s="15">
        <f>'MCH2'!V154</f>
        <v>-34441.11</v>
      </c>
      <c r="E22" s="15">
        <f>'4.9 Comptes 2022 par habitant'!V154</f>
        <v>-82.592589928057549</v>
      </c>
      <c r="F22" s="12">
        <f>'MCH2'!V63</f>
        <v>0</v>
      </c>
      <c r="G22" s="12">
        <f>'MCH2'!V139</f>
        <v>0</v>
      </c>
    </row>
    <row r="23" spans="1:7" x14ac:dyDescent="0.25">
      <c r="A23" s="81" t="s">
        <v>27</v>
      </c>
      <c r="B23" s="15">
        <f>'MCH2'!W155</f>
        <v>9425.3799999999992</v>
      </c>
      <c r="C23" s="171">
        <f>'MCH2'!W156</f>
        <v>409019.68</v>
      </c>
      <c r="D23" s="15">
        <f>'MCH2'!W154</f>
        <v>418445.06</v>
      </c>
      <c r="E23" s="15">
        <f>'4.9 Comptes 2022 par habitant'!W154</f>
        <v>127.38053576864536</v>
      </c>
      <c r="F23" s="12">
        <f>'MCH2'!W63</f>
        <v>600000</v>
      </c>
      <c r="G23" s="12">
        <f>'MCH2'!W139</f>
        <v>133028</v>
      </c>
    </row>
    <row r="24" spans="1:7" x14ac:dyDescent="0.25">
      <c r="A24" s="81" t="s">
        <v>30</v>
      </c>
      <c r="B24" s="15">
        <f>'MCH2'!X155</f>
        <v>71279.27</v>
      </c>
      <c r="C24" s="171">
        <f>'MCH2'!X156</f>
        <v>-7184.85</v>
      </c>
      <c r="D24" s="15">
        <f>'MCH2'!X154</f>
        <v>64094.420000000006</v>
      </c>
      <c r="E24" s="15">
        <f>'4.9 Comptes 2022 par habitant'!X154</f>
        <v>208.09876623376624</v>
      </c>
      <c r="F24" s="12">
        <f>'MCH2'!X63</f>
        <v>0</v>
      </c>
      <c r="G24" s="12">
        <f>'MCH2'!X139</f>
        <v>0</v>
      </c>
    </row>
    <row r="25" spans="1:7" x14ac:dyDescent="0.25">
      <c r="A25" s="81" t="s">
        <v>20</v>
      </c>
      <c r="B25" s="15">
        <f>'MCH2'!Y155</f>
        <v>762175.92</v>
      </c>
      <c r="C25" s="171">
        <f>'MCH2'!Y156</f>
        <v>116963.83</v>
      </c>
      <c r="D25" s="15">
        <f>'MCH2'!Y154</f>
        <v>879139.75</v>
      </c>
      <c r="E25" s="15">
        <f>'4.9 Comptes 2022 par habitant'!Y154</f>
        <v>698.83922893481724</v>
      </c>
      <c r="F25" s="12">
        <f>'MCH2'!Y63</f>
        <v>0</v>
      </c>
      <c r="G25" s="12">
        <f>'MCH2'!Y139</f>
        <v>0</v>
      </c>
    </row>
    <row r="26" spans="1:7" x14ac:dyDescent="0.25">
      <c r="A26" s="81" t="s">
        <v>45</v>
      </c>
      <c r="B26" s="15">
        <f>'MCH2'!Z155</f>
        <v>1599945.33</v>
      </c>
      <c r="C26" s="171">
        <f>'MCH2'!Z156</f>
        <v>266556.25</v>
      </c>
      <c r="D26" s="15">
        <f>'MCH2'!Z154</f>
        <v>1866501.58</v>
      </c>
      <c r="E26" s="15">
        <f>'4.9 Comptes 2022 par habitant'!Z154</f>
        <v>1224.738569553806</v>
      </c>
      <c r="F26" s="12">
        <f>'MCH2'!Z63</f>
        <v>1000000</v>
      </c>
      <c r="G26" s="12">
        <f>'MCH2'!Z139</f>
        <v>0</v>
      </c>
    </row>
    <row r="27" spans="1:7" x14ac:dyDescent="0.25">
      <c r="A27" s="81" t="s">
        <v>71</v>
      </c>
      <c r="B27" s="15">
        <f>'MCH2'!AA155</f>
        <v>-113818.35</v>
      </c>
      <c r="C27" s="171">
        <f>'MCH2'!AA156</f>
        <v>-2759.2</v>
      </c>
      <c r="D27" s="15">
        <f>'MCH2'!AA154</f>
        <v>-116577.55</v>
      </c>
      <c r="E27" s="15">
        <f>'4.9 Comptes 2022 par habitant'!AA154</f>
        <v>-1339.9718390804599</v>
      </c>
      <c r="F27" s="12">
        <f>'MCH2'!AA63</f>
        <v>0</v>
      </c>
      <c r="G27" s="12">
        <f>'MCH2'!AA139</f>
        <v>0</v>
      </c>
    </row>
    <row r="28" spans="1:7" x14ac:dyDescent="0.25">
      <c r="A28" s="81" t="s">
        <v>39</v>
      </c>
      <c r="B28" s="15">
        <f>'MCH2'!AB155</f>
        <v>5979.36</v>
      </c>
      <c r="C28" s="171">
        <f>'MCH2'!AB156</f>
        <v>31729.85</v>
      </c>
      <c r="D28" s="15">
        <f>'MCH2'!AB154</f>
        <v>37709.21</v>
      </c>
      <c r="E28" s="15">
        <f>'4.9 Comptes 2022 par habitant'!AB154</f>
        <v>241.72570512820513</v>
      </c>
      <c r="F28" s="12">
        <f>'MCH2'!AB63</f>
        <v>35000</v>
      </c>
      <c r="G28" s="12">
        <f>'MCH2'!AB139</f>
        <v>0</v>
      </c>
    </row>
    <row r="29" spans="1:7" x14ac:dyDescent="0.25">
      <c r="A29" s="81" t="s">
        <v>19</v>
      </c>
      <c r="B29" s="15">
        <f>'MCH2'!AC155</f>
        <v>7580.24</v>
      </c>
      <c r="C29" s="171">
        <f>'MCH2'!AC156</f>
        <v>-243.21</v>
      </c>
      <c r="D29" s="15">
        <f>'MCH2'!AC154</f>
        <v>7337.03</v>
      </c>
      <c r="E29" s="15">
        <f>'4.9 Comptes 2022 par habitant'!AC154</f>
        <v>14.386333333333333</v>
      </c>
      <c r="F29" s="12">
        <f>'MCH2'!AC63</f>
        <v>0</v>
      </c>
      <c r="G29" s="12">
        <f>'MCH2'!AC139</f>
        <v>0</v>
      </c>
    </row>
    <row r="30" spans="1:7" x14ac:dyDescent="0.25">
      <c r="A30" s="81" t="s">
        <v>41</v>
      </c>
      <c r="B30" s="15">
        <f>'MCH2'!AD155</f>
        <v>-70858.69</v>
      </c>
      <c r="C30" s="171">
        <f>'MCH2'!AD156</f>
        <v>125128.83</v>
      </c>
      <c r="D30" s="15">
        <f>'MCH2'!AD154</f>
        <v>54270.14</v>
      </c>
      <c r="E30" s="15">
        <f>'4.9 Comptes 2022 par habitant'!AD154</f>
        <v>76.978921985815617</v>
      </c>
      <c r="F30" s="12">
        <f>'MCH2'!AD63</f>
        <v>0</v>
      </c>
      <c r="G30" s="12">
        <f>'MCH2'!AD139</f>
        <v>0</v>
      </c>
    </row>
    <row r="31" spans="1:7" x14ac:dyDescent="0.25">
      <c r="A31" s="81" t="s">
        <v>36</v>
      </c>
      <c r="B31" s="15">
        <f>'MCH2'!AE155</f>
        <v>-144543.5</v>
      </c>
      <c r="C31" s="171">
        <f>'MCH2'!AE156</f>
        <v>-113762.3</v>
      </c>
      <c r="D31" s="15">
        <f>'MCH2'!AE154</f>
        <v>-258305.8</v>
      </c>
      <c r="E31" s="15">
        <f>'4.9 Comptes 2022 par habitant'!AE154</f>
        <v>-468.79455535390201</v>
      </c>
      <c r="F31" s="12">
        <f>'MCH2'!AE63</f>
        <v>0</v>
      </c>
      <c r="G31" s="12">
        <f>'MCH2'!AE139</f>
        <v>96</v>
      </c>
    </row>
    <row r="32" spans="1:7" x14ac:dyDescent="0.25">
      <c r="A32" s="81" t="s">
        <v>7</v>
      </c>
      <c r="B32" s="15">
        <f>'MCH2'!AF155</f>
        <v>-209245.59</v>
      </c>
      <c r="C32" s="171">
        <f>'MCH2'!AF156</f>
        <v>83282.86</v>
      </c>
      <c r="D32" s="15">
        <f>'MCH2'!AF154</f>
        <v>-125962.73</v>
      </c>
      <c r="E32" s="15">
        <f>'4.9 Comptes 2022 par habitant'!AF154</f>
        <v>-246.50240704500979</v>
      </c>
      <c r="F32" s="12">
        <f>'MCH2'!AF63</f>
        <v>0</v>
      </c>
      <c r="G32" s="12">
        <f>'MCH2'!AF139</f>
        <v>0</v>
      </c>
    </row>
    <row r="33" spans="1:7" x14ac:dyDescent="0.25">
      <c r="A33" s="81" t="s">
        <v>55</v>
      </c>
      <c r="B33" s="15">
        <f>'MCH2'!AG155</f>
        <v>570704.15</v>
      </c>
      <c r="C33" s="171">
        <f>'MCH2'!AG156</f>
        <v>579665.13</v>
      </c>
      <c r="D33" s="15">
        <f>'MCH2'!AG154</f>
        <v>1150369.28</v>
      </c>
      <c r="E33" s="15">
        <f>'4.9 Comptes 2022 par habitant'!AG154</f>
        <v>604.82086225026296</v>
      </c>
      <c r="F33" s="12">
        <f>'MCH2'!AG63</f>
        <v>0</v>
      </c>
      <c r="G33" s="12">
        <f>'MCH2'!AG139</f>
        <v>0</v>
      </c>
    </row>
    <row r="34" spans="1:7" x14ac:dyDescent="0.25">
      <c r="A34" s="81" t="s">
        <v>21</v>
      </c>
      <c r="B34" s="15">
        <f>'MCH2'!AH155</f>
        <v>89717.45</v>
      </c>
      <c r="C34" s="171">
        <f>'MCH2'!AH156</f>
        <v>405918</v>
      </c>
      <c r="D34" s="15">
        <f>'MCH2'!AH154</f>
        <v>495635.45</v>
      </c>
      <c r="E34" s="15">
        <f>'4.9 Comptes 2022 par habitant'!AH154</f>
        <v>192.47978640776699</v>
      </c>
      <c r="F34" s="12">
        <f>'MCH2'!AH63</f>
        <v>350000</v>
      </c>
      <c r="G34" s="12">
        <f>'MCH2'!AH139</f>
        <v>0</v>
      </c>
    </row>
    <row r="35" spans="1:7" x14ac:dyDescent="0.25">
      <c r="A35" s="81" t="s">
        <v>6</v>
      </c>
      <c r="B35" s="15">
        <f>'MCH2'!AI155</f>
        <v>-6155.02</v>
      </c>
      <c r="C35" s="171">
        <f>'MCH2'!AI156</f>
        <v>54787.13</v>
      </c>
      <c r="D35" s="15">
        <f>'MCH2'!AI154</f>
        <v>48632.11</v>
      </c>
      <c r="E35" s="15">
        <f>'4.9 Comptes 2022 par habitant'!AI154</f>
        <v>213.29872807017543</v>
      </c>
      <c r="F35" s="12">
        <f>'MCH2'!AI63</f>
        <v>50000</v>
      </c>
      <c r="G35" s="12">
        <f>'MCH2'!AI139</f>
        <v>0</v>
      </c>
    </row>
    <row r="36" spans="1:7" x14ac:dyDescent="0.25">
      <c r="A36" s="81" t="s">
        <v>34</v>
      </c>
      <c r="B36" s="15">
        <f>'MCH2'!AJ155</f>
        <v>4342.3500000000004</v>
      </c>
      <c r="C36" s="171">
        <f>'MCH2'!AJ156</f>
        <v>45010.42</v>
      </c>
      <c r="D36" s="15">
        <f>'MCH2'!AJ154</f>
        <v>49352.77</v>
      </c>
      <c r="E36" s="15">
        <f>'4.9 Comptes 2022 par habitant'!AJ154</f>
        <v>418.24381355932201</v>
      </c>
      <c r="F36" s="12">
        <f>'MCH2'!AJ63</f>
        <v>170000</v>
      </c>
      <c r="G36" s="12">
        <f>'MCH2'!AJ139</f>
        <v>0</v>
      </c>
    </row>
    <row r="37" spans="1:7" x14ac:dyDescent="0.25">
      <c r="A37" s="81" t="s">
        <v>52</v>
      </c>
      <c r="B37" s="15">
        <f>'MCH2'!AK155</f>
        <v>450000</v>
      </c>
      <c r="C37" s="171">
        <f>'MCH2'!AK156</f>
        <v>167262.01999999999</v>
      </c>
      <c r="D37" s="15">
        <f>'MCH2'!AK154</f>
        <v>617262.02</v>
      </c>
      <c r="E37" s="15">
        <f>'4.9 Comptes 2022 par habitant'!AK154</f>
        <v>327.98194473963866</v>
      </c>
      <c r="F37" s="12">
        <f>'MCH2'!AK63</f>
        <v>367367.02</v>
      </c>
      <c r="G37" s="12">
        <f>'MCH2'!AK139</f>
        <v>0</v>
      </c>
    </row>
    <row r="38" spans="1:7" x14ac:dyDescent="0.25">
      <c r="A38" s="81" t="s">
        <v>14</v>
      </c>
      <c r="B38" s="15">
        <f>'MCH2'!AL155</f>
        <v>42549.120000000003</v>
      </c>
      <c r="C38" s="171">
        <f>'MCH2'!AL156</f>
        <v>57892.7</v>
      </c>
      <c r="D38" s="15">
        <f>'MCH2'!AL154</f>
        <v>100441.82</v>
      </c>
      <c r="E38" s="15">
        <f>'4.9 Comptes 2022 par habitant'!AL154</f>
        <v>90.163213644524234</v>
      </c>
      <c r="F38" s="12">
        <f>'MCH2'!AL63</f>
        <v>163343.70000000001</v>
      </c>
      <c r="G38" s="12">
        <f>'MCH2'!AL139</f>
        <v>40000</v>
      </c>
    </row>
    <row r="39" spans="1:7" x14ac:dyDescent="0.25">
      <c r="A39" s="81" t="s">
        <v>32</v>
      </c>
      <c r="B39" s="15">
        <f>'MCH2'!AM155</f>
        <v>-59505.94</v>
      </c>
      <c r="C39" s="171">
        <f>'MCH2'!AM156</f>
        <v>37079.43</v>
      </c>
      <c r="D39" s="15">
        <f>'MCH2'!AM154</f>
        <v>-22426.510000000002</v>
      </c>
      <c r="E39" s="15">
        <f>'4.9 Comptes 2022 par habitant'!AM154</f>
        <v>-18.427699260476583</v>
      </c>
      <c r="F39" s="12">
        <f>'MCH2'!AM63</f>
        <v>0</v>
      </c>
      <c r="G39" s="12">
        <f>'MCH2'!AM139</f>
        <v>0</v>
      </c>
    </row>
    <row r="40" spans="1:7" x14ac:dyDescent="0.25">
      <c r="A40" s="81" t="s">
        <v>29</v>
      </c>
      <c r="B40" s="15">
        <f>'MCH2'!AN155</f>
        <v>-471.3</v>
      </c>
      <c r="C40" s="171">
        <f>'MCH2'!AN156</f>
        <v>-8970.94</v>
      </c>
      <c r="D40" s="15">
        <f>'MCH2'!AN154</f>
        <v>-9442.24</v>
      </c>
      <c r="E40" s="15">
        <f>'4.9 Comptes 2022 par habitant'!AN154</f>
        <v>-80.702905982905989</v>
      </c>
      <c r="F40" s="12">
        <f>'MCH2'!AN63</f>
        <v>12358</v>
      </c>
      <c r="G40" s="12">
        <f>'MCH2'!AN139</f>
        <v>4800</v>
      </c>
    </row>
    <row r="41" spans="1:7" x14ac:dyDescent="0.25">
      <c r="A41" s="81" t="s">
        <v>26</v>
      </c>
      <c r="B41" s="15">
        <f>'MCH2'!AO155</f>
        <v>53245.440000000002</v>
      </c>
      <c r="C41" s="171">
        <f>'MCH2'!AO156</f>
        <v>59413.84</v>
      </c>
      <c r="D41" s="15">
        <f>'MCH2'!AO154</f>
        <v>112659.28</v>
      </c>
      <c r="E41" s="15">
        <f>'4.9 Comptes 2022 par habitant'!AO154</f>
        <v>93.493178423236515</v>
      </c>
      <c r="F41" s="12">
        <f>'MCH2'!AO63</f>
        <v>1900000</v>
      </c>
      <c r="G41" s="12">
        <f>'MCH2'!AO139</f>
        <v>0</v>
      </c>
    </row>
    <row r="42" spans="1:7" x14ac:dyDescent="0.25">
      <c r="A42" s="81" t="s">
        <v>48</v>
      </c>
      <c r="B42" s="15">
        <f>'MCH2'!AP155</f>
        <v>-71312.800000000003</v>
      </c>
      <c r="C42" s="171">
        <f>'MCH2'!AP156</f>
        <v>42847.56</v>
      </c>
      <c r="D42" s="15">
        <f>'MCH2'!AP154</f>
        <v>-28465.240000000005</v>
      </c>
      <c r="E42" s="15">
        <f>'4.9 Comptes 2022 par habitant'!AP154</f>
        <v>-45.544384000000008</v>
      </c>
      <c r="F42" s="12">
        <f>'MCH2'!AP63</f>
        <v>0</v>
      </c>
      <c r="G42" s="12">
        <f>'MCH2'!AP139</f>
        <v>100736</v>
      </c>
    </row>
    <row r="43" spans="1:7" x14ac:dyDescent="0.25">
      <c r="A43" s="81" t="s">
        <v>44</v>
      </c>
      <c r="B43" s="15">
        <f>'MCH2'!AQ155</f>
        <v>-102773.5</v>
      </c>
      <c r="C43" s="171">
        <f>'MCH2'!AQ156</f>
        <v>-2741.24</v>
      </c>
      <c r="D43" s="15">
        <f>'MCH2'!AQ154</f>
        <v>-105514.74</v>
      </c>
      <c r="E43" s="15">
        <f>'4.9 Comptes 2022 par habitant'!AQ154</f>
        <v>-167.21828843106181</v>
      </c>
      <c r="F43" s="12">
        <f>'MCH2'!AQ63</f>
        <v>0</v>
      </c>
      <c r="G43" s="12">
        <f>'MCH2'!AQ139</f>
        <v>130567</v>
      </c>
    </row>
    <row r="44" spans="1:7" x14ac:dyDescent="0.25">
      <c r="A44" s="81" t="s">
        <v>37</v>
      </c>
      <c r="B44" s="15">
        <f>'MCH2'!AR155</f>
        <v>1535.82</v>
      </c>
      <c r="C44" s="171">
        <f>'MCH2'!AR156</f>
        <v>13765.81</v>
      </c>
      <c r="D44" s="15">
        <f>'MCH2'!AR154</f>
        <v>15301.63</v>
      </c>
      <c r="E44" s="15">
        <f>'4.9 Comptes 2022 par habitant'!AR154</f>
        <v>12.001278431372549</v>
      </c>
      <c r="F44" s="12">
        <f>'MCH2'!AR63</f>
        <v>20000</v>
      </c>
      <c r="G44" s="12">
        <f>'MCH2'!AR139</f>
        <v>0</v>
      </c>
    </row>
    <row r="45" spans="1:7" x14ac:dyDescent="0.25">
      <c r="A45" s="81" t="s">
        <v>51</v>
      </c>
      <c r="B45" s="15">
        <f>'MCH2'!AS155</f>
        <v>-103783.8</v>
      </c>
      <c r="C45" s="171">
        <f>'MCH2'!AS156</f>
        <v>-59737.18</v>
      </c>
      <c r="D45" s="15">
        <f>'MCH2'!AS154</f>
        <v>-163520.98000000001</v>
      </c>
      <c r="E45" s="15">
        <f>'4.9 Comptes 2022 par habitant'!AS154</f>
        <v>-227.74509749303621</v>
      </c>
      <c r="F45" s="12">
        <f>'MCH2'!AS63</f>
        <v>0</v>
      </c>
      <c r="G45" s="12">
        <f>'MCH2'!AS139</f>
        <v>422</v>
      </c>
    </row>
    <row r="46" spans="1:7" x14ac:dyDescent="0.25">
      <c r="A46" s="81" t="s">
        <v>8</v>
      </c>
      <c r="B46" s="15">
        <f>'MCH2'!AT155</f>
        <v>-154372.34</v>
      </c>
      <c r="C46" s="171">
        <f>'MCH2'!AT156</f>
        <v>56544.76</v>
      </c>
      <c r="D46" s="15">
        <f>'MCH2'!AT154</f>
        <v>-97827.579999999987</v>
      </c>
      <c r="E46" s="15">
        <f>'4.9 Comptes 2022 par habitant'!AT154</f>
        <v>-96.097819253438118</v>
      </c>
      <c r="F46" s="12">
        <f>'MCH2'!AT63</f>
        <v>0</v>
      </c>
      <c r="G46" s="12">
        <f>'MCH2'!AT139</f>
        <v>20000</v>
      </c>
    </row>
    <row r="47" spans="1:7" x14ac:dyDescent="0.25">
      <c r="A47" s="81" t="s">
        <v>24</v>
      </c>
      <c r="B47" s="15">
        <f>'MCH2'!AU155</f>
        <v>-330157.09999999998</v>
      </c>
      <c r="C47" s="171">
        <f>'MCH2'!AU156</f>
        <v>116657.02</v>
      </c>
      <c r="D47" s="15">
        <f>'MCH2'!AU154</f>
        <v>-213500.07999999996</v>
      </c>
      <c r="E47" s="15">
        <f>'4.9 Comptes 2022 par habitant'!AU154</f>
        <v>-728.66921501706474</v>
      </c>
      <c r="F47" s="12">
        <f>'MCH2'!AU63</f>
        <v>0</v>
      </c>
      <c r="G47" s="12">
        <f>'MCH2'!AU139</f>
        <v>50338</v>
      </c>
    </row>
    <row r="48" spans="1:7" x14ac:dyDescent="0.25">
      <c r="A48" s="81" t="s">
        <v>9</v>
      </c>
      <c r="B48" s="15">
        <f>'MCH2'!AV155</f>
        <v>34266.46</v>
      </c>
      <c r="C48" s="171">
        <f>'MCH2'!AV156</f>
        <v>140468.65</v>
      </c>
      <c r="D48" s="15">
        <f>'MCH2'!AV154</f>
        <v>174735.11</v>
      </c>
      <c r="E48" s="15">
        <f>'4.9 Comptes 2022 par habitant'!AV154</f>
        <v>71.759798767967141</v>
      </c>
      <c r="F48" s="12">
        <f>'MCH2'!AV63</f>
        <v>100000</v>
      </c>
      <c r="G48" s="12">
        <f>'MCH2'!AV139</f>
        <v>0</v>
      </c>
    </row>
    <row r="49" spans="1:9" x14ac:dyDescent="0.25">
      <c r="A49" s="81" t="s">
        <v>62</v>
      </c>
      <c r="B49" s="15">
        <f>'MCH2'!AW155</f>
        <v>51005.88</v>
      </c>
      <c r="C49" s="171">
        <f>'MCH2'!AW156</f>
        <v>-547.54999999999995</v>
      </c>
      <c r="D49" s="15">
        <f>'MCH2'!AW154</f>
        <v>50458.329999999994</v>
      </c>
      <c r="E49" s="15">
        <f>'4.9 Comptes 2022 par habitant'!AW154</f>
        <v>64.196348600508898</v>
      </c>
      <c r="F49" s="12">
        <f>'MCH2'!AW63</f>
        <v>200000</v>
      </c>
      <c r="G49" s="12">
        <f>'MCH2'!AW139</f>
        <v>633</v>
      </c>
    </row>
    <row r="50" spans="1:9" x14ac:dyDescent="0.25">
      <c r="A50" s="81" t="s">
        <v>46</v>
      </c>
      <c r="B50" s="15">
        <f>'MCH2'!AX155</f>
        <v>-43918.63</v>
      </c>
      <c r="C50" s="171">
        <f>'MCH2'!AX156</f>
        <v>-262.5</v>
      </c>
      <c r="D50" s="15">
        <f>'MCH2'!AX154</f>
        <v>-44181.13</v>
      </c>
      <c r="E50" s="15">
        <f>'4.9 Comptes 2022 par habitant'!AX154</f>
        <v>-240.11483695652171</v>
      </c>
      <c r="F50" s="12">
        <f>'MCH2'!AX63</f>
        <v>1717.95</v>
      </c>
      <c r="G50" s="12">
        <f>'MCH2'!AX139</f>
        <v>5207</v>
      </c>
    </row>
    <row r="51" spans="1:9" x14ac:dyDescent="0.25">
      <c r="A51" s="81" t="s">
        <v>35</v>
      </c>
      <c r="B51" s="15">
        <f>'MCH2'!AY155</f>
        <v>-172483.83</v>
      </c>
      <c r="C51" s="171">
        <f>'MCH2'!AY156</f>
        <v>85156.39</v>
      </c>
      <c r="D51" s="15">
        <f>'MCH2'!AY154</f>
        <v>-87327.439999999988</v>
      </c>
      <c r="E51" s="15">
        <f>'4.9 Comptes 2022 par habitant'!AY154</f>
        <v>-262.2445645645646</v>
      </c>
      <c r="F51" s="12">
        <f>'MCH2'!AY63</f>
        <v>0</v>
      </c>
      <c r="G51" s="12">
        <f>'MCH2'!AY139</f>
        <v>311</v>
      </c>
    </row>
    <row r="52" spans="1:9" x14ac:dyDescent="0.25">
      <c r="A52" s="81" t="s">
        <v>49</v>
      </c>
      <c r="B52" s="15">
        <f>'MCH2'!AZ155</f>
        <v>-143672.57999999999</v>
      </c>
      <c r="C52" s="171">
        <f>'MCH2'!AZ156</f>
        <v>150896.73000000001</v>
      </c>
      <c r="D52" s="15">
        <f>'MCH2'!AZ154</f>
        <v>7224.1500000000233</v>
      </c>
      <c r="E52" s="15">
        <f>'4.9 Comptes 2022 par habitant'!AZ154</f>
        <v>4.3155017921147163</v>
      </c>
      <c r="F52" s="12">
        <f>'MCH2'!AZ63</f>
        <v>0</v>
      </c>
      <c r="G52" s="12">
        <f>'MCH2'!AZ139</f>
        <v>151597</v>
      </c>
    </row>
    <row r="53" spans="1:9" x14ac:dyDescent="0.25">
      <c r="A53" s="81" t="s">
        <v>47</v>
      </c>
      <c r="B53" s="16">
        <f>'MCH2'!BA155</f>
        <v>251.69</v>
      </c>
      <c r="C53" s="171">
        <f>'MCH2'!BA156</f>
        <v>130926.95</v>
      </c>
      <c r="D53" s="15">
        <f>'MCH2'!BA154</f>
        <v>131178.63999999998</v>
      </c>
      <c r="E53" s="15">
        <f>'4.9 Comptes 2022 par habitant'!BA154</f>
        <v>335.4952429667519</v>
      </c>
      <c r="F53" s="12">
        <f>'MCH2'!BA63</f>
        <v>920</v>
      </c>
      <c r="G53" s="12">
        <f>'MCH2'!BA139</f>
        <v>319</v>
      </c>
    </row>
    <row r="54" spans="1:9" x14ac:dyDescent="0.25">
      <c r="A54" s="81" t="s">
        <v>58</v>
      </c>
      <c r="B54" s="15">
        <f>'MCH2'!BB155</f>
        <v>54631.45</v>
      </c>
      <c r="C54" s="171">
        <f>'MCH2'!BB156</f>
        <v>81280.52</v>
      </c>
      <c r="D54" s="15">
        <f>'MCH2'!BB154</f>
        <v>135911.97</v>
      </c>
      <c r="E54" s="15">
        <f>'4.9 Comptes 2022 par habitant'!BB154</f>
        <v>129.1938878326996</v>
      </c>
      <c r="F54" s="12">
        <f>'MCH2'!BB63</f>
        <v>250253.45</v>
      </c>
      <c r="G54" s="12">
        <f>'MCH2'!BB139</f>
        <v>1083</v>
      </c>
    </row>
    <row r="55" spans="1:9" x14ac:dyDescent="0.25">
      <c r="A55" s="81" t="s">
        <v>50</v>
      </c>
      <c r="B55" s="15">
        <f>'MCH2'!BC155</f>
        <v>1611.37</v>
      </c>
      <c r="C55" s="171">
        <f>'MCH2'!BC156</f>
        <v>0</v>
      </c>
      <c r="D55" s="15">
        <f>'MCH2'!BC154</f>
        <v>1611.37</v>
      </c>
      <c r="E55" s="15">
        <f>'4.9 Comptes 2022 par habitant'!BC154</f>
        <v>8.6632795698924721</v>
      </c>
      <c r="F55" s="12">
        <f>'MCH2'!BC63</f>
        <v>0</v>
      </c>
      <c r="G55" s="12">
        <f>'MCH2'!BC139</f>
        <v>235</v>
      </c>
    </row>
    <row r="56" spans="1:9" x14ac:dyDescent="0.25">
      <c r="A56" s="81" t="s">
        <v>16</v>
      </c>
      <c r="B56" s="15">
        <f>'MCH2'!BD155</f>
        <v>-412328.29</v>
      </c>
      <c r="C56" s="171">
        <f>'MCH2'!BD156</f>
        <v>1454351.74</v>
      </c>
      <c r="D56" s="15">
        <f>'MCH2'!BD154</f>
        <v>1042023.45</v>
      </c>
      <c r="E56" s="15">
        <f>'4.9 Comptes 2022 par habitant'!BD154</f>
        <v>161.77976245924543</v>
      </c>
      <c r="F56" s="12">
        <f>'MCH2'!BD63</f>
        <v>0</v>
      </c>
      <c r="G56" s="12">
        <f>'MCH2'!BD139</f>
        <v>500000</v>
      </c>
    </row>
    <row r="57" spans="1:9" x14ac:dyDescent="0.25">
      <c r="A57" s="81" t="s">
        <v>25</v>
      </c>
      <c r="B57" s="15">
        <f>'MCH2'!BE155</f>
        <v>53968.13</v>
      </c>
      <c r="C57" s="171">
        <f>'MCH2'!BE156</f>
        <v>11088.07</v>
      </c>
      <c r="D57" s="15">
        <f>'MCH2'!BE154</f>
        <v>65056.2</v>
      </c>
      <c r="E57" s="15">
        <f>'4.9 Comptes 2022 par habitant'!BE154</f>
        <v>119.15054945054945</v>
      </c>
      <c r="F57" s="12">
        <f>'MCH2'!BE63</f>
        <v>0</v>
      </c>
      <c r="G57" s="12">
        <f>'MCH2'!BE139</f>
        <v>0</v>
      </c>
    </row>
    <row r="58" spans="1:9" x14ac:dyDescent="0.25">
      <c r="A58" s="82" t="s">
        <v>65</v>
      </c>
      <c r="B58" s="170">
        <f>'MCH2'!BF155</f>
        <v>-1754910.18</v>
      </c>
      <c r="C58" s="170">
        <f>'MCH2'!BF156</f>
        <v>9343491.2699999996</v>
      </c>
      <c r="D58" s="73">
        <f>'MCH2'!BF154</f>
        <v>7588581.0899999999</v>
      </c>
      <c r="E58" s="73">
        <f>'4.9 Comptes 2022 par habitant'!BF154</f>
        <v>2378.4928270988235</v>
      </c>
      <c r="F58" s="75">
        <f>'MCH2'!BF63</f>
        <v>6649597.2200000007</v>
      </c>
      <c r="G58" s="75">
        <f>'MCH2'!BF139</f>
        <v>4389613.17</v>
      </c>
      <c r="I58" s="12"/>
    </row>
    <row r="59" spans="1:9" x14ac:dyDescent="0.25">
      <c r="A59" s="82" t="s">
        <v>210</v>
      </c>
      <c r="B59" s="170">
        <f>'MCH2'!BG155</f>
        <v>-3470298.3499999996</v>
      </c>
      <c r="C59" s="170">
        <f>'MCH2'!BG156</f>
        <v>5225025.7500000009</v>
      </c>
      <c r="D59" s="73">
        <f>'MCH2'!BG154</f>
        <v>1754727.4000000013</v>
      </c>
      <c r="E59" s="73">
        <f>'4.9 Comptes 2022 par habitant'!BG154</f>
        <v>988.72173740149083</v>
      </c>
      <c r="F59" s="75">
        <f>'MCH2'!BG63</f>
        <v>2028637.1</v>
      </c>
      <c r="G59" s="75">
        <f>'MCH2'!BG139</f>
        <v>3383269.17</v>
      </c>
    </row>
    <row r="60" spans="1:9" x14ac:dyDescent="0.25">
      <c r="A60" s="82" t="s">
        <v>211</v>
      </c>
      <c r="B60" s="170">
        <f>'MCH2'!BH155</f>
        <v>2567102.9200000004</v>
      </c>
      <c r="C60" s="170">
        <f>'MCH2'!BH156</f>
        <v>1585092.7399999998</v>
      </c>
      <c r="D60" s="73">
        <f>'MCH2'!BH154</f>
        <v>4152195.66</v>
      </c>
      <c r="E60" s="73">
        <f>'4.9 Comptes 2022 par habitant'!BH154</f>
        <v>1838.3419139778991</v>
      </c>
      <c r="F60" s="75">
        <f>'MCH2'!BH63</f>
        <v>1605000</v>
      </c>
      <c r="G60" s="75">
        <f>'MCH2'!BH139</f>
        <v>96</v>
      </c>
    </row>
    <row r="61" spans="1:9" x14ac:dyDescent="0.25">
      <c r="A61" s="82" t="s">
        <v>212</v>
      </c>
      <c r="B61" s="170">
        <f>'MCH2'!BI155</f>
        <v>-851714.74999999988</v>
      </c>
      <c r="C61" s="170">
        <f>'MCH2'!BI156</f>
        <v>2533372.7799999998</v>
      </c>
      <c r="D61" s="73">
        <f>'MCH2'!BI154</f>
        <v>1681658.0299999998</v>
      </c>
      <c r="E61" s="73">
        <f>'4.9 Comptes 2022 par habitant'!BI154</f>
        <v>-448.5708242805681</v>
      </c>
      <c r="F61" s="75">
        <f>'MCH2'!BI63</f>
        <v>3015960.12</v>
      </c>
      <c r="G61" s="75">
        <f>'MCH2'!BI139</f>
        <v>1006248</v>
      </c>
    </row>
    <row r="62" spans="1:9" x14ac:dyDescent="0.25">
      <c r="C62" s="15"/>
    </row>
  </sheetData>
  <pageMargins left="0.7" right="0.7" top="0.75" bottom="0.75" header="0.3" footer="0.3"/>
  <pageSetup paperSize="9" scale="8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59999389629810485"/>
    <pageSetUpPr fitToPage="1"/>
  </sheetPr>
  <dimension ref="A2:E161"/>
  <sheetViews>
    <sheetView topLeftCell="A149" workbookViewId="0">
      <selection activeCell="E157" sqref="E157"/>
    </sheetView>
  </sheetViews>
  <sheetFormatPr baseColWidth="10" defaultColWidth="11.44140625" defaultRowHeight="13.8" x14ac:dyDescent="0.25"/>
  <cols>
    <col min="1" max="2" width="5.6640625" style="7" customWidth="1"/>
    <col min="3" max="3" width="9" style="7" customWidth="1"/>
    <col min="4" max="4" width="63.5546875" style="7" customWidth="1"/>
    <col min="5" max="5" width="23" style="7" customWidth="1"/>
    <col min="6" max="16384" width="11.44140625" style="7"/>
  </cols>
  <sheetData>
    <row r="2" spans="1:5" ht="21" x14ac:dyDescent="0.4">
      <c r="A2" s="79" t="s">
        <v>827</v>
      </c>
      <c r="B2" s="6"/>
      <c r="C2" s="6"/>
      <c r="D2" s="6"/>
    </row>
    <row r="4" spans="1:5" ht="15" thickBot="1" x14ac:dyDescent="0.35">
      <c r="D4" s="176" t="s">
        <v>587</v>
      </c>
    </row>
    <row r="5" spans="1:5" ht="14.4" thickBot="1" x14ac:dyDescent="0.3">
      <c r="A5" s="7" t="s">
        <v>627</v>
      </c>
      <c r="D5" s="83" t="s">
        <v>56</v>
      </c>
    </row>
    <row r="7" spans="1:5" x14ac:dyDescent="0.25">
      <c r="E7" s="29" t="s">
        <v>201</v>
      </c>
    </row>
    <row r="8" spans="1:5" ht="21" x14ac:dyDescent="0.4">
      <c r="A8" s="10">
        <v>3</v>
      </c>
      <c r="B8" s="10"/>
      <c r="C8" s="10"/>
      <c r="D8" s="10" t="s">
        <v>60</v>
      </c>
      <c r="E8" s="177">
        <f>HLOOKUP(D5,'MCH2'!$E$4:$BE$159,2,0)</f>
        <v>3735431.19</v>
      </c>
    </row>
    <row r="9" spans="1:5" x14ac:dyDescent="0.25">
      <c r="A9" s="66"/>
      <c r="B9" s="66">
        <v>30</v>
      </c>
      <c r="C9" s="66"/>
      <c r="D9" s="66" t="s">
        <v>61</v>
      </c>
      <c r="E9" s="174">
        <f>HLOOKUP($D$5,'MCH2'!$E$4:$BE$159,3,0)</f>
        <v>474056.55000000005</v>
      </c>
    </row>
    <row r="10" spans="1:5" x14ac:dyDescent="0.25">
      <c r="C10" s="7">
        <v>300</v>
      </c>
      <c r="D10" s="7" t="s">
        <v>80</v>
      </c>
      <c r="E10" s="15">
        <f>HLOOKUP($D$5,'MCH2'!$E$4:$BE$159,4,0)</f>
        <v>44845</v>
      </c>
    </row>
    <row r="11" spans="1:5" x14ac:dyDescent="0.25">
      <c r="C11" s="7">
        <v>301</v>
      </c>
      <c r="D11" s="7" t="s">
        <v>81</v>
      </c>
      <c r="E11" s="15">
        <f>HLOOKUP($D$5,'MCH2'!$E$4:$BE$159,5,0)</f>
        <v>356986.4</v>
      </c>
    </row>
    <row r="12" spans="1:5" x14ac:dyDescent="0.25">
      <c r="C12" s="7">
        <v>302</v>
      </c>
      <c r="D12" s="7" t="s">
        <v>82</v>
      </c>
      <c r="E12" s="15">
        <f>HLOOKUP($D$5,'MCH2'!$E$4:$BE$159,6,0)</f>
        <v>0</v>
      </c>
    </row>
    <row r="13" spans="1:5" x14ac:dyDescent="0.25">
      <c r="C13" s="7">
        <v>303</v>
      </c>
      <c r="D13" s="7" t="s">
        <v>83</v>
      </c>
      <c r="E13" s="15">
        <f>HLOOKUP($D$5,'MCH2'!$E$4:$BE$159,7,0)</f>
        <v>0</v>
      </c>
    </row>
    <row r="14" spans="1:5" x14ac:dyDescent="0.25">
      <c r="C14" s="7">
        <v>304</v>
      </c>
      <c r="D14" s="7" t="s">
        <v>578</v>
      </c>
      <c r="E14" s="15">
        <f>HLOOKUP($D$5,'MCH2'!$E$4:$BE$159,8,0)</f>
        <v>0</v>
      </c>
    </row>
    <row r="15" spans="1:5" x14ac:dyDescent="0.25">
      <c r="C15" s="7">
        <v>305</v>
      </c>
      <c r="D15" s="7" t="s">
        <v>84</v>
      </c>
      <c r="E15" s="15">
        <f>HLOOKUP($D$5,'MCH2'!$E$4:$BE$159,9,0)</f>
        <v>71318.149999999994</v>
      </c>
    </row>
    <row r="16" spans="1:5" x14ac:dyDescent="0.25">
      <c r="C16" s="7">
        <v>306</v>
      </c>
      <c r="D16" s="7" t="s">
        <v>85</v>
      </c>
      <c r="E16" s="15">
        <f>HLOOKUP($D$5,'MCH2'!$E$4:$BE$159,10,0)</f>
        <v>0</v>
      </c>
    </row>
    <row r="17" spans="2:5" x14ac:dyDescent="0.25">
      <c r="C17" s="7">
        <v>309</v>
      </c>
      <c r="D17" s="7" t="s">
        <v>86</v>
      </c>
      <c r="E17" s="15">
        <f>HLOOKUP($D$5,'MCH2'!$E$4:$BE$159,11,0)</f>
        <v>907</v>
      </c>
    </row>
    <row r="18" spans="2:5" x14ac:dyDescent="0.25">
      <c r="E18" s="15"/>
    </row>
    <row r="19" spans="2:5" x14ac:dyDescent="0.25">
      <c r="B19" s="66">
        <v>31</v>
      </c>
      <c r="C19" s="66"/>
      <c r="D19" s="66" t="s">
        <v>87</v>
      </c>
      <c r="E19" s="174">
        <f>SUM(E20:E29)</f>
        <v>583887.39</v>
      </c>
    </row>
    <row r="20" spans="2:5" x14ac:dyDescent="0.25">
      <c r="C20" s="7">
        <v>310</v>
      </c>
      <c r="D20" s="7" t="s">
        <v>88</v>
      </c>
      <c r="E20" s="15">
        <f>HLOOKUP($D$5,'MCH2'!$E$4:$BE$159,14,0)</f>
        <v>71520.05</v>
      </c>
    </row>
    <row r="21" spans="2:5" x14ac:dyDescent="0.25">
      <c r="C21" s="7">
        <v>311</v>
      </c>
      <c r="D21" s="7" t="s">
        <v>449</v>
      </c>
      <c r="E21" s="15">
        <f>HLOOKUP($D$5,'MCH2'!$E$4:$BE$159,15,0)</f>
        <v>23290.6</v>
      </c>
    </row>
    <row r="22" spans="2:5" x14ac:dyDescent="0.25">
      <c r="C22" s="7">
        <v>312</v>
      </c>
      <c r="D22" s="7" t="s">
        <v>90</v>
      </c>
      <c r="E22" s="15">
        <f>HLOOKUP($D$5,'MCH2'!$E$4:$BE$159,16,0)</f>
        <v>109076.9</v>
      </c>
    </row>
    <row r="23" spans="2:5" x14ac:dyDescent="0.25">
      <c r="C23" s="7">
        <v>313</v>
      </c>
      <c r="D23" s="7" t="s">
        <v>91</v>
      </c>
      <c r="E23" s="15">
        <f>HLOOKUP($D$5,'MCH2'!$E$4:$BE$159,17,0)</f>
        <v>201212.12</v>
      </c>
    </row>
    <row r="24" spans="2:5" x14ac:dyDescent="0.25">
      <c r="C24" s="7">
        <v>314</v>
      </c>
      <c r="D24" s="7" t="s">
        <v>841</v>
      </c>
      <c r="E24" s="15">
        <f>HLOOKUP($D$5,'MCH2'!$E$4:$BE$159,18,0)</f>
        <v>117627.35</v>
      </c>
    </row>
    <row r="25" spans="2:5" x14ac:dyDescent="0.25">
      <c r="C25" s="7">
        <v>315</v>
      </c>
      <c r="D25" s="7" t="s">
        <v>92</v>
      </c>
      <c r="E25" s="15">
        <f>HLOOKUP($D$5,'MCH2'!$E$4:$BE$159,19,0)</f>
        <v>50105.4</v>
      </c>
    </row>
    <row r="26" spans="2:5" x14ac:dyDescent="0.25">
      <c r="C26" s="7">
        <v>316</v>
      </c>
      <c r="D26" s="7" t="s">
        <v>93</v>
      </c>
      <c r="E26" s="15">
        <f>HLOOKUP($D$5,'MCH2'!$E$4:$BE$159,20,0)</f>
        <v>3877.2</v>
      </c>
    </row>
    <row r="27" spans="2:5" x14ac:dyDescent="0.25">
      <c r="C27" s="7">
        <v>317</v>
      </c>
      <c r="D27" s="7" t="s">
        <v>94</v>
      </c>
      <c r="E27" s="15">
        <f>HLOOKUP($D$5,'MCH2'!$E$4:$BE$159,21,0)</f>
        <v>22594.15</v>
      </c>
    </row>
    <row r="28" spans="2:5" x14ac:dyDescent="0.25">
      <c r="C28" s="7">
        <v>318</v>
      </c>
      <c r="D28" s="7" t="s">
        <v>95</v>
      </c>
      <c r="E28" s="15">
        <f>HLOOKUP($D$5,'MCH2'!$E$4:$BE$159,22,0)</f>
        <v>-25400.880000000001</v>
      </c>
    </row>
    <row r="29" spans="2:5" x14ac:dyDescent="0.25">
      <c r="C29" s="7">
        <v>319</v>
      </c>
      <c r="D29" s="7" t="s">
        <v>96</v>
      </c>
      <c r="E29" s="15">
        <f>HLOOKUP($D$5,'MCH2'!$E$4:$BE$159,23,0)</f>
        <v>9984.5</v>
      </c>
    </row>
    <row r="30" spans="2:5" x14ac:dyDescent="0.25">
      <c r="E30" s="15"/>
    </row>
    <row r="31" spans="2:5" x14ac:dyDescent="0.25">
      <c r="B31" s="66">
        <v>33</v>
      </c>
      <c r="C31" s="66"/>
      <c r="D31" s="66" t="s">
        <v>97</v>
      </c>
      <c r="E31" s="174">
        <f>SUM(E32:E33)</f>
        <v>273439.17</v>
      </c>
    </row>
    <row r="32" spans="2:5" x14ac:dyDescent="0.25">
      <c r="C32" s="7">
        <v>330</v>
      </c>
      <c r="D32" s="7" t="s">
        <v>99</v>
      </c>
      <c r="E32" s="15">
        <f>HLOOKUP($D$5,'MCH2'!$E$4:$BE$159,26,0)</f>
        <v>273439.17</v>
      </c>
    </row>
    <row r="33" spans="2:5" x14ac:dyDescent="0.25">
      <c r="C33" s="7">
        <v>332</v>
      </c>
      <c r="D33" s="7" t="s">
        <v>98</v>
      </c>
      <c r="E33" s="15">
        <f>HLOOKUP($D$5,'MCH2'!$E$4:$BE$159,27,0)</f>
        <v>0</v>
      </c>
    </row>
    <row r="34" spans="2:5" x14ac:dyDescent="0.25">
      <c r="E34" s="15"/>
    </row>
    <row r="35" spans="2:5" x14ac:dyDescent="0.25">
      <c r="B35" s="66">
        <v>34</v>
      </c>
      <c r="C35" s="66"/>
      <c r="D35" s="66" t="s">
        <v>100</v>
      </c>
      <c r="E35" s="174">
        <f>SUM(E36:E41)</f>
        <v>54405.36</v>
      </c>
    </row>
    <row r="36" spans="2:5" x14ac:dyDescent="0.25">
      <c r="C36" s="7">
        <v>340</v>
      </c>
      <c r="D36" s="7" t="s">
        <v>101</v>
      </c>
      <c r="E36" s="15">
        <f>HLOOKUP($D$5,'MCH2'!$E$4:$BE$159,30,0)</f>
        <v>54405.36</v>
      </c>
    </row>
    <row r="37" spans="2:5" x14ac:dyDescent="0.25">
      <c r="C37" s="7">
        <v>341</v>
      </c>
      <c r="D37" s="7" t="s">
        <v>102</v>
      </c>
      <c r="E37" s="15">
        <f>HLOOKUP($D$5,'MCH2'!$E$4:$BE$159,31,0)</f>
        <v>0</v>
      </c>
    </row>
    <row r="38" spans="2:5" x14ac:dyDescent="0.25">
      <c r="C38" s="7">
        <v>342</v>
      </c>
      <c r="D38" s="7" t="s">
        <v>103</v>
      </c>
      <c r="E38" s="15">
        <f>HLOOKUP($D$5,'MCH2'!$E$4:$BE$159,32,0)</f>
        <v>0</v>
      </c>
    </row>
    <row r="39" spans="2:5" x14ac:dyDescent="0.25">
      <c r="C39" s="7">
        <v>343</v>
      </c>
      <c r="D39" s="7" t="s">
        <v>104</v>
      </c>
      <c r="E39" s="15">
        <f>HLOOKUP($D$5,'MCH2'!$E$4:$BE$159,33,0)</f>
        <v>0</v>
      </c>
    </row>
    <row r="40" spans="2:5" x14ac:dyDescent="0.25">
      <c r="C40" s="7">
        <v>344</v>
      </c>
      <c r="D40" s="7" t="s">
        <v>105</v>
      </c>
      <c r="E40" s="15">
        <f>HLOOKUP($D$5,'MCH2'!$E$4:$BE$159,34,0)</f>
        <v>0</v>
      </c>
    </row>
    <row r="41" spans="2:5" x14ac:dyDescent="0.25">
      <c r="C41" s="7">
        <v>349</v>
      </c>
      <c r="D41" s="7" t="s">
        <v>106</v>
      </c>
      <c r="E41" s="15">
        <f>HLOOKUP($D$5,'MCH2'!$E$4:$BE$159,35,0)</f>
        <v>0</v>
      </c>
    </row>
    <row r="42" spans="2:5" x14ac:dyDescent="0.25">
      <c r="E42" s="15"/>
    </row>
    <row r="43" spans="2:5" x14ac:dyDescent="0.25">
      <c r="B43" s="66">
        <v>35</v>
      </c>
      <c r="C43" s="66"/>
      <c r="D43" s="66" t="s">
        <v>108</v>
      </c>
      <c r="E43" s="174">
        <f>SUM(E44:E45)</f>
        <v>13669.95</v>
      </c>
    </row>
    <row r="44" spans="2:5" x14ac:dyDescent="0.25">
      <c r="C44" s="7">
        <v>350</v>
      </c>
      <c r="D44" s="7" t="s">
        <v>108</v>
      </c>
      <c r="E44" s="15">
        <f>HLOOKUP($D$5,'MCH2'!$E$4:$BE$159,38,0)</f>
        <v>0</v>
      </c>
    </row>
    <row r="45" spans="2:5" x14ac:dyDescent="0.25">
      <c r="C45" s="7">
        <v>351</v>
      </c>
      <c r="D45" s="7" t="s">
        <v>107</v>
      </c>
      <c r="E45" s="15">
        <f>HLOOKUP($D$5,'MCH2'!$E$4:$BE$159,39,0)</f>
        <v>13669.95</v>
      </c>
    </row>
    <row r="46" spans="2:5" x14ac:dyDescent="0.25">
      <c r="E46" s="15"/>
    </row>
    <row r="47" spans="2:5" x14ac:dyDescent="0.25">
      <c r="B47" s="66">
        <v>36</v>
      </c>
      <c r="C47" s="66"/>
      <c r="D47" s="66" t="s">
        <v>109</v>
      </c>
      <c r="E47" s="174">
        <f>SUM(E48:E55)</f>
        <v>2335972.77</v>
      </c>
    </row>
    <row r="48" spans="2:5" x14ac:dyDescent="0.25">
      <c r="C48" s="7">
        <v>360</v>
      </c>
      <c r="D48" s="7" t="s">
        <v>110</v>
      </c>
      <c r="E48" s="15">
        <f>HLOOKUP($D$5,'MCH2'!$E$4:$BE$159,42,0)</f>
        <v>5823.35</v>
      </c>
    </row>
    <row r="49" spans="2:5" x14ac:dyDescent="0.25">
      <c r="C49" s="7">
        <v>361</v>
      </c>
      <c r="D49" s="7" t="s">
        <v>111</v>
      </c>
      <c r="E49" s="15">
        <f>HLOOKUP($D$5,'MCH2'!$E$4:$BE$159,43,0)</f>
        <v>1730003.38</v>
      </c>
    </row>
    <row r="50" spans="2:5" x14ac:dyDescent="0.25">
      <c r="C50" s="7">
        <v>362</v>
      </c>
      <c r="D50" s="7" t="s">
        <v>112</v>
      </c>
      <c r="E50" s="15">
        <f>HLOOKUP($D$5,'MCH2'!$E$4:$BE$159,44,0)</f>
        <v>38535</v>
      </c>
    </row>
    <row r="51" spans="2:5" x14ac:dyDescent="0.25">
      <c r="C51" s="7">
        <v>363</v>
      </c>
      <c r="D51" s="7" t="s">
        <v>113</v>
      </c>
      <c r="E51" s="15">
        <f>HLOOKUP($D$5,'MCH2'!$E$4:$BE$159,45,0)</f>
        <v>553705.75</v>
      </c>
    </row>
    <row r="52" spans="2:5" x14ac:dyDescent="0.25">
      <c r="C52" s="7">
        <v>364</v>
      </c>
      <c r="D52" s="7" t="s">
        <v>114</v>
      </c>
      <c r="E52" s="15">
        <f>HLOOKUP($D$5,'MCH2'!$E$4:$BE$159,46,0)</f>
        <v>0</v>
      </c>
    </row>
    <row r="53" spans="2:5" x14ac:dyDescent="0.25">
      <c r="C53" s="7">
        <v>365</v>
      </c>
      <c r="D53" s="7" t="s">
        <v>115</v>
      </c>
      <c r="E53" s="15">
        <f>HLOOKUP($D$5,'MCH2'!$E$4:$BE$159,47,0)</f>
        <v>0</v>
      </c>
    </row>
    <row r="54" spans="2:5" x14ac:dyDescent="0.25">
      <c r="C54" s="7">
        <v>366</v>
      </c>
      <c r="D54" s="7" t="s">
        <v>116</v>
      </c>
      <c r="E54" s="15">
        <f>HLOOKUP($D$5,'MCH2'!$E$4:$BE$159,48,0)</f>
        <v>7905.29</v>
      </c>
    </row>
    <row r="55" spans="2:5" x14ac:dyDescent="0.25">
      <c r="C55" s="7">
        <v>369</v>
      </c>
      <c r="D55" s="7" t="s">
        <v>117</v>
      </c>
      <c r="E55" s="15">
        <f>HLOOKUP($D$5,'MCH2'!$E$4:$BE$159,49,0)</f>
        <v>0</v>
      </c>
    </row>
    <row r="56" spans="2:5" x14ac:dyDescent="0.25">
      <c r="E56" s="15"/>
    </row>
    <row r="57" spans="2:5" x14ac:dyDescent="0.25">
      <c r="B57" s="66">
        <v>37</v>
      </c>
      <c r="C57" s="66"/>
      <c r="D57" s="66" t="s">
        <v>118</v>
      </c>
      <c r="E57" s="174">
        <f>SUM(E58)</f>
        <v>0</v>
      </c>
    </row>
    <row r="58" spans="2:5" x14ac:dyDescent="0.25">
      <c r="C58" s="7">
        <v>370</v>
      </c>
      <c r="D58" s="7" t="s">
        <v>119</v>
      </c>
      <c r="E58" s="15">
        <f>HLOOKUP($D$5,'MCH2'!$E$4:$BE$159,52,0)</f>
        <v>0</v>
      </c>
    </row>
    <row r="59" spans="2:5" x14ac:dyDescent="0.25">
      <c r="E59" s="15"/>
    </row>
    <row r="60" spans="2:5" x14ac:dyDescent="0.25">
      <c r="B60" s="66">
        <v>38</v>
      </c>
      <c r="C60" s="66"/>
      <c r="D60" s="66" t="s">
        <v>120</v>
      </c>
      <c r="E60" s="174">
        <f>SUM(E61:E66)</f>
        <v>0</v>
      </c>
    </row>
    <row r="61" spans="2:5" x14ac:dyDescent="0.25">
      <c r="C61" s="7">
        <v>380</v>
      </c>
      <c r="D61" s="7" t="s">
        <v>121</v>
      </c>
      <c r="E61" s="15">
        <f>HLOOKUP($D$5,'MCH2'!$E$4:$BE$159,55,0)</f>
        <v>0</v>
      </c>
    </row>
    <row r="62" spans="2:5" x14ac:dyDescent="0.25">
      <c r="C62" s="7">
        <v>381</v>
      </c>
      <c r="D62" s="7" t="s">
        <v>122</v>
      </c>
      <c r="E62" s="15">
        <f>HLOOKUP($D$5,'MCH2'!$E$4:$BE$159,56,0)</f>
        <v>0</v>
      </c>
    </row>
    <row r="63" spans="2:5" x14ac:dyDescent="0.25">
      <c r="C63" s="7">
        <v>384</v>
      </c>
      <c r="D63" s="7" t="s">
        <v>123</v>
      </c>
      <c r="E63" s="15">
        <f>HLOOKUP($D$5,'MCH2'!$E$4:$BE$159,57,0)</f>
        <v>0</v>
      </c>
    </row>
    <row r="64" spans="2:5" x14ac:dyDescent="0.25">
      <c r="C64" s="7">
        <v>385</v>
      </c>
      <c r="D64" s="7" t="s">
        <v>124</v>
      </c>
      <c r="E64" s="15">
        <f>HLOOKUP($D$5,'MCH2'!$E$4:$BE$159,58,0)</f>
        <v>0</v>
      </c>
    </row>
    <row r="65" spans="1:5" x14ac:dyDescent="0.25">
      <c r="C65" s="7">
        <v>386</v>
      </c>
      <c r="D65" s="7" t="s">
        <v>125</v>
      </c>
      <c r="E65" s="15">
        <f>HLOOKUP($D$5,'MCH2'!$E$4:$BE$159,59,0)</f>
        <v>0</v>
      </c>
    </row>
    <row r="66" spans="1:5" x14ac:dyDescent="0.25">
      <c r="C66" s="7">
        <v>389</v>
      </c>
      <c r="D66" s="7" t="s">
        <v>289</v>
      </c>
      <c r="E66" s="15">
        <f>HLOOKUP($D$5,'MCH2'!$E$4:$BE$159,60,0)</f>
        <v>0</v>
      </c>
    </row>
    <row r="67" spans="1:5" x14ac:dyDescent="0.25">
      <c r="E67" s="15"/>
    </row>
    <row r="68" spans="1:5" x14ac:dyDescent="0.25">
      <c r="B68" s="66">
        <v>39</v>
      </c>
      <c r="C68" s="66"/>
      <c r="D68" s="66" t="s">
        <v>127</v>
      </c>
      <c r="E68" s="174">
        <f>SUM(E69:E76)</f>
        <v>0</v>
      </c>
    </row>
    <row r="69" spans="1:5" x14ac:dyDescent="0.25">
      <c r="C69" s="7">
        <v>390</v>
      </c>
      <c r="D69" s="7" t="s">
        <v>128</v>
      </c>
      <c r="E69" s="15">
        <f>HLOOKUP($D$5,'MCH2'!$E$4:$BE$159,63,0)</f>
        <v>0</v>
      </c>
    </row>
    <row r="70" spans="1:5" x14ac:dyDescent="0.25">
      <c r="C70" s="7">
        <v>391</v>
      </c>
      <c r="D70" s="7" t="s">
        <v>129</v>
      </c>
      <c r="E70" s="15">
        <f>HLOOKUP($D$5,'MCH2'!$E$4:$BE$159,64,0)</f>
        <v>0</v>
      </c>
    </row>
    <row r="71" spans="1:5" x14ac:dyDescent="0.25">
      <c r="C71" s="7">
        <v>392</v>
      </c>
      <c r="D71" s="7" t="s">
        <v>130</v>
      </c>
      <c r="E71" s="15">
        <f>HLOOKUP($D$5,'MCH2'!$E$4:$BE$159,65,0)</f>
        <v>0</v>
      </c>
    </row>
    <row r="72" spans="1:5" x14ac:dyDescent="0.25">
      <c r="C72" s="7">
        <v>393</v>
      </c>
      <c r="D72" s="7" t="s">
        <v>131</v>
      </c>
      <c r="E72" s="15">
        <f>HLOOKUP($D$5,'MCH2'!$E$4:$BE$159,66,0)</f>
        <v>0</v>
      </c>
    </row>
    <row r="73" spans="1:5" x14ac:dyDescent="0.25">
      <c r="C73" s="7">
        <v>394</v>
      </c>
      <c r="D73" s="7" t="s">
        <v>132</v>
      </c>
      <c r="E73" s="15">
        <f>HLOOKUP($D$5,'MCH2'!$E$4:$BE$159,67,0)</f>
        <v>0</v>
      </c>
    </row>
    <row r="74" spans="1:5" x14ac:dyDescent="0.25">
      <c r="C74" s="7">
        <v>395</v>
      </c>
      <c r="D74" s="7" t="s">
        <v>133</v>
      </c>
      <c r="E74" s="15">
        <f>HLOOKUP($D$5,'MCH2'!$E$4:$BE$159,68,0)</f>
        <v>0</v>
      </c>
    </row>
    <row r="75" spans="1:5" x14ac:dyDescent="0.25">
      <c r="C75" s="7">
        <v>398</v>
      </c>
      <c r="D75" s="7" t="s">
        <v>134</v>
      </c>
      <c r="E75" s="15">
        <f>HLOOKUP($D$5,'MCH2'!$E$4:$BE$159,69,0)</f>
        <v>0</v>
      </c>
    </row>
    <row r="76" spans="1:5" x14ac:dyDescent="0.25">
      <c r="C76" s="7">
        <v>399</v>
      </c>
      <c r="D76" s="7" t="s">
        <v>135</v>
      </c>
      <c r="E76" s="15">
        <f>HLOOKUP($D$5,'MCH2'!$E$4:$BE$159,70,0)</f>
        <v>0</v>
      </c>
    </row>
    <row r="77" spans="1:5" x14ac:dyDescent="0.25">
      <c r="E77" s="15"/>
    </row>
    <row r="78" spans="1:5" x14ac:dyDescent="0.25">
      <c r="E78" s="15"/>
    </row>
    <row r="79" spans="1:5" ht="21" x14ac:dyDescent="0.4">
      <c r="A79" s="13">
        <v>4</v>
      </c>
      <c r="B79" s="13"/>
      <c r="C79" s="13"/>
      <c r="D79" s="13" t="s">
        <v>136</v>
      </c>
      <c r="E79" s="178">
        <f>HLOOKUP($D$5,'MCH2'!$E$4:$BE$159,73,0)</f>
        <v>3851613.9499999997</v>
      </c>
    </row>
    <row r="80" spans="1:5" x14ac:dyDescent="0.25">
      <c r="A80" s="6"/>
      <c r="B80" s="68">
        <v>40</v>
      </c>
      <c r="C80" s="68"/>
      <c r="D80" s="68" t="s">
        <v>79</v>
      </c>
      <c r="E80" s="179">
        <f>SUM(E81:E84)</f>
        <v>2612688.9700000002</v>
      </c>
    </row>
    <row r="81" spans="2:5" x14ac:dyDescent="0.25">
      <c r="C81" s="7">
        <v>400</v>
      </c>
      <c r="D81" s="7" t="s">
        <v>137</v>
      </c>
      <c r="E81" s="15">
        <f>HLOOKUP($D$5,'MCH2'!$E$4:$BE$159,75,0)</f>
        <v>2262700.1</v>
      </c>
    </row>
    <row r="82" spans="2:5" x14ac:dyDescent="0.25">
      <c r="C82" s="7">
        <v>401</v>
      </c>
      <c r="D82" s="7" t="s">
        <v>138</v>
      </c>
      <c r="E82" s="15">
        <f>HLOOKUP($D$5,'MCH2'!$E$4:$BE$159,76,0)</f>
        <v>104082.17</v>
      </c>
    </row>
    <row r="83" spans="2:5" x14ac:dyDescent="0.25">
      <c r="C83" s="7">
        <v>402</v>
      </c>
      <c r="D83" s="7" t="s">
        <v>139</v>
      </c>
      <c r="E83" s="15">
        <f>HLOOKUP($D$5,'MCH2'!$E$4:$BE$159,77,0)</f>
        <v>232616.5</v>
      </c>
    </row>
    <row r="84" spans="2:5" x14ac:dyDescent="0.25">
      <c r="C84" s="7">
        <v>403</v>
      </c>
      <c r="D84" s="7" t="s">
        <v>140</v>
      </c>
      <c r="E84" s="15">
        <f>HLOOKUP($D$5,'MCH2'!$E$4:$BE$159,78,0)</f>
        <v>13290.2</v>
      </c>
    </row>
    <row r="85" spans="2:5" x14ac:dyDescent="0.25">
      <c r="E85" s="15"/>
    </row>
    <row r="86" spans="2:5" x14ac:dyDescent="0.25">
      <c r="B86" s="68">
        <v>41</v>
      </c>
      <c r="C86" s="68"/>
      <c r="D86" s="68" t="s">
        <v>141</v>
      </c>
      <c r="E86" s="179">
        <f>SUM(E87:E90)</f>
        <v>0</v>
      </c>
    </row>
    <row r="87" spans="2:5" x14ac:dyDescent="0.25">
      <c r="C87" s="7">
        <v>410</v>
      </c>
      <c r="D87" s="7" t="s">
        <v>142</v>
      </c>
      <c r="E87" s="15">
        <f>HLOOKUP($D$5,'MCH2'!$E$4:$BE$159,81,0)</f>
        <v>0</v>
      </c>
    </row>
    <row r="88" spans="2:5" x14ac:dyDescent="0.25">
      <c r="C88" s="7">
        <v>411</v>
      </c>
      <c r="D88" s="7" t="s">
        <v>143</v>
      </c>
      <c r="E88" s="15">
        <f>HLOOKUP($D$5,'MCH2'!$E$4:$BE$159,82,0)</f>
        <v>0</v>
      </c>
    </row>
    <row r="89" spans="2:5" x14ac:dyDescent="0.25">
      <c r="C89" s="7">
        <v>412</v>
      </c>
      <c r="D89" s="7" t="s">
        <v>144</v>
      </c>
      <c r="E89" s="15">
        <f>HLOOKUP($D$5,'MCH2'!$E$4:$BE$159,83,0)</f>
        <v>0</v>
      </c>
    </row>
    <row r="90" spans="2:5" x14ac:dyDescent="0.25">
      <c r="C90" s="7">
        <v>413</v>
      </c>
      <c r="D90" s="7" t="s">
        <v>145</v>
      </c>
      <c r="E90" s="15">
        <f>HLOOKUP($D$5,'MCH2'!$E$4:$BE$159,84,0)</f>
        <v>0</v>
      </c>
    </row>
    <row r="91" spans="2:5" x14ac:dyDescent="0.25">
      <c r="E91" s="15"/>
    </row>
    <row r="92" spans="2:5" x14ac:dyDescent="0.25">
      <c r="B92" s="68">
        <v>42</v>
      </c>
      <c r="C92" s="68"/>
      <c r="D92" s="68" t="s">
        <v>146</v>
      </c>
      <c r="E92" s="179">
        <f>SUM(E93:E101)</f>
        <v>758551.29999999993</v>
      </c>
    </row>
    <row r="93" spans="2:5" x14ac:dyDescent="0.25">
      <c r="C93" s="7">
        <v>420</v>
      </c>
      <c r="D93" s="7" t="s">
        <v>147</v>
      </c>
      <c r="E93" s="15">
        <f>HLOOKUP($D$5,'MCH2'!$E$4:$BE$159,87,0)</f>
        <v>36366.400000000001</v>
      </c>
    </row>
    <row r="94" spans="2:5" x14ac:dyDescent="0.25">
      <c r="C94" s="7">
        <v>421</v>
      </c>
      <c r="D94" s="7" t="s">
        <v>148</v>
      </c>
      <c r="E94" s="15">
        <f>HLOOKUP($D$5,'MCH2'!$E$4:$BE$159,88,0)</f>
        <v>14767.55</v>
      </c>
    </row>
    <row r="95" spans="2:5" x14ac:dyDescent="0.25">
      <c r="C95" s="7">
        <v>422</v>
      </c>
      <c r="D95" s="7" t="s">
        <v>149</v>
      </c>
      <c r="E95" s="15">
        <f>HLOOKUP($D$5,'MCH2'!$E$4:$BE$159,89,0)</f>
        <v>0</v>
      </c>
    </row>
    <row r="96" spans="2:5" x14ac:dyDescent="0.25">
      <c r="C96" s="7">
        <v>423</v>
      </c>
      <c r="D96" s="7" t="s">
        <v>150</v>
      </c>
      <c r="E96" s="15">
        <f>HLOOKUP($D$5,'MCH2'!$E$4:$BE$159,90,0)</f>
        <v>2720</v>
      </c>
    </row>
    <row r="97" spans="2:5" x14ac:dyDescent="0.25">
      <c r="C97" s="7">
        <v>424</v>
      </c>
      <c r="D97" s="7" t="s">
        <v>151</v>
      </c>
      <c r="E97" s="15">
        <f>HLOOKUP($D$5,'MCH2'!$E$4:$BE$159,91,0)</f>
        <v>615870.44999999995</v>
      </c>
    </row>
    <row r="98" spans="2:5" x14ac:dyDescent="0.25">
      <c r="C98" s="7">
        <v>425</v>
      </c>
      <c r="D98" s="7" t="s">
        <v>152</v>
      </c>
      <c r="E98" s="15">
        <f>HLOOKUP($D$5,'MCH2'!$E$4:$BE$159,92,0)</f>
        <v>12011.4</v>
      </c>
    </row>
    <row r="99" spans="2:5" x14ac:dyDescent="0.25">
      <c r="C99" s="7">
        <v>426</v>
      </c>
      <c r="D99" s="7" t="s">
        <v>153</v>
      </c>
      <c r="E99" s="15">
        <f>HLOOKUP($D$5,'MCH2'!$E$4:$BE$159,93,0)</f>
        <v>76515.5</v>
      </c>
    </row>
    <row r="100" spans="2:5" x14ac:dyDescent="0.25">
      <c r="C100" s="7">
        <v>427</v>
      </c>
      <c r="D100" s="7" t="s">
        <v>154</v>
      </c>
      <c r="E100" s="15">
        <f>HLOOKUP($D$5,'MCH2'!$E$4:$BE$159,94,0)</f>
        <v>300</v>
      </c>
    </row>
    <row r="101" spans="2:5" x14ac:dyDescent="0.25">
      <c r="C101" s="7">
        <v>429</v>
      </c>
      <c r="D101" s="7" t="s">
        <v>155</v>
      </c>
      <c r="E101" s="15">
        <f>HLOOKUP($D$5,'MCH2'!$E$4:$BE$159,95,0)</f>
        <v>0</v>
      </c>
    </row>
    <row r="102" spans="2:5" x14ac:dyDescent="0.25">
      <c r="E102" s="15"/>
    </row>
    <row r="103" spans="2:5" x14ac:dyDescent="0.25">
      <c r="B103" s="68">
        <v>43</v>
      </c>
      <c r="C103" s="68"/>
      <c r="D103" s="68" t="s">
        <v>156</v>
      </c>
      <c r="E103" s="179">
        <f>SUM(E104:E107)</f>
        <v>0</v>
      </c>
    </row>
    <row r="104" spans="2:5" x14ac:dyDescent="0.25">
      <c r="C104" s="7">
        <v>430</v>
      </c>
      <c r="D104" s="7" t="s">
        <v>157</v>
      </c>
      <c r="E104" s="15">
        <f>HLOOKUP($D$5,'MCH2'!$E$4:$BE$159,98,0)</f>
        <v>0</v>
      </c>
    </row>
    <row r="105" spans="2:5" x14ac:dyDescent="0.25">
      <c r="C105" s="7">
        <v>431</v>
      </c>
      <c r="D105" s="7" t="s">
        <v>158</v>
      </c>
      <c r="E105" s="15">
        <f>HLOOKUP($D$5,'MCH2'!$E$4:$BE$159,99,0)</f>
        <v>0</v>
      </c>
    </row>
    <row r="106" spans="2:5" x14ac:dyDescent="0.25">
      <c r="C106" s="7">
        <v>432</v>
      </c>
      <c r="D106" s="7" t="s">
        <v>159</v>
      </c>
      <c r="E106" s="15">
        <f>HLOOKUP($D$5,'MCH2'!$E$4:$BE$159,100,0)</f>
        <v>0</v>
      </c>
    </row>
    <row r="107" spans="2:5" x14ac:dyDescent="0.25">
      <c r="C107" s="7">
        <v>439</v>
      </c>
      <c r="D107" s="7" t="s">
        <v>160</v>
      </c>
      <c r="E107" s="15">
        <f>HLOOKUP($D$5,'MCH2'!$E$4:$BE$159,101,0)</f>
        <v>0</v>
      </c>
    </row>
    <row r="108" spans="2:5" x14ac:dyDescent="0.25">
      <c r="E108" s="15"/>
    </row>
    <row r="109" spans="2:5" x14ac:dyDescent="0.25">
      <c r="B109" s="68">
        <v>44</v>
      </c>
      <c r="C109" s="68"/>
      <c r="D109" s="68" t="s">
        <v>161</v>
      </c>
      <c r="E109" s="179">
        <f>SUM(E110:E119)</f>
        <v>58184.759999999995</v>
      </c>
    </row>
    <row r="110" spans="2:5" x14ac:dyDescent="0.25">
      <c r="C110" s="7">
        <v>440</v>
      </c>
      <c r="D110" s="7" t="s">
        <v>162</v>
      </c>
      <c r="E110" s="15">
        <f>HLOOKUP($D$5,'MCH2'!$E$4:$BE$159,104,0)</f>
        <v>20774.759999999998</v>
      </c>
    </row>
    <row r="111" spans="2:5" x14ac:dyDescent="0.25">
      <c r="C111" s="7">
        <v>441</v>
      </c>
      <c r="D111" s="7" t="s">
        <v>163</v>
      </c>
      <c r="E111" s="15">
        <f>HLOOKUP($D$5,'MCH2'!$E$4:$BE$159,105,0)</f>
        <v>10419.9</v>
      </c>
    </row>
    <row r="112" spans="2:5" x14ac:dyDescent="0.25">
      <c r="C112" s="7">
        <v>442</v>
      </c>
      <c r="D112" s="7" t="s">
        <v>164</v>
      </c>
      <c r="E112" s="15">
        <f>HLOOKUP($D$5,'MCH2'!$E$4:$BE$159,106,0)</f>
        <v>177</v>
      </c>
    </row>
    <row r="113" spans="2:5" x14ac:dyDescent="0.25">
      <c r="C113" s="7">
        <v>443</v>
      </c>
      <c r="D113" s="7" t="s">
        <v>165</v>
      </c>
      <c r="E113" s="15">
        <f>HLOOKUP($D$5,'MCH2'!$E$4:$BE$159,107,0)</f>
        <v>23831.5</v>
      </c>
    </row>
    <row r="114" spans="2:5" x14ac:dyDescent="0.25">
      <c r="C114" s="7">
        <v>444</v>
      </c>
      <c r="D114" s="7" t="s">
        <v>105</v>
      </c>
      <c r="E114" s="15">
        <f>HLOOKUP($D$5,'MCH2'!$E$4:$BE$159,108,0)</f>
        <v>0</v>
      </c>
    </row>
    <row r="115" spans="2:5" x14ac:dyDescent="0.25">
      <c r="C115" s="7">
        <v>445</v>
      </c>
      <c r="D115" s="7" t="s">
        <v>166</v>
      </c>
      <c r="E115" s="15">
        <f>HLOOKUP($D$5,'MCH2'!$E$4:$BE$159,109,0)</f>
        <v>0</v>
      </c>
    </row>
    <row r="116" spans="2:5" x14ac:dyDescent="0.25">
      <c r="C116" s="7">
        <v>446</v>
      </c>
      <c r="D116" s="7" t="s">
        <v>167</v>
      </c>
      <c r="E116" s="15">
        <f>HLOOKUP($D$5,'MCH2'!$E$4:$BE$159,110,0)</f>
        <v>0</v>
      </c>
    </row>
    <row r="117" spans="2:5" x14ac:dyDescent="0.25">
      <c r="C117" s="7">
        <v>447</v>
      </c>
      <c r="D117" s="7" t="s">
        <v>168</v>
      </c>
      <c r="E117" s="15">
        <f>HLOOKUP($D$5,'MCH2'!$E$4:$BE$159,111,0)</f>
        <v>2981.6</v>
      </c>
    </row>
    <row r="118" spans="2:5" x14ac:dyDescent="0.25">
      <c r="C118" s="7">
        <v>448</v>
      </c>
      <c r="D118" s="7" t="s">
        <v>169</v>
      </c>
      <c r="E118" s="15">
        <f>HLOOKUP($D$5,'MCH2'!$E$4:$BE$159,112,0)</f>
        <v>0</v>
      </c>
    </row>
    <row r="119" spans="2:5" x14ac:dyDescent="0.25">
      <c r="C119" s="7">
        <v>449</v>
      </c>
      <c r="D119" s="7" t="s">
        <v>170</v>
      </c>
      <c r="E119" s="15">
        <f>HLOOKUP($D$5,'MCH2'!$E$4:$BE$159,113,0)</f>
        <v>0</v>
      </c>
    </row>
    <row r="120" spans="2:5" x14ac:dyDescent="0.25">
      <c r="E120" s="15"/>
    </row>
    <row r="121" spans="2:5" x14ac:dyDescent="0.25">
      <c r="B121" s="68">
        <v>45</v>
      </c>
      <c r="C121" s="68"/>
      <c r="D121" s="68" t="s">
        <v>173</v>
      </c>
      <c r="E121" s="179">
        <f>SUM(E122:E123)</f>
        <v>2234.6</v>
      </c>
    </row>
    <row r="122" spans="2:5" x14ac:dyDescent="0.25">
      <c r="C122" s="7">
        <v>450</v>
      </c>
      <c r="D122" s="7" t="s">
        <v>171</v>
      </c>
      <c r="E122" s="15">
        <f>HLOOKUP($D$5,'MCH2'!$E$4:$BE$159,116,0)</f>
        <v>2234.6</v>
      </c>
    </row>
    <row r="123" spans="2:5" x14ac:dyDescent="0.25">
      <c r="C123" s="7">
        <v>451</v>
      </c>
      <c r="D123" s="7" t="s">
        <v>172</v>
      </c>
      <c r="E123" s="15">
        <f>HLOOKUP($D$5,'MCH2'!$E$4:$BE$159,117,0)</f>
        <v>0</v>
      </c>
    </row>
    <row r="124" spans="2:5" x14ac:dyDescent="0.25">
      <c r="E124" s="15"/>
    </row>
    <row r="125" spans="2:5" x14ac:dyDescent="0.25">
      <c r="B125" s="68">
        <v>46</v>
      </c>
      <c r="C125" s="68"/>
      <c r="D125" s="68" t="s">
        <v>174</v>
      </c>
      <c r="E125" s="179">
        <f>SUM(E126:E130)</f>
        <v>412481.65</v>
      </c>
    </row>
    <row r="126" spans="2:5" x14ac:dyDescent="0.25">
      <c r="C126" s="7">
        <v>460</v>
      </c>
      <c r="D126" s="7" t="s">
        <v>175</v>
      </c>
      <c r="E126" s="15">
        <f>HLOOKUP($D$5,'MCH2'!$E$4:$BE$159,120,0)</f>
        <v>8663</v>
      </c>
    </row>
    <row r="127" spans="2:5" x14ac:dyDescent="0.25">
      <c r="C127" s="7">
        <v>461</v>
      </c>
      <c r="D127" s="7" t="s">
        <v>176</v>
      </c>
      <c r="E127" s="15">
        <f>HLOOKUP($D$5,'MCH2'!$E$4:$BE$159,121,0)</f>
        <v>340584.05</v>
      </c>
    </row>
    <row r="128" spans="2:5" x14ac:dyDescent="0.25">
      <c r="C128" s="7">
        <v>462</v>
      </c>
      <c r="D128" s="7" t="s">
        <v>112</v>
      </c>
      <c r="E128" s="15">
        <f>HLOOKUP($D$5,'MCH2'!$E$4:$BE$159,122,0)</f>
        <v>0</v>
      </c>
    </row>
    <row r="129" spans="2:5" x14ac:dyDescent="0.25">
      <c r="C129" s="7">
        <v>463</v>
      </c>
      <c r="D129" s="7" t="s">
        <v>177</v>
      </c>
      <c r="E129" s="15">
        <f>HLOOKUP($D$5,'MCH2'!$E$4:$BE$159,123,0)</f>
        <v>62908.7</v>
      </c>
    </row>
    <row r="130" spans="2:5" x14ac:dyDescent="0.25">
      <c r="C130" s="7">
        <v>469</v>
      </c>
      <c r="D130" s="7" t="s">
        <v>178</v>
      </c>
      <c r="E130" s="15">
        <f>HLOOKUP($D$5,'MCH2'!$E$4:$BE$159,124,0)</f>
        <v>325.89999999999998</v>
      </c>
    </row>
    <row r="131" spans="2:5" x14ac:dyDescent="0.25">
      <c r="E131" s="15"/>
    </row>
    <row r="132" spans="2:5" x14ac:dyDescent="0.25">
      <c r="B132" s="68">
        <v>47</v>
      </c>
      <c r="C132" s="68"/>
      <c r="D132" s="68" t="s">
        <v>118</v>
      </c>
      <c r="E132" s="179">
        <f>SUM(E133)</f>
        <v>0</v>
      </c>
    </row>
    <row r="133" spans="2:5" x14ac:dyDescent="0.25">
      <c r="C133" s="7">
        <v>470</v>
      </c>
      <c r="D133" s="7" t="s">
        <v>179</v>
      </c>
      <c r="E133" s="15">
        <f>HLOOKUP($D$5,'MCH2'!$E$4:$BE$159,127,0)</f>
        <v>0</v>
      </c>
    </row>
    <row r="134" spans="2:5" x14ac:dyDescent="0.25">
      <c r="E134" s="15"/>
    </row>
    <row r="135" spans="2:5" x14ac:dyDescent="0.25">
      <c r="B135" s="68">
        <v>48</v>
      </c>
      <c r="C135" s="68"/>
      <c r="D135" s="68" t="s">
        <v>180</v>
      </c>
      <c r="E135" s="179">
        <f>SUM(E136:E142)</f>
        <v>7472.67</v>
      </c>
    </row>
    <row r="136" spans="2:5" x14ac:dyDescent="0.25">
      <c r="C136" s="7">
        <v>481</v>
      </c>
      <c r="D136" s="7" t="s">
        <v>181</v>
      </c>
      <c r="E136" s="15">
        <f>HLOOKUP($D$5,'MCH2'!$E$4:$BE$159,130,0)</f>
        <v>0</v>
      </c>
    </row>
    <row r="137" spans="2:5" x14ac:dyDescent="0.25">
      <c r="C137" s="7">
        <v>482</v>
      </c>
      <c r="D137" s="7" t="s">
        <v>182</v>
      </c>
      <c r="E137" s="15">
        <f>HLOOKUP($D$5,'MCH2'!$E$4:$BE$159,131,0)</f>
        <v>0</v>
      </c>
    </row>
    <row r="138" spans="2:5" x14ac:dyDescent="0.25">
      <c r="C138" s="7">
        <v>483</v>
      </c>
      <c r="D138" s="7" t="s">
        <v>183</v>
      </c>
      <c r="E138" s="15">
        <f>HLOOKUP($D$5,'MCH2'!$E$4:$BE$159,132,0)</f>
        <v>0</v>
      </c>
    </row>
    <row r="139" spans="2:5" x14ac:dyDescent="0.25">
      <c r="C139" s="7">
        <v>484</v>
      </c>
      <c r="D139" s="7" t="s">
        <v>184</v>
      </c>
      <c r="E139" s="15">
        <f>HLOOKUP($D$5,'MCH2'!$E$4:$BE$159,133,0)</f>
        <v>0</v>
      </c>
    </row>
    <row r="140" spans="2:5" x14ac:dyDescent="0.25">
      <c r="C140" s="7">
        <v>485</v>
      </c>
      <c r="D140" s="7" t="s">
        <v>185</v>
      </c>
      <c r="E140" s="15">
        <f>HLOOKUP($D$5,'MCH2'!$E$4:$BE$159,134,0)</f>
        <v>0</v>
      </c>
    </row>
    <row r="141" spans="2:5" x14ac:dyDescent="0.25">
      <c r="C141" s="7">
        <v>486</v>
      </c>
      <c r="D141" s="7" t="s">
        <v>186</v>
      </c>
      <c r="E141" s="15">
        <f>HLOOKUP($D$5,'MCH2'!$E$4:$BE$159,135,0)</f>
        <v>0</v>
      </c>
    </row>
    <row r="142" spans="2:5" x14ac:dyDescent="0.25">
      <c r="C142" s="7">
        <v>489</v>
      </c>
      <c r="D142" s="7" t="s">
        <v>187</v>
      </c>
      <c r="E142" s="15">
        <f>HLOOKUP($D$5,'MCH2'!$E$4:$BE$159,136,0)</f>
        <v>7472.67</v>
      </c>
    </row>
    <row r="143" spans="2:5" x14ac:dyDescent="0.25">
      <c r="E143" s="15"/>
    </row>
    <row r="144" spans="2:5" x14ac:dyDescent="0.25">
      <c r="B144" s="68">
        <v>49</v>
      </c>
      <c r="C144" s="68"/>
      <c r="D144" s="68" t="s">
        <v>127</v>
      </c>
      <c r="E144" s="179">
        <f>SUM(E145:E152)</f>
        <v>0</v>
      </c>
    </row>
    <row r="145" spans="1:5" x14ac:dyDescent="0.25">
      <c r="C145" s="7">
        <v>490</v>
      </c>
      <c r="D145" s="7" t="s">
        <v>128</v>
      </c>
      <c r="E145" s="15">
        <f>HLOOKUP($D$5,'MCH2'!$E$4:$BE$159,139,0)</f>
        <v>0</v>
      </c>
    </row>
    <row r="146" spans="1:5" x14ac:dyDescent="0.25">
      <c r="C146" s="7">
        <v>491</v>
      </c>
      <c r="D146" s="7" t="s">
        <v>129</v>
      </c>
      <c r="E146" s="15">
        <f>HLOOKUP($D$5,'MCH2'!$E$4:$BE$159,140,0)</f>
        <v>0</v>
      </c>
    </row>
    <row r="147" spans="1:5" x14ac:dyDescent="0.25">
      <c r="C147" s="7">
        <v>492</v>
      </c>
      <c r="D147" s="7" t="s">
        <v>188</v>
      </c>
      <c r="E147" s="15">
        <f>HLOOKUP($D$5,'MCH2'!$E$4:$BE$159,141,0)</f>
        <v>0</v>
      </c>
    </row>
    <row r="148" spans="1:5" x14ac:dyDescent="0.25">
      <c r="C148" s="7">
        <v>493</v>
      </c>
      <c r="D148" s="7" t="s">
        <v>189</v>
      </c>
      <c r="E148" s="15">
        <f>HLOOKUP($D$5,'MCH2'!$E$4:$BE$159,142,0)</f>
        <v>0</v>
      </c>
    </row>
    <row r="149" spans="1:5" x14ac:dyDescent="0.25">
      <c r="C149" s="7">
        <v>494</v>
      </c>
      <c r="D149" s="7" t="s">
        <v>132</v>
      </c>
      <c r="E149" s="15">
        <f>HLOOKUP($D$5,'MCH2'!$E$4:$BE$159,143,0)</f>
        <v>0</v>
      </c>
    </row>
    <row r="150" spans="1:5" x14ac:dyDescent="0.25">
      <c r="C150" s="7">
        <v>495</v>
      </c>
      <c r="D150" s="7" t="s">
        <v>190</v>
      </c>
      <c r="E150" s="15">
        <f>HLOOKUP($D$5,'MCH2'!$E$4:$BE$159,144,0)</f>
        <v>0</v>
      </c>
    </row>
    <row r="151" spans="1:5" x14ac:dyDescent="0.25">
      <c r="C151" s="7">
        <v>498</v>
      </c>
      <c r="D151" s="7" t="s">
        <v>191</v>
      </c>
      <c r="E151" s="15">
        <f>HLOOKUP($D$5,'MCH2'!$E$4:$BE$159,145,0)</f>
        <v>0</v>
      </c>
    </row>
    <row r="152" spans="1:5" x14ac:dyDescent="0.25">
      <c r="C152" s="7">
        <v>499</v>
      </c>
      <c r="D152" s="7" t="s">
        <v>135</v>
      </c>
      <c r="E152" s="15">
        <f>HLOOKUP($D$5,'MCH2'!$E$4:$BE$159,146,0)</f>
        <v>0</v>
      </c>
    </row>
    <row r="153" spans="1:5" x14ac:dyDescent="0.25">
      <c r="E153" s="15"/>
    </row>
    <row r="154" spans="1:5" x14ac:dyDescent="0.25">
      <c r="E154" s="15"/>
    </row>
    <row r="155" spans="1:5" x14ac:dyDescent="0.25">
      <c r="E155" s="15"/>
    </row>
    <row r="156" spans="1:5" x14ac:dyDescent="0.25">
      <c r="A156" s="70">
        <v>9</v>
      </c>
      <c r="B156" s="70"/>
      <c r="C156" s="70"/>
      <c r="D156" s="70" t="s">
        <v>193</v>
      </c>
      <c r="E156" s="180"/>
    </row>
    <row r="157" spans="1:5" x14ac:dyDescent="0.25">
      <c r="A157" s="70"/>
      <c r="B157" s="70">
        <v>90</v>
      </c>
      <c r="C157" s="70"/>
      <c r="D157" s="70" t="s">
        <v>194</v>
      </c>
      <c r="E157" s="130">
        <f>SUM(E158:E159)</f>
        <v>116182.76000000001</v>
      </c>
    </row>
    <row r="158" spans="1:5" x14ac:dyDescent="0.25">
      <c r="C158" s="7">
        <v>900</v>
      </c>
      <c r="D158" s="7" t="s">
        <v>195</v>
      </c>
      <c r="E158" s="15">
        <f>HLOOKUP($D$5,'MCH2'!$E$4:$BE$159,152,0)</f>
        <v>-206117.81</v>
      </c>
    </row>
    <row r="159" spans="1:5" x14ac:dyDescent="0.25">
      <c r="C159" s="7">
        <v>901</v>
      </c>
      <c r="D159" s="7" t="s">
        <v>196</v>
      </c>
      <c r="E159" s="15">
        <f>HLOOKUP($D$5,'MCH2'!$E$4:$BE$159,153,0)</f>
        <v>322300.57</v>
      </c>
    </row>
    <row r="160" spans="1:5" x14ac:dyDescent="0.25">
      <c r="E160" s="15"/>
    </row>
    <row r="161" spans="4:5" hidden="1" x14ac:dyDescent="0.25">
      <c r="D161" s="6" t="s">
        <v>197</v>
      </c>
      <c r="E161" s="73">
        <f>HLOOKUP($D$5,'MCH2'!$E$4:$BE$159,155,0)</f>
        <v>116182.76000000001</v>
      </c>
    </row>
  </sheetData>
  <pageMargins left="0.7" right="0.7" top="0.75" bottom="0.75" header="0.3" footer="0.3"/>
  <pageSetup paperSize="9" scale="3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'MCH2'!$E$4:$BE$4</xm:f>
          </x14:formula1>
          <xm:sqref>D5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59999389629810485"/>
  </sheetPr>
  <dimension ref="A2:BI179"/>
  <sheetViews>
    <sheetView workbookViewId="0">
      <pane xSplit="4" ySplit="4" topLeftCell="G5" activePane="bottomRight" state="frozen"/>
      <selection pane="topRight" activeCell="E1" sqref="E1"/>
      <selection pane="bottomLeft" activeCell="A4" sqref="A4"/>
      <selection pane="bottomRight" activeCell="E5" sqref="E5"/>
    </sheetView>
  </sheetViews>
  <sheetFormatPr baseColWidth="10" defaultColWidth="11.44140625" defaultRowHeight="13.8" x14ac:dyDescent="0.25"/>
  <cols>
    <col min="1" max="2" width="5.6640625" style="7" customWidth="1"/>
    <col min="3" max="3" width="9" style="7" customWidth="1"/>
    <col min="4" max="4" width="66.5546875" style="7" customWidth="1"/>
    <col min="5" max="58" width="16.33203125" style="7" customWidth="1"/>
    <col min="59" max="61" width="17.88671875" style="7" customWidth="1"/>
    <col min="62" max="16384" width="11.44140625" style="7"/>
  </cols>
  <sheetData>
    <row r="2" spans="1:61" ht="21" x14ac:dyDescent="0.4">
      <c r="A2" s="79" t="s">
        <v>827</v>
      </c>
      <c r="B2" s="6"/>
      <c r="C2" s="6"/>
      <c r="D2" s="6"/>
    </row>
    <row r="3" spans="1:61" x14ac:dyDescent="0.25">
      <c r="E3" s="8">
        <f>'Base de données pop.'!C2</f>
        <v>951</v>
      </c>
      <c r="F3" s="8">
        <f>'Base de données pop.'!C3</f>
        <v>258</v>
      </c>
      <c r="G3" s="8">
        <f>'Base de données pop.'!C4</f>
        <v>471</v>
      </c>
      <c r="H3" s="8">
        <f>'Base de données pop.'!C5</f>
        <v>441</v>
      </c>
      <c r="I3" s="8">
        <f>'Base de données pop.'!C6</f>
        <v>3686</v>
      </c>
      <c r="J3" s="8">
        <f>'Base de données pop.'!C7</f>
        <v>3313</v>
      </c>
      <c r="K3" s="8">
        <f>'Base de données pop.'!C8</f>
        <v>2654</v>
      </c>
      <c r="L3" s="8">
        <f>'Base de données pop.'!C9</f>
        <v>12636</v>
      </c>
      <c r="M3" s="8">
        <f>'Base de données pop.'!C10</f>
        <v>1360</v>
      </c>
      <c r="N3" s="8">
        <f>'Base de données pop.'!C11</f>
        <v>112</v>
      </c>
      <c r="O3" s="8">
        <f>'Base de données pop.'!C12</f>
        <v>7319</v>
      </c>
      <c r="P3" s="8">
        <f>'Base de données pop.'!C13</f>
        <v>522</v>
      </c>
      <c r="Q3" s="8">
        <f>'Base de données pop.'!C14</f>
        <v>106</v>
      </c>
      <c r="R3" s="8">
        <f>'Base de données pop.'!C15</f>
        <v>425</v>
      </c>
      <c r="S3" s="8">
        <f>'Base de données pop.'!C16</f>
        <v>350</v>
      </c>
      <c r="T3" s="8">
        <f>'Base de données pop.'!C17</f>
        <v>733</v>
      </c>
      <c r="U3" s="8">
        <f>'Base de données pop.'!C18</f>
        <v>270</v>
      </c>
      <c r="V3" s="8">
        <f>'Base de données pop.'!C19</f>
        <v>417</v>
      </c>
      <c r="W3" s="8">
        <f>'Base de données pop.'!C20</f>
        <v>3285</v>
      </c>
      <c r="X3" s="8">
        <f>'Base de données pop.'!C21</f>
        <v>308</v>
      </c>
      <c r="Y3" s="8">
        <f>'Base de données pop.'!C22</f>
        <v>1258</v>
      </c>
      <c r="Z3" s="8">
        <f>'Base de données pop.'!C23</f>
        <v>1524</v>
      </c>
      <c r="AA3" s="8">
        <f>'Base de données pop.'!C24</f>
        <v>87</v>
      </c>
      <c r="AB3" s="8">
        <f>'Base de données pop.'!C25</f>
        <v>156</v>
      </c>
      <c r="AC3" s="8">
        <f>'Base de données pop.'!C26</f>
        <v>510</v>
      </c>
      <c r="AD3" s="8">
        <f>'Base de données pop.'!C27</f>
        <v>705</v>
      </c>
      <c r="AE3" s="8">
        <f>'Base de données pop.'!C28</f>
        <v>551</v>
      </c>
      <c r="AF3" s="8">
        <f>'Base de données pop.'!C29</f>
        <v>511</v>
      </c>
      <c r="AG3" s="8">
        <f>'Base de données pop.'!C30</f>
        <v>1902</v>
      </c>
      <c r="AH3" s="8">
        <f>'Base de données pop.'!C31</f>
        <v>2575</v>
      </c>
      <c r="AI3" s="8">
        <f>'Base de données pop.'!C32</f>
        <v>228</v>
      </c>
      <c r="AJ3" s="8">
        <f>'Base de données pop.'!C33</f>
        <v>118</v>
      </c>
      <c r="AK3" s="8">
        <f>'Base de données pop.'!C34</f>
        <v>1882</v>
      </c>
      <c r="AL3" s="8">
        <f>'Base de données pop.'!C35</f>
        <v>1114</v>
      </c>
      <c r="AM3" s="8">
        <f>'Base de données pop.'!C36</f>
        <v>1217</v>
      </c>
      <c r="AN3" s="8">
        <f>'Base de données pop.'!C37</f>
        <v>117</v>
      </c>
      <c r="AO3" s="8">
        <f>'Base de données pop.'!C38</f>
        <v>1205</v>
      </c>
      <c r="AP3" s="8">
        <f>'Base de données pop.'!C39</f>
        <v>625</v>
      </c>
      <c r="AQ3" s="8">
        <f>'Base de données pop.'!C40</f>
        <v>631</v>
      </c>
      <c r="AR3" s="8">
        <f>'Base de données pop.'!C41</f>
        <v>1275</v>
      </c>
      <c r="AS3" s="8">
        <f>'Base de données pop.'!C42</f>
        <v>718</v>
      </c>
      <c r="AT3" s="8">
        <f>'Base de données pop.'!C43</f>
        <v>1018</v>
      </c>
      <c r="AU3" s="8">
        <f>'Base de données pop.'!C44</f>
        <v>293</v>
      </c>
      <c r="AV3" s="8">
        <f>'Base de données pop.'!C45</f>
        <v>2435</v>
      </c>
      <c r="AW3" s="8">
        <f>'Base de données pop.'!C46</f>
        <v>786</v>
      </c>
      <c r="AX3" s="8">
        <f>'Base de données pop.'!C47</f>
        <v>184</v>
      </c>
      <c r="AY3" s="8">
        <f>'Base de données pop.'!C48</f>
        <v>333</v>
      </c>
      <c r="AZ3" s="8">
        <f>'Base de données pop.'!C49</f>
        <v>1674</v>
      </c>
      <c r="BA3" s="8">
        <f>'Base de données pop.'!C50</f>
        <v>391</v>
      </c>
      <c r="BB3" s="8">
        <f>'Base de données pop.'!C51</f>
        <v>1052</v>
      </c>
      <c r="BC3" s="8">
        <f>'Base de données pop.'!C52</f>
        <v>186</v>
      </c>
      <c r="BD3" s="8">
        <f>'Base de données pop.'!C53</f>
        <v>6441</v>
      </c>
      <c r="BE3" s="8">
        <f>'Base de données pop.'!C54</f>
        <v>546</v>
      </c>
      <c r="BF3" s="8">
        <f>SUM(E3:BE3)</f>
        <v>73865</v>
      </c>
      <c r="BG3" s="8">
        <f>SUM(E3:W3)</f>
        <v>39309</v>
      </c>
      <c r="BH3" s="8">
        <f>SUM(X3:AJ3)</f>
        <v>10433</v>
      </c>
      <c r="BI3" s="8">
        <f>SUM(AK3:BE3)</f>
        <v>24123</v>
      </c>
    </row>
    <row r="4" spans="1:61" x14ac:dyDescent="0.25">
      <c r="E4" s="81" t="s">
        <v>56</v>
      </c>
      <c r="F4" s="81" t="s">
        <v>18</v>
      </c>
      <c r="G4" s="81" t="s">
        <v>57</v>
      </c>
      <c r="H4" s="81" t="s">
        <v>53</v>
      </c>
      <c r="I4" s="81" t="s">
        <v>33</v>
      </c>
      <c r="J4" s="81" t="s">
        <v>10</v>
      </c>
      <c r="K4" s="81" t="s">
        <v>15</v>
      </c>
      <c r="L4" s="81" t="s">
        <v>28</v>
      </c>
      <c r="M4" s="81" t="s">
        <v>42</v>
      </c>
      <c r="N4" s="81" t="s">
        <v>23</v>
      </c>
      <c r="O4" s="81" t="s">
        <v>22</v>
      </c>
      <c r="P4" s="81" t="s">
        <v>13</v>
      </c>
      <c r="Q4" s="81" t="s">
        <v>17</v>
      </c>
      <c r="R4" s="81" t="s">
        <v>43</v>
      </c>
      <c r="S4" s="81" t="s">
        <v>40</v>
      </c>
      <c r="T4" s="81" t="s">
        <v>31</v>
      </c>
      <c r="U4" s="81" t="s">
        <v>12</v>
      </c>
      <c r="V4" s="81" t="s">
        <v>59</v>
      </c>
      <c r="W4" s="81" t="s">
        <v>27</v>
      </c>
      <c r="X4" s="81" t="s">
        <v>30</v>
      </c>
      <c r="Y4" s="81" t="s">
        <v>20</v>
      </c>
      <c r="Z4" s="81" t="s">
        <v>45</v>
      </c>
      <c r="AA4" s="81" t="s">
        <v>71</v>
      </c>
      <c r="AB4" s="81" t="s">
        <v>39</v>
      </c>
      <c r="AC4" s="81" t="s">
        <v>19</v>
      </c>
      <c r="AD4" s="81" t="s">
        <v>41</v>
      </c>
      <c r="AE4" s="81" t="s">
        <v>36</v>
      </c>
      <c r="AF4" s="81" t="s">
        <v>7</v>
      </c>
      <c r="AG4" s="81" t="s">
        <v>55</v>
      </c>
      <c r="AH4" s="81" t="s">
        <v>21</v>
      </c>
      <c r="AI4" s="81" t="s">
        <v>6</v>
      </c>
      <c r="AJ4" s="81" t="s">
        <v>34</v>
      </c>
      <c r="AK4" s="81" t="s">
        <v>52</v>
      </c>
      <c r="AL4" s="81" t="s">
        <v>14</v>
      </c>
      <c r="AM4" s="81" t="s">
        <v>32</v>
      </c>
      <c r="AN4" s="81" t="s">
        <v>29</v>
      </c>
      <c r="AO4" s="81" t="s">
        <v>26</v>
      </c>
      <c r="AP4" s="81" t="s">
        <v>48</v>
      </c>
      <c r="AQ4" s="81" t="s">
        <v>44</v>
      </c>
      <c r="AR4" s="81" t="s">
        <v>37</v>
      </c>
      <c r="AS4" s="81" t="s">
        <v>51</v>
      </c>
      <c r="AT4" s="81" t="s">
        <v>8</v>
      </c>
      <c r="AU4" s="81" t="s">
        <v>24</v>
      </c>
      <c r="AV4" s="81" t="s">
        <v>9</v>
      </c>
      <c r="AW4" s="81" t="s">
        <v>62</v>
      </c>
      <c r="AX4" s="81" t="s">
        <v>46</v>
      </c>
      <c r="AY4" s="81" t="s">
        <v>35</v>
      </c>
      <c r="AZ4" s="81" t="s">
        <v>49</v>
      </c>
      <c r="BA4" s="81" t="s">
        <v>47</v>
      </c>
      <c r="BB4" s="81" t="s">
        <v>58</v>
      </c>
      <c r="BC4" s="81" t="s">
        <v>50</v>
      </c>
      <c r="BD4" s="81" t="s">
        <v>16</v>
      </c>
      <c r="BE4" s="81" t="s">
        <v>25</v>
      </c>
      <c r="BF4" s="81" t="s">
        <v>65</v>
      </c>
      <c r="BG4" s="81" t="s">
        <v>28</v>
      </c>
      <c r="BH4" s="81" t="s">
        <v>64</v>
      </c>
      <c r="BI4" s="81" t="s">
        <v>16</v>
      </c>
    </row>
    <row r="5" spans="1:61" ht="21" x14ac:dyDescent="0.4">
      <c r="A5" s="10">
        <v>3</v>
      </c>
      <c r="B5" s="10"/>
      <c r="C5" s="10"/>
      <c r="D5" s="10" t="s">
        <v>60</v>
      </c>
      <c r="E5" s="11">
        <f>E6+E16+E28+E32+E40+E44+E54+E57+E65</f>
        <v>3927.8982018927445</v>
      </c>
      <c r="F5" s="11">
        <f t="shared" ref="F5:BI5" si="0">F6+F16+F28+F32+F40+F44+F54+F57+F65</f>
        <v>4863.0950387596904</v>
      </c>
      <c r="G5" s="11">
        <f t="shared" si="0"/>
        <v>3423.4886411889597</v>
      </c>
      <c r="H5" s="11">
        <f t="shared" si="0"/>
        <v>4488.7936054421771</v>
      </c>
      <c r="I5" s="11">
        <f t="shared" si="0"/>
        <v>4479.4436625067829</v>
      </c>
      <c r="J5" s="11">
        <f t="shared" si="0"/>
        <v>4263.7454120132807</v>
      </c>
      <c r="K5" s="11">
        <f t="shared" si="0"/>
        <v>4341.76827430294</v>
      </c>
      <c r="L5" s="11">
        <f t="shared" si="0"/>
        <v>8619.4625435264315</v>
      </c>
      <c r="M5" s="11">
        <f t="shared" si="0"/>
        <v>5897.1619926470585</v>
      </c>
      <c r="N5" s="11">
        <f t="shared" si="0"/>
        <v>4119.8261607142858</v>
      </c>
      <c r="O5" s="11">
        <f t="shared" si="0"/>
        <v>3789.8392184724689</v>
      </c>
      <c r="P5" s="11">
        <f t="shared" si="0"/>
        <v>3840.9242145593871</v>
      </c>
      <c r="Q5" s="11">
        <f t="shared" si="0"/>
        <v>3767.8297169811322</v>
      </c>
      <c r="R5" s="11">
        <f t="shared" si="0"/>
        <v>3903.6827294117647</v>
      </c>
      <c r="S5" s="11">
        <f t="shared" si="0"/>
        <v>4186.1579428571422</v>
      </c>
      <c r="T5" s="11">
        <f t="shared" si="0"/>
        <v>4304.4824829467943</v>
      </c>
      <c r="U5" s="11">
        <f t="shared" si="0"/>
        <v>3778.6520740740734</v>
      </c>
      <c r="V5" s="11">
        <f t="shared" si="0"/>
        <v>5618.9008872901677</v>
      </c>
      <c r="W5" s="11">
        <f t="shared" si="0"/>
        <v>3778.3698751902589</v>
      </c>
      <c r="X5" s="11">
        <f t="shared" si="0"/>
        <v>6091.5840259740262</v>
      </c>
      <c r="Y5" s="11">
        <f t="shared" si="0"/>
        <v>4874.148616852146</v>
      </c>
      <c r="Z5" s="11">
        <f t="shared" si="0"/>
        <v>8922.3305577427818</v>
      </c>
      <c r="AA5" s="11">
        <f t="shared" si="0"/>
        <v>8040.6678160919537</v>
      </c>
      <c r="AB5" s="11">
        <f t="shared" si="0"/>
        <v>6967.4351282051275</v>
      </c>
      <c r="AC5" s="11">
        <f t="shared" si="0"/>
        <v>5439.4730784313733</v>
      </c>
      <c r="AD5" s="11">
        <f t="shared" si="0"/>
        <v>5229.2348794326253</v>
      </c>
      <c r="AE5" s="11">
        <f t="shared" si="0"/>
        <v>5662.8167150635209</v>
      </c>
      <c r="AF5" s="11">
        <f t="shared" si="0"/>
        <v>7160.286692759295</v>
      </c>
      <c r="AG5" s="11">
        <f t="shared" si="0"/>
        <v>4843.5035646687702</v>
      </c>
      <c r="AH5" s="11">
        <f t="shared" si="0"/>
        <v>4646.3535145631067</v>
      </c>
      <c r="AI5" s="11">
        <f t="shared" si="0"/>
        <v>4712.9478070175446</v>
      </c>
      <c r="AJ5" s="11">
        <f t="shared" si="0"/>
        <v>8135.9625423728812</v>
      </c>
      <c r="AK5" s="11">
        <f t="shared" si="0"/>
        <v>4308.0008342189167</v>
      </c>
      <c r="AL5" s="11">
        <f t="shared" si="0"/>
        <v>4972.683716337523</v>
      </c>
      <c r="AM5" s="11">
        <f t="shared" si="0"/>
        <v>4268.2346343467543</v>
      </c>
      <c r="AN5" s="11">
        <f t="shared" si="0"/>
        <v>5241.6419658119657</v>
      </c>
      <c r="AO5" s="11">
        <f t="shared" si="0"/>
        <v>8350.7168049792544</v>
      </c>
      <c r="AP5" s="11">
        <f t="shared" si="0"/>
        <v>5955.1541439999992</v>
      </c>
      <c r="AQ5" s="11">
        <f t="shared" si="0"/>
        <v>4013.3580031695719</v>
      </c>
      <c r="AR5" s="11">
        <f t="shared" si="0"/>
        <v>5810.6728235294113</v>
      </c>
      <c r="AS5" s="11">
        <f t="shared" si="0"/>
        <v>4769.5062395543173</v>
      </c>
      <c r="AT5" s="11">
        <f t="shared" si="0"/>
        <v>4553.0118172888015</v>
      </c>
      <c r="AU5" s="11">
        <f t="shared" si="0"/>
        <v>6001.6221501706486</v>
      </c>
      <c r="AV5" s="11">
        <f t="shared" si="0"/>
        <v>4325.2472566735114</v>
      </c>
      <c r="AW5" s="11">
        <f t="shared" si="0"/>
        <v>4126.5690839694653</v>
      </c>
      <c r="AX5" s="11">
        <f t="shared" si="0"/>
        <v>4420.4971739130424</v>
      </c>
      <c r="AY5" s="11">
        <f t="shared" si="0"/>
        <v>4199.7989489489482</v>
      </c>
      <c r="AZ5" s="11">
        <f t="shared" si="0"/>
        <v>4164.3462126642771</v>
      </c>
      <c r="BA5" s="11">
        <f t="shared" si="0"/>
        <v>3797.0064705882351</v>
      </c>
      <c r="BB5" s="11">
        <f t="shared" si="0"/>
        <v>5571.2479942965774</v>
      </c>
      <c r="BC5" s="11">
        <f t="shared" si="0"/>
        <v>4267.7783333333336</v>
      </c>
      <c r="BD5" s="11">
        <f t="shared" si="0"/>
        <v>6458.1017916472592</v>
      </c>
      <c r="BE5" s="11">
        <f t="shared" si="0"/>
        <v>4645.0510805860813</v>
      </c>
      <c r="BF5" s="11">
        <f t="shared" si="0"/>
        <v>270340.51509398059</v>
      </c>
      <c r="BG5" s="11">
        <f t="shared" si="0"/>
        <v>85393.522674777545</v>
      </c>
      <c r="BH5" s="11">
        <f t="shared" si="0"/>
        <v>80726.744939175158</v>
      </c>
      <c r="BI5" s="11">
        <f t="shared" si="0"/>
        <v>104220.24748002789</v>
      </c>
    </row>
    <row r="6" spans="1:61" x14ac:dyDescent="0.25">
      <c r="A6" s="6"/>
      <c r="B6" s="66">
        <v>30</v>
      </c>
      <c r="C6" s="66"/>
      <c r="D6" s="66" t="s">
        <v>61</v>
      </c>
      <c r="E6" s="67">
        <f>E7+E8+E9+E10+E11+E12+E13+E14</f>
        <v>498.48217665615147</v>
      </c>
      <c r="F6" s="67">
        <f t="shared" ref="F6:BI6" si="1">F7+F8+F9+F10+F11+F12+F13+F14</f>
        <v>215.61608527131781</v>
      </c>
      <c r="G6" s="67">
        <f t="shared" si="1"/>
        <v>276.6430997876858</v>
      </c>
      <c r="H6" s="67">
        <f t="shared" si="1"/>
        <v>697.81315192743773</v>
      </c>
      <c r="I6" s="67">
        <f t="shared" si="1"/>
        <v>749.30297069994572</v>
      </c>
      <c r="J6" s="67">
        <f t="shared" si="1"/>
        <v>907.18428614548748</v>
      </c>
      <c r="K6" s="67">
        <f t="shared" si="1"/>
        <v>434.67720422004521</v>
      </c>
      <c r="L6" s="67">
        <f t="shared" si="1"/>
        <v>1968.2079146881924</v>
      </c>
      <c r="M6" s="67">
        <f t="shared" si="1"/>
        <v>920.9385441176471</v>
      </c>
      <c r="N6" s="67">
        <f t="shared" si="1"/>
        <v>549.40401785714289</v>
      </c>
      <c r="O6" s="67">
        <f t="shared" si="1"/>
        <v>516.34914605820484</v>
      </c>
      <c r="P6" s="67">
        <f t="shared" si="1"/>
        <v>366.93419540229888</v>
      </c>
      <c r="Q6" s="67">
        <f t="shared" si="1"/>
        <v>743.99792452830184</v>
      </c>
      <c r="R6" s="67">
        <f t="shared" si="1"/>
        <v>569.58694117647053</v>
      </c>
      <c r="S6" s="67">
        <f t="shared" si="1"/>
        <v>505.19071428571425</v>
      </c>
      <c r="T6" s="67">
        <f t="shared" si="1"/>
        <v>400.85081855388813</v>
      </c>
      <c r="U6" s="67">
        <f t="shared" si="1"/>
        <v>428.98537037037033</v>
      </c>
      <c r="V6" s="67">
        <f t="shared" si="1"/>
        <v>774.711510791367</v>
      </c>
      <c r="W6" s="67">
        <f t="shared" si="1"/>
        <v>718.6590106544902</v>
      </c>
      <c r="X6" s="67">
        <f t="shared" si="1"/>
        <v>405.7318181818182</v>
      </c>
      <c r="Y6" s="67">
        <f t="shared" si="1"/>
        <v>1232.1027821939585</v>
      </c>
      <c r="Z6" s="67">
        <f t="shared" si="1"/>
        <v>1221.6634776902886</v>
      </c>
      <c r="AA6" s="67">
        <f t="shared" si="1"/>
        <v>957.12873563218409</v>
      </c>
      <c r="AB6" s="67">
        <f t="shared" si="1"/>
        <v>443.06891025641028</v>
      </c>
      <c r="AC6" s="67">
        <f t="shared" si="1"/>
        <v>780.35843137254892</v>
      </c>
      <c r="AD6" s="67">
        <f t="shared" si="1"/>
        <v>772.28272340425542</v>
      </c>
      <c r="AE6" s="67">
        <f t="shared" si="1"/>
        <v>847.61079854809429</v>
      </c>
      <c r="AF6" s="67">
        <f t="shared" si="1"/>
        <v>770.35802348336597</v>
      </c>
      <c r="AG6" s="67">
        <f t="shared" si="1"/>
        <v>583.22710304942166</v>
      </c>
      <c r="AH6" s="67">
        <f t="shared" si="1"/>
        <v>725.33871844660189</v>
      </c>
      <c r="AI6" s="67">
        <f t="shared" si="1"/>
        <v>479.01535087719299</v>
      </c>
      <c r="AJ6" s="67">
        <f t="shared" si="1"/>
        <v>545.50677966101694</v>
      </c>
      <c r="AK6" s="67">
        <f t="shared" si="1"/>
        <v>408.37858660998938</v>
      </c>
      <c r="AL6" s="67">
        <f t="shared" si="1"/>
        <v>597.95035906642727</v>
      </c>
      <c r="AM6" s="67">
        <f t="shared" si="1"/>
        <v>409.65809367296634</v>
      </c>
      <c r="AN6" s="67">
        <f t="shared" si="1"/>
        <v>622.94076923076921</v>
      </c>
      <c r="AO6" s="67">
        <f t="shared" si="1"/>
        <v>1185.6059004149381</v>
      </c>
      <c r="AP6" s="67">
        <f t="shared" si="1"/>
        <v>1364.3148000000001</v>
      </c>
      <c r="AQ6" s="67">
        <f t="shared" si="1"/>
        <v>369.79242472266247</v>
      </c>
      <c r="AR6" s="67">
        <f t="shared" si="1"/>
        <v>982.02869803921567</v>
      </c>
      <c r="AS6" s="67">
        <f t="shared" si="1"/>
        <v>591.32298050139275</v>
      </c>
      <c r="AT6" s="67">
        <f t="shared" si="1"/>
        <v>512.89975442043215</v>
      </c>
      <c r="AU6" s="67">
        <f t="shared" si="1"/>
        <v>390.43754266211607</v>
      </c>
      <c r="AV6" s="67">
        <f t="shared" si="1"/>
        <v>408.81485831622183</v>
      </c>
      <c r="AW6" s="67">
        <f t="shared" si="1"/>
        <v>610.68470737913481</v>
      </c>
      <c r="AX6" s="67">
        <f t="shared" si="1"/>
        <v>424.05141304347825</v>
      </c>
      <c r="AY6" s="67">
        <f t="shared" si="1"/>
        <v>462.07102102102101</v>
      </c>
      <c r="AZ6" s="67">
        <f t="shared" si="1"/>
        <v>516.19519115890091</v>
      </c>
      <c r="BA6" s="67">
        <f t="shared" si="1"/>
        <v>355.07879795396417</v>
      </c>
      <c r="BB6" s="67">
        <f t="shared" si="1"/>
        <v>1249.230560836502</v>
      </c>
      <c r="BC6" s="67">
        <f t="shared" si="1"/>
        <v>429.90666666666664</v>
      </c>
      <c r="BD6" s="67">
        <f t="shared" si="1"/>
        <v>1740.8716860735913</v>
      </c>
      <c r="BE6" s="67">
        <f t="shared" si="1"/>
        <v>588.12399267399269</v>
      </c>
      <c r="BF6" s="67">
        <f t="shared" si="1"/>
        <v>36227.287540453697</v>
      </c>
      <c r="BG6" s="67">
        <f t="shared" si="1"/>
        <v>12243.535083192159</v>
      </c>
      <c r="BH6" s="67">
        <f t="shared" si="1"/>
        <v>9763.39365279716</v>
      </c>
      <c r="BI6" s="67">
        <f t="shared" si="1"/>
        <v>14220.358804464382</v>
      </c>
    </row>
    <row r="7" spans="1:61" x14ac:dyDescent="0.25">
      <c r="C7" s="7">
        <v>300</v>
      </c>
      <c r="D7" s="7" t="s">
        <v>80</v>
      </c>
      <c r="E7" s="12">
        <f>'MCH2'!E7/'MCH2'!E3</f>
        <v>47.155625657202947</v>
      </c>
      <c r="F7" s="12">
        <f>'MCH2'!F7/'MCH2'!F3</f>
        <v>81.909883720930239</v>
      </c>
      <c r="G7" s="12">
        <f>'MCH2'!G7/'MCH2'!G3</f>
        <v>56.566242038216565</v>
      </c>
      <c r="H7" s="12">
        <f>'MCH2'!H7/'MCH2'!H3</f>
        <v>100.0141723356009</v>
      </c>
      <c r="I7" s="12">
        <f>'MCH2'!I7/'MCH2'!I3</f>
        <v>47.87438958220293</v>
      </c>
      <c r="J7" s="12">
        <f>'MCH2'!J7/'MCH2'!J3</f>
        <v>43.417235134319341</v>
      </c>
      <c r="K7" s="12">
        <f>'MCH2'!K7/'MCH2'!K3</f>
        <v>47.376789751318761</v>
      </c>
      <c r="L7" s="12">
        <f>'MCH2'!L7/'MCH2'!L3</f>
        <v>63.859548116492562</v>
      </c>
      <c r="M7" s="12">
        <f>'MCH2'!M7/'MCH2'!M3</f>
        <v>51.663602941176471</v>
      </c>
      <c r="N7" s="12">
        <f>'MCH2'!N7/'MCH2'!N3</f>
        <v>159.76026785714288</v>
      </c>
      <c r="O7" s="12">
        <f>'MCH2'!O7/'MCH2'!O3</f>
        <v>46.564551168192381</v>
      </c>
      <c r="P7" s="12">
        <f>'MCH2'!P7/'MCH2'!P3</f>
        <v>86.452298850574707</v>
      </c>
      <c r="Q7" s="12">
        <f>'MCH2'!Q7/'MCH2'!Q3</f>
        <v>149.52358490566039</v>
      </c>
      <c r="R7" s="12">
        <f>'MCH2'!R7/'MCH2'!R3</f>
        <v>44</v>
      </c>
      <c r="S7" s="12">
        <f>'MCH2'!S7/'MCH2'!S3</f>
        <v>79.742857142857147</v>
      </c>
      <c r="T7" s="12">
        <f>'MCH2'!T7/'MCH2'!T3</f>
        <v>80.270804911323324</v>
      </c>
      <c r="U7" s="12">
        <f>'MCH2'!U7/'MCH2'!U3</f>
        <v>45.961666666666666</v>
      </c>
      <c r="V7" s="12">
        <f>'MCH2'!V7/'MCH2'!V3</f>
        <v>134.47805755395683</v>
      </c>
      <c r="W7" s="12">
        <f>'MCH2'!W7/'MCH2'!W3</f>
        <v>31.301978691019787</v>
      </c>
      <c r="X7" s="12">
        <f>'MCH2'!X7/'MCH2'!X3</f>
        <v>161.22353896103897</v>
      </c>
      <c r="Y7" s="12">
        <f>'MCH2'!Y7/'MCH2'!Y3</f>
        <v>43.221661367249602</v>
      </c>
      <c r="Z7" s="12">
        <f>'MCH2'!Z7/'MCH2'!Z3</f>
        <v>55.590551181102363</v>
      </c>
      <c r="AA7" s="12">
        <f>'MCH2'!AA7/'MCH2'!AA3</f>
        <v>80.287356321839084</v>
      </c>
      <c r="AB7" s="12">
        <f>'MCH2'!AB7/'MCH2'!AB3</f>
        <v>75.82692307692308</v>
      </c>
      <c r="AC7" s="12">
        <f>'MCH2'!AC7/'MCH2'!AC3</f>
        <v>41.472450980392161</v>
      </c>
      <c r="AD7" s="12">
        <f>'MCH2'!AD7/'MCH2'!AD3</f>
        <v>35.638014184397164</v>
      </c>
      <c r="AE7" s="12">
        <f>'MCH2'!AE7/'MCH2'!AE3</f>
        <v>84.616606170598914</v>
      </c>
      <c r="AF7" s="12">
        <f>'MCH2'!AF7/'MCH2'!AF3</f>
        <v>50.396771037181999</v>
      </c>
      <c r="AG7" s="12">
        <f>'MCH2'!AG7/'MCH2'!AG3</f>
        <v>48.973711882229232</v>
      </c>
      <c r="AH7" s="12">
        <f>'MCH2'!AH7/'MCH2'!AH3</f>
        <v>23.089165048543688</v>
      </c>
      <c r="AI7" s="12">
        <f>'MCH2'!AI7/'MCH2'!AI3</f>
        <v>86.729824561403518</v>
      </c>
      <c r="AJ7" s="12">
        <f>'MCH2'!AJ7/'MCH2'!AJ3</f>
        <v>109.44915254237289</v>
      </c>
      <c r="AK7" s="12">
        <f>'MCH2'!AK7/'MCH2'!AK3</f>
        <v>45.49458023379384</v>
      </c>
      <c r="AL7" s="12">
        <f>'MCH2'!AL7/'MCH2'!AL3</f>
        <v>43.484380610412927</v>
      </c>
      <c r="AM7" s="12">
        <f>'MCH2'!AM7/'MCH2'!AM3</f>
        <v>42.430484798685292</v>
      </c>
      <c r="AN7" s="12">
        <f>'MCH2'!AN7/'MCH2'!AN3</f>
        <v>173.22777777777779</v>
      </c>
      <c r="AO7" s="12">
        <f>'MCH2'!AO7/'MCH2'!AO3</f>
        <v>76.651452282157678</v>
      </c>
      <c r="AP7" s="12">
        <f>'MCH2'!AP7/'MCH2'!AP3</f>
        <v>51.800959999999996</v>
      </c>
      <c r="AQ7" s="12">
        <f>'MCH2'!AQ7/'MCH2'!AQ3</f>
        <v>70.392234548335978</v>
      </c>
      <c r="AR7" s="12">
        <f>'MCH2'!AR7/'MCH2'!AR3</f>
        <v>65.669607843137257</v>
      </c>
      <c r="AS7" s="12">
        <f>'MCH2'!AS7/'MCH2'!AS3</f>
        <v>68.517409470752085</v>
      </c>
      <c r="AT7" s="12">
        <f>'MCH2'!AT7/'MCH2'!AT3</f>
        <v>40.672396856581535</v>
      </c>
      <c r="AU7" s="12">
        <f>'MCH2'!AU7/'MCH2'!AU3</f>
        <v>44.505119453924912</v>
      </c>
      <c r="AV7" s="12">
        <f>'MCH2'!AV7/'MCH2'!AV3</f>
        <v>24.440451745379878</v>
      </c>
      <c r="AW7" s="12">
        <f>'MCH2'!AW7/'MCH2'!AW3</f>
        <v>67.470101781170484</v>
      </c>
      <c r="AX7" s="12">
        <f>'MCH2'!AX7/'MCH2'!AX3</f>
        <v>62.330434782608691</v>
      </c>
      <c r="AY7" s="12">
        <f>'MCH2'!AY7/'MCH2'!AY3</f>
        <v>47.117117117117118</v>
      </c>
      <c r="AZ7" s="12">
        <f>'MCH2'!AZ7/'MCH2'!AZ3</f>
        <v>33.234169653524489</v>
      </c>
      <c r="BA7" s="12">
        <f>'MCH2'!BA7/'MCH2'!BA3</f>
        <v>48.436700767263424</v>
      </c>
      <c r="BB7" s="12">
        <f>'MCH2'!BB7/'MCH2'!BB3</f>
        <v>52.469961977186315</v>
      </c>
      <c r="BC7" s="12">
        <f>'MCH2'!BC7/'MCH2'!BC3</f>
        <v>86.377150537634407</v>
      </c>
      <c r="BD7" s="12">
        <f>'MCH2'!BD7/'MCH2'!BD3</f>
        <v>38.491235832945193</v>
      </c>
      <c r="BE7" s="12">
        <f>'MCH2'!BE7/'MCH2'!BE3</f>
        <v>49.365201465201466</v>
      </c>
      <c r="BF7" s="12">
        <f>SUM(E7:BE7)</f>
        <v>3526.9882138757189</v>
      </c>
      <c r="BG7" s="12">
        <f>SUM(E7:W7)</f>
        <v>1397.8935570248548</v>
      </c>
      <c r="BH7" s="12">
        <f>SUM(X7:AJ7)</f>
        <v>896.51572731527278</v>
      </c>
      <c r="BI7" s="12">
        <f>SUM(AK7:BE7)</f>
        <v>1232.5789295355905</v>
      </c>
    </row>
    <row r="8" spans="1:61" x14ac:dyDescent="0.25">
      <c r="C8" s="7">
        <v>301</v>
      </c>
      <c r="D8" s="7" t="s">
        <v>81</v>
      </c>
      <c r="E8" s="12">
        <f>'MCH2'!E8/'MCH2'!E3</f>
        <v>375.38002103049422</v>
      </c>
      <c r="F8" s="12">
        <f>'MCH2'!F8/'MCH2'!F3</f>
        <v>117.4515503875969</v>
      </c>
      <c r="G8" s="12">
        <f>'MCH2'!G8/'MCH2'!G3</f>
        <v>183.45286624203823</v>
      </c>
      <c r="H8" s="12">
        <f>'MCH2'!H8/'MCH2'!H3</f>
        <v>493.11723356009071</v>
      </c>
      <c r="I8" s="12">
        <f>'MCH2'!I8/'MCH2'!I3</f>
        <v>560.16980466630491</v>
      </c>
      <c r="J8" s="12">
        <f>'MCH2'!J8/'MCH2'!J3</f>
        <v>685.91110775731966</v>
      </c>
      <c r="K8" s="12">
        <f>'MCH2'!K8/'MCH2'!K3</f>
        <v>306.57592313489073</v>
      </c>
      <c r="L8" s="12">
        <f>'MCH2'!L8/'MCH2'!L3</f>
        <v>1561.046846312124</v>
      </c>
      <c r="M8" s="12">
        <f>'MCH2'!M8/'MCH2'!M3</f>
        <v>714.45827205882358</v>
      </c>
      <c r="N8" s="12">
        <f>'MCH2'!N8/'MCH2'!N3</f>
        <v>310.69607142857143</v>
      </c>
      <c r="O8" s="12">
        <f>'MCH2'!O8/'MCH2'!O3</f>
        <v>388.06998223801071</v>
      </c>
      <c r="P8" s="12">
        <f>'MCH2'!P8/'MCH2'!P3</f>
        <v>219.66484674329502</v>
      </c>
      <c r="Q8" s="12">
        <f>'MCH2'!Q8/'MCH2'!Q3</f>
        <v>435.41981132075472</v>
      </c>
      <c r="R8" s="12">
        <f>'MCH2'!R8/'MCH2'!R3</f>
        <v>429.17317647058826</v>
      </c>
      <c r="S8" s="12">
        <f>'MCH2'!S8/'MCH2'!S3</f>
        <v>332.70542857142857</v>
      </c>
      <c r="T8" s="12">
        <f>'MCH2'!T8/'MCH2'!T3</f>
        <v>255.06125511596179</v>
      </c>
      <c r="U8" s="12">
        <f>'MCH2'!U8/'MCH2'!U3</f>
        <v>311.13499999999999</v>
      </c>
      <c r="V8" s="12">
        <f>'MCH2'!V8/'MCH2'!V3</f>
        <v>514.25</v>
      </c>
      <c r="W8" s="12">
        <f>'MCH2'!W8/'MCH2'!W3</f>
        <v>566.72410958904106</v>
      </c>
      <c r="X8" s="12">
        <f>'MCH2'!X8/'MCH2'!X3</f>
        <v>208.49772727272727</v>
      </c>
      <c r="Y8" s="12">
        <f>'MCH2'!Y8/'MCH2'!Y3</f>
        <v>1017.7841017488075</v>
      </c>
      <c r="Z8" s="12">
        <f>'MCH2'!Z8/'MCH2'!Z3</f>
        <v>946.38720472440946</v>
      </c>
      <c r="AA8" s="12">
        <f>'MCH2'!AA8/'MCH2'!AA3</f>
        <v>756.52988505747135</v>
      </c>
      <c r="AB8" s="12">
        <f>'MCH2'!AB8/'MCH2'!AB3</f>
        <v>324.27403846153845</v>
      </c>
      <c r="AC8" s="12">
        <f>'MCH2'!AC8/'MCH2'!AC3</f>
        <v>604.41078431372546</v>
      </c>
      <c r="AD8" s="12">
        <f>'MCH2'!AD8/'MCH2'!AD3</f>
        <v>607.64896453900712</v>
      </c>
      <c r="AE8" s="12">
        <f>'MCH2'!AE8/'MCH2'!AE3</f>
        <v>584.66045372050814</v>
      </c>
      <c r="AF8" s="12">
        <f>'MCH2'!AF8/'MCH2'!AF3</f>
        <v>605.63052837573389</v>
      </c>
      <c r="AG8" s="12">
        <f>'MCH2'!AG8/'MCH2'!AG3</f>
        <v>412.98054679284962</v>
      </c>
      <c r="AH8" s="12">
        <f>'MCH2'!AH8/'MCH2'!AH3</f>
        <v>581.28745631067954</v>
      </c>
      <c r="AI8" s="12">
        <f>'MCH2'!AI8/'MCH2'!AI3</f>
        <v>333.53508771929825</v>
      </c>
      <c r="AJ8" s="12">
        <f>'MCH2'!AJ8/'MCH2'!AJ3</f>
        <v>369.35254237288132</v>
      </c>
      <c r="AK8" s="12">
        <f>'MCH2'!AK8/'MCH2'!AK3</f>
        <v>308.61020191285866</v>
      </c>
      <c r="AL8" s="12">
        <f>'MCH2'!AL8/'MCH2'!AL3</f>
        <v>453.14860861759422</v>
      </c>
      <c r="AM8" s="12">
        <f>'MCH2'!AM8/'MCH2'!AM3</f>
        <v>302.11869350862776</v>
      </c>
      <c r="AN8" s="12">
        <f>'MCH2'!AN8/'MCH2'!AN3</f>
        <v>342.8517094017094</v>
      </c>
      <c r="AO8" s="12">
        <f>'MCH2'!AO8/'MCH2'!AO3</f>
        <v>909.23639004149391</v>
      </c>
      <c r="AP8" s="12">
        <f>'MCH2'!AP8/'MCH2'!AP3</f>
        <v>1090.20496</v>
      </c>
      <c r="AQ8" s="12">
        <f>'MCH2'!AQ8/'MCH2'!AQ3</f>
        <v>233.71901743264661</v>
      </c>
      <c r="AR8" s="12">
        <f>'MCH2'!AR8/'MCH2'!AR3</f>
        <v>770.33265882352941</v>
      </c>
      <c r="AS8" s="12">
        <f>'MCH2'!AS8/'MCH2'!AS3</f>
        <v>420.66559888579388</v>
      </c>
      <c r="AT8" s="12">
        <f>'MCH2'!AT8/'MCH2'!AT3</f>
        <v>396.50505893909627</v>
      </c>
      <c r="AU8" s="12">
        <f>'MCH2'!AU8/'MCH2'!AU3</f>
        <v>261.56979522184298</v>
      </c>
      <c r="AV8" s="12">
        <f>'MCH2'!AV8/'MCH2'!AV3</f>
        <v>309.01891170431213</v>
      </c>
      <c r="AW8" s="12">
        <f>'MCH2'!AW8/'MCH2'!AW3</f>
        <v>445.68438931297709</v>
      </c>
      <c r="AX8" s="12">
        <f>'MCH2'!AX8/'MCH2'!AX3</f>
        <v>302.6859239130435</v>
      </c>
      <c r="AY8" s="12">
        <f>'MCH2'!AY8/'MCH2'!AY3</f>
        <v>353.05225225225223</v>
      </c>
      <c r="AZ8" s="12">
        <f>'MCH2'!AZ8/'MCH2'!AZ3</f>
        <v>394.41789127837518</v>
      </c>
      <c r="BA8" s="12">
        <f>'MCH2'!BA8/'MCH2'!BA3</f>
        <v>237.59079283887468</v>
      </c>
      <c r="BB8" s="12">
        <f>'MCH2'!BB8/'MCH2'!BB3</f>
        <v>982.12728136882129</v>
      </c>
      <c r="BC8" s="12">
        <f>'MCH2'!BC8/'MCH2'!BC3</f>
        <v>274.07553763440859</v>
      </c>
      <c r="BD8" s="12">
        <f>'MCH2'!BD8/'MCH2'!BD3</f>
        <v>1393.1526377891632</v>
      </c>
      <c r="BE8" s="12">
        <f>'MCH2'!BE8/'MCH2'!BE3</f>
        <v>447.48809523809524</v>
      </c>
      <c r="BF8" s="12">
        <f t="shared" ref="BF8:BF14" si="2">SUM(E8:BE8)</f>
        <v>26741.69903415248</v>
      </c>
      <c r="BG8" s="12">
        <f t="shared" ref="BG8:BG14" si="3">SUM(E8:W8)</f>
        <v>8760.4633066273345</v>
      </c>
      <c r="BH8" s="12">
        <f t="shared" ref="BH8:BH14" si="4">SUM(X8:AJ8)</f>
        <v>7352.9793214096389</v>
      </c>
      <c r="BI8" s="12">
        <f t="shared" ref="BI8:BI14" si="5">SUM(AK8:BE8)</f>
        <v>10628.256406115517</v>
      </c>
    </row>
    <row r="9" spans="1:61" x14ac:dyDescent="0.25">
      <c r="C9" s="7">
        <v>302</v>
      </c>
      <c r="D9" s="7" t="s">
        <v>82</v>
      </c>
      <c r="E9" s="12">
        <f>'MCH2'!E9/'MCH2'!E3</f>
        <v>0</v>
      </c>
      <c r="F9" s="12">
        <f>'MCH2'!F9/'MCH2'!F3</f>
        <v>0</v>
      </c>
      <c r="G9" s="12">
        <f>'MCH2'!G9/'MCH2'!G3</f>
        <v>0</v>
      </c>
      <c r="H9" s="12">
        <f>'MCH2'!H9/'MCH2'!H3</f>
        <v>0</v>
      </c>
      <c r="I9" s="12">
        <f>'MCH2'!I9/'MCH2'!I3</f>
        <v>0</v>
      </c>
      <c r="J9" s="12">
        <f>'MCH2'!J9/'MCH2'!J3</f>
        <v>0</v>
      </c>
      <c r="K9" s="12">
        <f>'MCH2'!K9/'MCH2'!K3</f>
        <v>0</v>
      </c>
      <c r="L9" s="12">
        <f>'MCH2'!L9/'MCH2'!L3</f>
        <v>0</v>
      </c>
      <c r="M9" s="12">
        <f>'MCH2'!M9/'MCH2'!M3</f>
        <v>0</v>
      </c>
      <c r="N9" s="12">
        <f>'MCH2'!N9/'MCH2'!N3</f>
        <v>0</v>
      </c>
      <c r="O9" s="12">
        <f>'MCH2'!O9/'MCH2'!O3</f>
        <v>0</v>
      </c>
      <c r="P9" s="12">
        <f>'MCH2'!P9/'MCH2'!P3</f>
        <v>0</v>
      </c>
      <c r="Q9" s="12">
        <f>'MCH2'!Q9/'MCH2'!Q3</f>
        <v>0</v>
      </c>
      <c r="R9" s="12">
        <f>'MCH2'!R9/'MCH2'!R3</f>
        <v>0</v>
      </c>
      <c r="S9" s="12">
        <f>'MCH2'!S9/'MCH2'!S3</f>
        <v>0</v>
      </c>
      <c r="T9" s="12">
        <f>'MCH2'!T9/'MCH2'!T3</f>
        <v>0</v>
      </c>
      <c r="U9" s="12">
        <f>'MCH2'!U9/'MCH2'!U3</f>
        <v>0</v>
      </c>
      <c r="V9" s="12">
        <f>'MCH2'!V9/'MCH2'!V3</f>
        <v>0</v>
      </c>
      <c r="W9" s="12">
        <f>'MCH2'!W9/'MCH2'!W3</f>
        <v>0</v>
      </c>
      <c r="X9" s="12">
        <f>'MCH2'!X9/'MCH2'!X3</f>
        <v>0</v>
      </c>
      <c r="Y9" s="12">
        <f>'MCH2'!Y9/'MCH2'!Y3</f>
        <v>0</v>
      </c>
      <c r="Z9" s="12">
        <f>'MCH2'!Z9/'MCH2'!Z3</f>
        <v>0</v>
      </c>
      <c r="AA9" s="12">
        <f>'MCH2'!AA9/'MCH2'!AA3</f>
        <v>0</v>
      </c>
      <c r="AB9" s="12">
        <f>'MCH2'!AB9/'MCH2'!AB3</f>
        <v>0</v>
      </c>
      <c r="AC9" s="12">
        <f>'MCH2'!AC9/'MCH2'!AC3</f>
        <v>0</v>
      </c>
      <c r="AD9" s="12">
        <f>'MCH2'!AD9/'MCH2'!AD3</f>
        <v>0</v>
      </c>
      <c r="AE9" s="12">
        <f>'MCH2'!AE9/'MCH2'!AE3</f>
        <v>0</v>
      </c>
      <c r="AF9" s="12">
        <f>'MCH2'!AF9/'MCH2'!AF3</f>
        <v>0</v>
      </c>
      <c r="AG9" s="12">
        <f>'MCH2'!AG9/'MCH2'!AG3</f>
        <v>2.4316508937960042</v>
      </c>
      <c r="AH9" s="12">
        <f>'MCH2'!AH9/'MCH2'!AH3</f>
        <v>0</v>
      </c>
      <c r="AI9" s="12">
        <f>'MCH2'!AI9/'MCH2'!AI3</f>
        <v>0</v>
      </c>
      <c r="AJ9" s="12">
        <f>'MCH2'!AJ9/'MCH2'!AJ3</f>
        <v>0</v>
      </c>
      <c r="AK9" s="12">
        <f>'MCH2'!AK9/'MCH2'!AK3</f>
        <v>0</v>
      </c>
      <c r="AL9" s="12">
        <f>'MCH2'!AL9/'MCH2'!AL3</f>
        <v>0</v>
      </c>
      <c r="AM9" s="12">
        <f>'MCH2'!AM9/'MCH2'!AM3</f>
        <v>0</v>
      </c>
      <c r="AN9" s="12">
        <f>'MCH2'!AN9/'MCH2'!AN3</f>
        <v>0</v>
      </c>
      <c r="AO9" s="12">
        <f>'MCH2'!AO9/'MCH2'!AO3</f>
        <v>0</v>
      </c>
      <c r="AP9" s="12">
        <f>'MCH2'!AP9/'MCH2'!AP3</f>
        <v>0</v>
      </c>
      <c r="AQ9" s="12">
        <f>'MCH2'!AQ9/'MCH2'!AQ3</f>
        <v>0</v>
      </c>
      <c r="AR9" s="12">
        <f>'MCH2'!AR9/'MCH2'!AR3</f>
        <v>0</v>
      </c>
      <c r="AS9" s="12">
        <f>'MCH2'!AS9/'MCH2'!AS3</f>
        <v>0</v>
      </c>
      <c r="AT9" s="12">
        <f>'MCH2'!AT9/'MCH2'!AT3</f>
        <v>0</v>
      </c>
      <c r="AU9" s="12">
        <f>'MCH2'!AU9/'MCH2'!AU3</f>
        <v>0</v>
      </c>
      <c r="AV9" s="12">
        <f>'MCH2'!AV9/'MCH2'!AV3</f>
        <v>0</v>
      </c>
      <c r="AW9" s="12">
        <f>'MCH2'!AW9/'MCH2'!AW3</f>
        <v>0</v>
      </c>
      <c r="AX9" s="12">
        <f>'MCH2'!AX9/'MCH2'!AX3</f>
        <v>0</v>
      </c>
      <c r="AY9" s="12">
        <f>'MCH2'!AY9/'MCH2'!AY3</f>
        <v>0</v>
      </c>
      <c r="AZ9" s="12">
        <f>'MCH2'!AZ9/'MCH2'!AZ3</f>
        <v>0</v>
      </c>
      <c r="BA9" s="12">
        <f>'MCH2'!BA9/'MCH2'!BA3</f>
        <v>0</v>
      </c>
      <c r="BB9" s="12">
        <f>'MCH2'!BB9/'MCH2'!BB3</f>
        <v>0</v>
      </c>
      <c r="BC9" s="12">
        <f>'MCH2'!BC9/'MCH2'!BC3</f>
        <v>0</v>
      </c>
      <c r="BD9" s="12">
        <f>'MCH2'!BD9/'MCH2'!BD3</f>
        <v>0</v>
      </c>
      <c r="BE9" s="12">
        <f>'MCH2'!BE9/'MCH2'!BE3</f>
        <v>0</v>
      </c>
      <c r="BF9" s="12">
        <f t="shared" si="2"/>
        <v>2.4316508937960042</v>
      </c>
      <c r="BG9" s="12">
        <f t="shared" si="3"/>
        <v>0</v>
      </c>
      <c r="BH9" s="12">
        <f t="shared" si="4"/>
        <v>2.4316508937960042</v>
      </c>
      <c r="BI9" s="12">
        <f t="shared" si="5"/>
        <v>0</v>
      </c>
    </row>
    <row r="10" spans="1:61" x14ac:dyDescent="0.25">
      <c r="C10" s="7">
        <v>303</v>
      </c>
      <c r="D10" s="7" t="s">
        <v>83</v>
      </c>
      <c r="E10" s="12">
        <f>'MCH2'!E10/'MCH2'!E3</f>
        <v>0</v>
      </c>
      <c r="F10" s="12">
        <f>'MCH2'!F10/'MCH2'!F3</f>
        <v>0</v>
      </c>
      <c r="G10" s="12">
        <f>'MCH2'!G10/'MCH2'!G3</f>
        <v>0</v>
      </c>
      <c r="H10" s="12">
        <f>'MCH2'!H10/'MCH2'!H3</f>
        <v>0</v>
      </c>
      <c r="I10" s="12">
        <f>'MCH2'!I10/'MCH2'!I3</f>
        <v>0</v>
      </c>
      <c r="J10" s="12">
        <f>'MCH2'!J10/'MCH2'!J3</f>
        <v>0</v>
      </c>
      <c r="K10" s="12">
        <f>'MCH2'!K10/'MCH2'!K3</f>
        <v>0</v>
      </c>
      <c r="L10" s="12">
        <f>'MCH2'!L10/'MCH2'!L3</f>
        <v>0</v>
      </c>
      <c r="M10" s="12">
        <f>'MCH2'!M10/'MCH2'!M3</f>
        <v>2.7056985294117646</v>
      </c>
      <c r="N10" s="12">
        <f>'MCH2'!N10/'MCH2'!N3</f>
        <v>0</v>
      </c>
      <c r="O10" s="12">
        <f>'MCH2'!O10/'MCH2'!O3</f>
        <v>0</v>
      </c>
      <c r="P10" s="12">
        <f>'MCH2'!P10/'MCH2'!P3</f>
        <v>0</v>
      </c>
      <c r="Q10" s="12">
        <f>'MCH2'!Q10/'MCH2'!Q3</f>
        <v>0</v>
      </c>
      <c r="R10" s="12">
        <f>'MCH2'!R10/'MCH2'!R3</f>
        <v>0</v>
      </c>
      <c r="S10" s="12">
        <f>'MCH2'!S10/'MCH2'!S3</f>
        <v>0</v>
      </c>
      <c r="T10" s="12">
        <f>'MCH2'!T10/'MCH2'!T3</f>
        <v>0</v>
      </c>
      <c r="U10" s="12">
        <f>'MCH2'!U10/'MCH2'!U3</f>
        <v>0</v>
      </c>
      <c r="V10" s="12">
        <f>'MCH2'!V10/'MCH2'!V3</f>
        <v>0</v>
      </c>
      <c r="W10" s="12">
        <f>'MCH2'!W10/'MCH2'!W3</f>
        <v>0</v>
      </c>
      <c r="X10" s="12">
        <f>'MCH2'!X10/'MCH2'!X3</f>
        <v>0</v>
      </c>
      <c r="Y10" s="12">
        <f>'MCH2'!Y10/'MCH2'!Y3</f>
        <v>0</v>
      </c>
      <c r="Z10" s="12">
        <f>'MCH2'!Z10/'MCH2'!Z3</f>
        <v>0</v>
      </c>
      <c r="AA10" s="12">
        <f>'MCH2'!AA10/'MCH2'!AA3</f>
        <v>0</v>
      </c>
      <c r="AB10" s="12">
        <f>'MCH2'!AB10/'MCH2'!AB3</f>
        <v>0</v>
      </c>
      <c r="AC10" s="12">
        <f>'MCH2'!AC10/'MCH2'!AC3</f>
        <v>0</v>
      </c>
      <c r="AD10" s="12">
        <f>'MCH2'!AD10/'MCH2'!AD3</f>
        <v>0</v>
      </c>
      <c r="AE10" s="12">
        <f>'MCH2'!AE10/'MCH2'!AE3</f>
        <v>0</v>
      </c>
      <c r="AF10" s="12">
        <f>'MCH2'!AF10/'MCH2'!AF3</f>
        <v>0</v>
      </c>
      <c r="AG10" s="12">
        <f>'MCH2'!AG10/'MCH2'!AG3</f>
        <v>0</v>
      </c>
      <c r="AH10" s="12">
        <f>'MCH2'!AH10/'MCH2'!AH3</f>
        <v>0</v>
      </c>
      <c r="AI10" s="12">
        <f>'MCH2'!AI10/'MCH2'!AI3</f>
        <v>0</v>
      </c>
      <c r="AJ10" s="12">
        <f>'MCH2'!AJ10/'MCH2'!AJ3</f>
        <v>0</v>
      </c>
      <c r="AK10" s="12">
        <f>'MCH2'!AK10/'MCH2'!AK3</f>
        <v>0</v>
      </c>
      <c r="AL10" s="12">
        <f>'MCH2'!AL10/'MCH2'!AL3</f>
        <v>0</v>
      </c>
      <c r="AM10" s="12">
        <f>'MCH2'!AM10/'MCH2'!AM3</f>
        <v>2.8194330320460148</v>
      </c>
      <c r="AN10" s="12">
        <f>'MCH2'!AN10/'MCH2'!AN3</f>
        <v>0</v>
      </c>
      <c r="AO10" s="12">
        <f>'MCH2'!AO10/'MCH2'!AO3</f>
        <v>0</v>
      </c>
      <c r="AP10" s="12">
        <f>'MCH2'!AP10/'MCH2'!AP3</f>
        <v>0</v>
      </c>
      <c r="AQ10" s="12">
        <f>'MCH2'!AQ10/'MCH2'!AQ3</f>
        <v>0</v>
      </c>
      <c r="AR10" s="12">
        <f>'MCH2'!AR10/'MCH2'!AR3</f>
        <v>0</v>
      </c>
      <c r="AS10" s="12">
        <f>'MCH2'!AS10/'MCH2'!AS3</f>
        <v>0.48467966573816157</v>
      </c>
      <c r="AT10" s="12">
        <f>'MCH2'!AT10/'MCH2'!AT3</f>
        <v>0</v>
      </c>
      <c r="AU10" s="12">
        <f>'MCH2'!AU10/'MCH2'!AU3</f>
        <v>0</v>
      </c>
      <c r="AV10" s="12">
        <f>'MCH2'!AV10/'MCH2'!AV3</f>
        <v>0</v>
      </c>
      <c r="AW10" s="12">
        <f>'MCH2'!AW10/'MCH2'!AW3</f>
        <v>0.2862595419847328</v>
      </c>
      <c r="AX10" s="12">
        <f>'MCH2'!AX10/'MCH2'!AX3</f>
        <v>0</v>
      </c>
      <c r="AY10" s="12">
        <f>'MCH2'!AY10/'MCH2'!AY3</f>
        <v>0</v>
      </c>
      <c r="AZ10" s="12">
        <f>'MCH2'!AZ10/'MCH2'!AZ3</f>
        <v>0</v>
      </c>
      <c r="BA10" s="12">
        <f>'MCH2'!BA10/'MCH2'!BA3</f>
        <v>0</v>
      </c>
      <c r="BB10" s="12">
        <f>'MCH2'!BB10/'MCH2'!BB3</f>
        <v>0</v>
      </c>
      <c r="BC10" s="12">
        <f>'MCH2'!BC10/'MCH2'!BC3</f>
        <v>0</v>
      </c>
      <c r="BD10" s="12">
        <f>'MCH2'!BD10/'MCH2'!BD3</f>
        <v>0</v>
      </c>
      <c r="BE10" s="12">
        <f>'MCH2'!BE10/'MCH2'!BE3</f>
        <v>0</v>
      </c>
      <c r="BF10" s="12">
        <f t="shared" si="2"/>
        <v>6.2960707691806741</v>
      </c>
      <c r="BG10" s="12">
        <f t="shared" si="3"/>
        <v>2.7056985294117646</v>
      </c>
      <c r="BH10" s="12">
        <f t="shared" si="4"/>
        <v>0</v>
      </c>
      <c r="BI10" s="12">
        <f t="shared" si="5"/>
        <v>3.5903722397689091</v>
      </c>
    </row>
    <row r="11" spans="1:61" x14ac:dyDescent="0.25">
      <c r="C11" s="7">
        <v>304</v>
      </c>
      <c r="D11" s="7" t="s">
        <v>578</v>
      </c>
      <c r="E11" s="12">
        <f>'MCH2'!E11/'MCH2'!E3</f>
        <v>0</v>
      </c>
      <c r="F11" s="12">
        <f>'MCH2'!F11/'MCH2'!F3</f>
        <v>0</v>
      </c>
      <c r="G11" s="12">
        <f>'MCH2'!G11/'MCH2'!G3</f>
        <v>0</v>
      </c>
      <c r="H11" s="12">
        <f>'MCH2'!H11/'MCH2'!H3</f>
        <v>0</v>
      </c>
      <c r="I11" s="12">
        <f>'MCH2'!I11/'MCH2'!I3</f>
        <v>0</v>
      </c>
      <c r="J11" s="12">
        <f>'MCH2'!J11/'MCH2'!J3</f>
        <v>5.4073649260488974</v>
      </c>
      <c r="K11" s="12">
        <f>'MCH2'!K11/'MCH2'!K3</f>
        <v>0</v>
      </c>
      <c r="L11" s="12">
        <f>'MCH2'!L11/'MCH2'!L3</f>
        <v>0</v>
      </c>
      <c r="M11" s="12">
        <f>'MCH2'!M11/'MCH2'!M3</f>
        <v>0</v>
      </c>
      <c r="N11" s="12">
        <f>'MCH2'!N11/'MCH2'!N3</f>
        <v>0</v>
      </c>
      <c r="O11" s="12">
        <f>'MCH2'!O11/'MCH2'!O3</f>
        <v>0</v>
      </c>
      <c r="P11" s="12">
        <f>'MCH2'!P11/'MCH2'!P3</f>
        <v>0</v>
      </c>
      <c r="Q11" s="12">
        <f>'MCH2'!Q11/'MCH2'!Q3</f>
        <v>0</v>
      </c>
      <c r="R11" s="12">
        <f>'MCH2'!R11/'MCH2'!R3</f>
        <v>0</v>
      </c>
      <c r="S11" s="12">
        <f>'MCH2'!S11/'MCH2'!S3</f>
        <v>0</v>
      </c>
      <c r="T11" s="12">
        <f>'MCH2'!T11/'MCH2'!T3</f>
        <v>0</v>
      </c>
      <c r="U11" s="12">
        <f>'MCH2'!U11/'MCH2'!U3</f>
        <v>0</v>
      </c>
      <c r="V11" s="12">
        <f>'MCH2'!V11/'MCH2'!V3</f>
        <v>0</v>
      </c>
      <c r="W11" s="12">
        <f>'MCH2'!W11/'MCH2'!W3</f>
        <v>0</v>
      </c>
      <c r="X11" s="12">
        <f>'MCH2'!X11/'MCH2'!X3</f>
        <v>0</v>
      </c>
      <c r="Y11" s="12">
        <f>'MCH2'!Y11/'MCH2'!Y3</f>
        <v>0</v>
      </c>
      <c r="Z11" s="12">
        <f>'MCH2'!Z11/'MCH2'!Z3</f>
        <v>0</v>
      </c>
      <c r="AA11" s="12">
        <f>'MCH2'!AA11/'MCH2'!AA3</f>
        <v>0</v>
      </c>
      <c r="AB11" s="12">
        <f>'MCH2'!AB11/'MCH2'!AB3</f>
        <v>0</v>
      </c>
      <c r="AC11" s="12">
        <f>'MCH2'!AC11/'MCH2'!AC3</f>
        <v>0</v>
      </c>
      <c r="AD11" s="12">
        <f>'MCH2'!AD11/'MCH2'!AD3</f>
        <v>0</v>
      </c>
      <c r="AE11" s="12">
        <f>'MCH2'!AE11/'MCH2'!AE3</f>
        <v>0</v>
      </c>
      <c r="AF11" s="12">
        <f>'MCH2'!AF11/'MCH2'!AF3</f>
        <v>0</v>
      </c>
      <c r="AG11" s="12">
        <f>'MCH2'!AG11/'MCH2'!AG3</f>
        <v>0.94024710830704517</v>
      </c>
      <c r="AH11" s="12">
        <f>'MCH2'!AH11/'MCH2'!AH3</f>
        <v>1.5533980582524272</v>
      </c>
      <c r="AI11" s="12">
        <f>'MCH2'!AI11/'MCH2'!AI3</f>
        <v>0</v>
      </c>
      <c r="AJ11" s="12">
        <f>'MCH2'!AJ11/'MCH2'!AJ3</f>
        <v>0</v>
      </c>
      <c r="AK11" s="12">
        <f>'MCH2'!AK11/'MCH2'!AK3</f>
        <v>0</v>
      </c>
      <c r="AL11" s="12">
        <f>'MCH2'!AL11/'MCH2'!AL3</f>
        <v>0</v>
      </c>
      <c r="AM11" s="12">
        <f>'MCH2'!AM11/'MCH2'!AM3</f>
        <v>0</v>
      </c>
      <c r="AN11" s="12">
        <f>'MCH2'!AN11/'MCH2'!AN3</f>
        <v>0</v>
      </c>
      <c r="AO11" s="12">
        <f>'MCH2'!AO11/'MCH2'!AO3</f>
        <v>0</v>
      </c>
      <c r="AP11" s="12">
        <f>'MCH2'!AP11/'MCH2'!AP3</f>
        <v>0</v>
      </c>
      <c r="AQ11" s="12">
        <f>'MCH2'!AQ11/'MCH2'!AQ3</f>
        <v>0</v>
      </c>
      <c r="AR11" s="12">
        <f>'MCH2'!AR11/'MCH2'!AR3</f>
        <v>0</v>
      </c>
      <c r="AS11" s="12">
        <f>'MCH2'!AS11/'MCH2'!AS3</f>
        <v>0</v>
      </c>
      <c r="AT11" s="12">
        <f>'MCH2'!AT11/'MCH2'!AT3</f>
        <v>0</v>
      </c>
      <c r="AU11" s="12">
        <f>'MCH2'!AU11/'MCH2'!AU3</f>
        <v>0</v>
      </c>
      <c r="AV11" s="12">
        <f>'MCH2'!AV11/'MCH2'!AV3</f>
        <v>0</v>
      </c>
      <c r="AW11" s="12">
        <f>'MCH2'!AW11/'MCH2'!AW3</f>
        <v>0</v>
      </c>
      <c r="AX11" s="12">
        <f>'MCH2'!AX11/'MCH2'!AX3</f>
        <v>0</v>
      </c>
      <c r="AY11" s="12">
        <f>'MCH2'!AY11/'MCH2'!AY3</f>
        <v>0</v>
      </c>
      <c r="AZ11" s="12">
        <f>'MCH2'!AZ11/'MCH2'!AZ3</f>
        <v>0</v>
      </c>
      <c r="BA11" s="12">
        <f>'MCH2'!BA11/'MCH2'!BA3</f>
        <v>0</v>
      </c>
      <c r="BB11" s="12">
        <f>'MCH2'!BB11/'MCH2'!BB3</f>
        <v>0</v>
      </c>
      <c r="BC11" s="12">
        <f>'MCH2'!BC11/'MCH2'!BC3</f>
        <v>0</v>
      </c>
      <c r="BD11" s="12">
        <f>'MCH2'!BD11/'MCH2'!BD3</f>
        <v>0</v>
      </c>
      <c r="BE11" s="12">
        <f>'MCH2'!BE11/'MCH2'!BE3</f>
        <v>0</v>
      </c>
      <c r="BF11" s="12">
        <f t="shared" si="2"/>
        <v>7.9010100926083702</v>
      </c>
      <c r="BG11" s="12">
        <f t="shared" si="3"/>
        <v>5.4073649260488974</v>
      </c>
      <c r="BH11" s="12">
        <f t="shared" si="4"/>
        <v>2.4936451665594723</v>
      </c>
      <c r="BI11" s="12">
        <f t="shared" si="5"/>
        <v>0</v>
      </c>
    </row>
    <row r="12" spans="1:61" x14ac:dyDescent="0.25">
      <c r="C12" s="7">
        <v>305</v>
      </c>
      <c r="D12" s="7" t="s">
        <v>84</v>
      </c>
      <c r="E12" s="12">
        <f>'MCH2'!E12/'MCH2'!E3</f>
        <v>74.992797055730804</v>
      </c>
      <c r="F12" s="12">
        <f>'MCH2'!F12/'MCH2'!F3</f>
        <v>14.016085271317829</v>
      </c>
      <c r="G12" s="12">
        <f>'MCH2'!G12/'MCH2'!G3</f>
        <v>30.746178343949047</v>
      </c>
      <c r="H12" s="12">
        <f>'MCH2'!H12/'MCH2'!H3</f>
        <v>98.608276643990934</v>
      </c>
      <c r="I12" s="12">
        <f>'MCH2'!I12/'MCH2'!I3</f>
        <v>131.97289744981009</v>
      </c>
      <c r="J12" s="12">
        <f>'MCH2'!J12/'MCH2'!J3</f>
        <v>161.73816782372472</v>
      </c>
      <c r="K12" s="12">
        <f>'MCH2'!K12/'MCH2'!K3</f>
        <v>73.572437829691026</v>
      </c>
      <c r="L12" s="12">
        <f>'MCH2'!L12/'MCH2'!L3</f>
        <v>320.95837290281736</v>
      </c>
      <c r="M12" s="12">
        <f>'MCH2'!M12/'MCH2'!M3</f>
        <v>133.50466911764707</v>
      </c>
      <c r="N12" s="12">
        <f>'MCH2'!N12/'MCH2'!N3</f>
        <v>44.787410714285713</v>
      </c>
      <c r="O12" s="12">
        <f>'MCH2'!O12/'MCH2'!O3</f>
        <v>78.495709796420272</v>
      </c>
      <c r="P12" s="12">
        <f>'MCH2'!P12/'MCH2'!P3</f>
        <v>44.757375478927202</v>
      </c>
      <c r="Q12" s="12">
        <f>'MCH2'!Q12/'MCH2'!Q3</f>
        <v>73.519811320754727</v>
      </c>
      <c r="R12" s="12">
        <f>'MCH2'!R12/'MCH2'!R3</f>
        <v>91.331058823529403</v>
      </c>
      <c r="S12" s="12">
        <f>'MCH2'!S12/'MCH2'!S3</f>
        <v>70.449857142857141</v>
      </c>
      <c r="T12" s="12">
        <f>'MCH2'!T12/'MCH2'!T3</f>
        <v>55.244065484311051</v>
      </c>
      <c r="U12" s="12">
        <f>'MCH2'!U12/'MCH2'!U3</f>
        <v>45.036851851851857</v>
      </c>
      <c r="V12" s="12">
        <f>'MCH2'!V12/'MCH2'!V3</f>
        <v>92.224340527577951</v>
      </c>
      <c r="W12" s="12">
        <f>'MCH2'!W12/'MCH2'!W3</f>
        <v>113.54429223744292</v>
      </c>
      <c r="X12" s="12">
        <f>'MCH2'!X12/'MCH2'!X3</f>
        <v>30.301785714285717</v>
      </c>
      <c r="Y12" s="12">
        <f>'MCH2'!Y12/'MCH2'!Y3</f>
        <v>164.22627186009538</v>
      </c>
      <c r="Z12" s="12">
        <f>'MCH2'!Z12/'MCH2'!Z3</f>
        <v>179.36827427821521</v>
      </c>
      <c r="AA12" s="12">
        <f>'MCH2'!AA12/'MCH2'!AA3</f>
        <v>111.90574712643678</v>
      </c>
      <c r="AB12" s="12">
        <f>'MCH2'!AB12/'MCH2'!AB3</f>
        <v>42.967948717948715</v>
      </c>
      <c r="AC12" s="12">
        <f>'MCH2'!AC12/'MCH2'!AC3</f>
        <v>118.03754901960785</v>
      </c>
      <c r="AD12" s="12">
        <f>'MCH2'!AD12/'MCH2'!AD3</f>
        <v>111.99695035460994</v>
      </c>
      <c r="AE12" s="12">
        <f>'MCH2'!AE12/'MCH2'!AE3</f>
        <v>161.25506352087112</v>
      </c>
      <c r="AF12" s="12">
        <f>'MCH2'!AF12/'MCH2'!AF3</f>
        <v>107.52632093933464</v>
      </c>
      <c r="AG12" s="12">
        <f>'MCH2'!AG12/'MCH2'!AG3</f>
        <v>97.660515247108307</v>
      </c>
      <c r="AH12" s="12">
        <f>'MCH2'!AH12/'MCH2'!AH3</f>
        <v>111.81273786407766</v>
      </c>
      <c r="AI12" s="12">
        <f>'MCH2'!AI12/'MCH2'!AI3</f>
        <v>57.696491228070172</v>
      </c>
      <c r="AJ12" s="12">
        <f>'MCH2'!AJ12/'MCH2'!AJ3</f>
        <v>66.705084745762704</v>
      </c>
      <c r="AK12" s="12">
        <f>'MCH2'!AK12/'MCH2'!AK3</f>
        <v>52.812938363443145</v>
      </c>
      <c r="AL12" s="12">
        <f>'MCH2'!AL12/'MCH2'!AL3</f>
        <v>98.478994614003597</v>
      </c>
      <c r="AM12" s="12">
        <f>'MCH2'!AM12/'MCH2'!AM3</f>
        <v>54.398603122432213</v>
      </c>
      <c r="AN12" s="12">
        <f>'MCH2'!AN12/'MCH2'!AN3</f>
        <v>95.919658119658123</v>
      </c>
      <c r="AO12" s="12">
        <f>'MCH2'!AO12/'MCH2'!AO3</f>
        <v>168.39821576763487</v>
      </c>
      <c r="AP12" s="12">
        <f>'MCH2'!AP12/'MCH2'!AP3</f>
        <v>210.17887999999999</v>
      </c>
      <c r="AQ12" s="12">
        <f>'MCH2'!AQ12/'MCH2'!AQ3</f>
        <v>51.645087163232965</v>
      </c>
      <c r="AR12" s="12">
        <f>'MCH2'!AR12/'MCH2'!AR3</f>
        <v>138.55682352941179</v>
      </c>
      <c r="AS12" s="12">
        <f>'MCH2'!AS12/'MCH2'!AS3</f>
        <v>95.058495821727021</v>
      </c>
      <c r="AT12" s="12">
        <f>'MCH2'!AT12/'MCH2'!AT3</f>
        <v>67.230255402750487</v>
      </c>
      <c r="AU12" s="12">
        <f>'MCH2'!AU12/'MCH2'!AU3</f>
        <v>56.087030716723547</v>
      </c>
      <c r="AV12" s="12">
        <f>'MCH2'!AV12/'MCH2'!AV3</f>
        <v>72.234981519507187</v>
      </c>
      <c r="AW12" s="12">
        <f>'MCH2'!AW12/'MCH2'!AW3</f>
        <v>84.930725190839695</v>
      </c>
      <c r="AX12" s="12">
        <f>'MCH2'!AX12/'MCH2'!AX3</f>
        <v>53.536141304347822</v>
      </c>
      <c r="AY12" s="12">
        <f>'MCH2'!AY12/'MCH2'!AY3</f>
        <v>61.170720720720716</v>
      </c>
      <c r="AZ12" s="12">
        <f>'MCH2'!AZ12/'MCH2'!AZ3</f>
        <v>85.529928315412192</v>
      </c>
      <c r="BA12" s="12">
        <f>'MCH2'!BA12/'MCH2'!BA3</f>
        <v>53.888388746803074</v>
      </c>
      <c r="BB12" s="12">
        <f>'MCH2'!BB12/'MCH2'!BB3</f>
        <v>193.64396387832701</v>
      </c>
      <c r="BC12" s="12">
        <f>'MCH2'!BC12/'MCH2'!BC3</f>
        <v>65.198602150537639</v>
      </c>
      <c r="BD12" s="12">
        <f>'MCH2'!BD12/'MCH2'!BD3</f>
        <v>297.11995963359726</v>
      </c>
      <c r="BE12" s="12">
        <f>'MCH2'!BE12/'MCH2'!BE3</f>
        <v>91.270695970695982</v>
      </c>
      <c r="BF12" s="12">
        <f t="shared" si="2"/>
        <v>5258.2504864848652</v>
      </c>
      <c r="BG12" s="12">
        <f t="shared" si="3"/>
        <v>1749.5006558166374</v>
      </c>
      <c r="BH12" s="12">
        <f t="shared" si="4"/>
        <v>1361.4607406164241</v>
      </c>
      <c r="BI12" s="12">
        <f t="shared" si="5"/>
        <v>2147.2890900518064</v>
      </c>
    </row>
    <row r="13" spans="1:61" x14ac:dyDescent="0.25">
      <c r="C13" s="7">
        <v>306</v>
      </c>
      <c r="D13" s="7" t="s">
        <v>85</v>
      </c>
      <c r="E13" s="12">
        <f>'MCH2'!E13/'MCH2'!E3</f>
        <v>0</v>
      </c>
      <c r="F13" s="12">
        <f>'MCH2'!F13/'MCH2'!F3</f>
        <v>0</v>
      </c>
      <c r="G13" s="12">
        <f>'MCH2'!G13/'MCH2'!G3</f>
        <v>0</v>
      </c>
      <c r="H13" s="12">
        <f>'MCH2'!H13/'MCH2'!H3</f>
        <v>0</v>
      </c>
      <c r="I13" s="12">
        <f>'MCH2'!I13/'MCH2'!I3</f>
        <v>0.8219614758545849</v>
      </c>
      <c r="J13" s="12">
        <f>'MCH2'!J13/'MCH2'!J3</f>
        <v>0</v>
      </c>
      <c r="K13" s="12">
        <f>'MCH2'!K13/'MCH2'!K3</f>
        <v>0</v>
      </c>
      <c r="L13" s="12">
        <f>'MCH2'!L13/'MCH2'!L3</f>
        <v>3.5674501424501428</v>
      </c>
      <c r="M13" s="12">
        <f>'MCH2'!M13/'MCH2'!M3</f>
        <v>0</v>
      </c>
      <c r="N13" s="12">
        <f>'MCH2'!N13/'MCH2'!N3</f>
        <v>0</v>
      </c>
      <c r="O13" s="12">
        <f>'MCH2'!O13/'MCH2'!O3</f>
        <v>0</v>
      </c>
      <c r="P13" s="12">
        <f>'MCH2'!P13/'MCH2'!P3</f>
        <v>0</v>
      </c>
      <c r="Q13" s="12">
        <f>'MCH2'!Q13/'MCH2'!Q3</f>
        <v>0</v>
      </c>
      <c r="R13" s="12">
        <f>'MCH2'!R13/'MCH2'!R3</f>
        <v>0</v>
      </c>
      <c r="S13" s="12">
        <f>'MCH2'!S13/'MCH2'!S3</f>
        <v>0</v>
      </c>
      <c r="T13" s="12">
        <f>'MCH2'!T13/'MCH2'!T3</f>
        <v>0</v>
      </c>
      <c r="U13" s="12">
        <f>'MCH2'!U13/'MCH2'!U3</f>
        <v>0</v>
      </c>
      <c r="V13" s="12">
        <f>'MCH2'!V13/'MCH2'!V3</f>
        <v>0</v>
      </c>
      <c r="W13" s="12">
        <f>'MCH2'!W13/'MCH2'!W3</f>
        <v>0</v>
      </c>
      <c r="X13" s="12">
        <f>'MCH2'!X13/'MCH2'!X3</f>
        <v>0</v>
      </c>
      <c r="Y13" s="12">
        <f>'MCH2'!Y13/'MCH2'!Y3</f>
        <v>0</v>
      </c>
      <c r="Z13" s="12">
        <f>'MCH2'!Z13/'MCH2'!Z3</f>
        <v>0.32808398950131235</v>
      </c>
      <c r="AA13" s="12">
        <f>'MCH2'!AA13/'MCH2'!AA3</f>
        <v>0</v>
      </c>
      <c r="AB13" s="12">
        <f>'MCH2'!AB13/'MCH2'!AB3</f>
        <v>0</v>
      </c>
      <c r="AC13" s="12">
        <f>'MCH2'!AC13/'MCH2'!AC3</f>
        <v>0</v>
      </c>
      <c r="AD13" s="12">
        <f>'MCH2'!AD13/'MCH2'!AD3</f>
        <v>0</v>
      </c>
      <c r="AE13" s="12">
        <f>'MCH2'!AE13/'MCH2'!AE3</f>
        <v>0</v>
      </c>
      <c r="AF13" s="12">
        <f>'MCH2'!AF13/'MCH2'!AF3</f>
        <v>0</v>
      </c>
      <c r="AG13" s="12">
        <f>'MCH2'!AG13/'MCH2'!AG3</f>
        <v>0</v>
      </c>
      <c r="AH13" s="12">
        <f>'MCH2'!AH13/'MCH2'!AH3</f>
        <v>0</v>
      </c>
      <c r="AI13" s="12">
        <f>'MCH2'!AI13/'MCH2'!AI3</f>
        <v>0</v>
      </c>
      <c r="AJ13" s="12">
        <f>'MCH2'!AJ13/'MCH2'!AJ3</f>
        <v>0</v>
      </c>
      <c r="AK13" s="12">
        <f>'MCH2'!AK13/'MCH2'!AK3</f>
        <v>0</v>
      </c>
      <c r="AL13" s="12">
        <f>'MCH2'!AL13/'MCH2'!AL3</f>
        <v>0</v>
      </c>
      <c r="AM13" s="12">
        <f>'MCH2'!AM13/'MCH2'!AM3</f>
        <v>0</v>
      </c>
      <c r="AN13" s="12">
        <f>'MCH2'!AN13/'MCH2'!AN3</f>
        <v>0</v>
      </c>
      <c r="AO13" s="12">
        <f>'MCH2'!AO13/'MCH2'!AO3</f>
        <v>0</v>
      </c>
      <c r="AP13" s="12">
        <f>'MCH2'!AP13/'MCH2'!AP3</f>
        <v>12.13</v>
      </c>
      <c r="AQ13" s="12">
        <f>'MCH2'!AQ13/'MCH2'!AQ3</f>
        <v>0</v>
      </c>
      <c r="AR13" s="12">
        <f>'MCH2'!AR13/'MCH2'!AR3</f>
        <v>0</v>
      </c>
      <c r="AS13" s="12">
        <f>'MCH2'!AS13/'MCH2'!AS3</f>
        <v>0</v>
      </c>
      <c r="AT13" s="12">
        <f>'MCH2'!AT13/'MCH2'!AT3</f>
        <v>0</v>
      </c>
      <c r="AU13" s="12">
        <f>'MCH2'!AU13/'MCH2'!AU3</f>
        <v>0</v>
      </c>
      <c r="AV13" s="12">
        <f>'MCH2'!AV13/'MCH2'!AV3</f>
        <v>0</v>
      </c>
      <c r="AW13" s="12">
        <f>'MCH2'!AW13/'MCH2'!AW3</f>
        <v>0</v>
      </c>
      <c r="AX13" s="12">
        <f>'MCH2'!AX13/'MCH2'!AX3</f>
        <v>0</v>
      </c>
      <c r="AY13" s="12">
        <f>'MCH2'!AY13/'MCH2'!AY3</f>
        <v>0</v>
      </c>
      <c r="AZ13" s="12">
        <f>'MCH2'!AZ13/'MCH2'!AZ3</f>
        <v>0</v>
      </c>
      <c r="BA13" s="12">
        <f>'MCH2'!BA13/'MCH2'!BA3</f>
        <v>0</v>
      </c>
      <c r="BB13" s="12">
        <f>'MCH2'!BB13/'MCH2'!BB3</f>
        <v>0</v>
      </c>
      <c r="BC13" s="12">
        <f>'MCH2'!BC13/'MCH2'!BC3</f>
        <v>0</v>
      </c>
      <c r="BD13" s="12">
        <f>'MCH2'!BD13/'MCH2'!BD3</f>
        <v>0</v>
      </c>
      <c r="BE13" s="12">
        <f>'MCH2'!BE13/'MCH2'!BE3</f>
        <v>0</v>
      </c>
      <c r="BF13" s="12">
        <f t="shared" si="2"/>
        <v>16.847495607806039</v>
      </c>
      <c r="BG13" s="12">
        <f t="shared" si="3"/>
        <v>4.3894116183047274</v>
      </c>
      <c r="BH13" s="12">
        <f t="shared" si="4"/>
        <v>0.32808398950131235</v>
      </c>
      <c r="BI13" s="12">
        <f t="shared" si="5"/>
        <v>12.13</v>
      </c>
    </row>
    <row r="14" spans="1:61" x14ac:dyDescent="0.25">
      <c r="C14" s="7">
        <v>309</v>
      </c>
      <c r="D14" s="7" t="s">
        <v>86</v>
      </c>
      <c r="E14" s="12">
        <f>'MCH2'!E14/'MCH2'!E3</f>
        <v>0.95373291272344896</v>
      </c>
      <c r="F14" s="12">
        <f>'MCH2'!F14/'MCH2'!F3</f>
        <v>2.2385658914728679</v>
      </c>
      <c r="G14" s="12">
        <f>'MCH2'!G14/'MCH2'!G3</f>
        <v>5.877813163481953</v>
      </c>
      <c r="H14" s="12">
        <f>'MCH2'!H14/'MCH2'!H3</f>
        <v>6.073469387755102</v>
      </c>
      <c r="I14" s="12">
        <f>'MCH2'!I14/'MCH2'!I3</f>
        <v>8.463917525773196</v>
      </c>
      <c r="J14" s="12">
        <f>'MCH2'!J14/'MCH2'!J3</f>
        <v>10.710410504074856</v>
      </c>
      <c r="K14" s="12">
        <f>'MCH2'!K14/'MCH2'!K3</f>
        <v>7.1520535041446873</v>
      </c>
      <c r="L14" s="12">
        <f>'MCH2'!L14/'MCH2'!L3</f>
        <v>18.775697214308323</v>
      </c>
      <c r="M14" s="12">
        <f>'MCH2'!M14/'MCH2'!M3</f>
        <v>18.606301470588235</v>
      </c>
      <c r="N14" s="12">
        <f>'MCH2'!N14/'MCH2'!N3</f>
        <v>34.160267857142856</v>
      </c>
      <c r="O14" s="12">
        <f>'MCH2'!O14/'MCH2'!O3</f>
        <v>3.2189028555813639</v>
      </c>
      <c r="P14" s="12">
        <f>'MCH2'!P14/'MCH2'!P3</f>
        <v>16.059674329501917</v>
      </c>
      <c r="Q14" s="12">
        <f>'MCH2'!Q14/'MCH2'!Q3</f>
        <v>85.534716981132078</v>
      </c>
      <c r="R14" s="12">
        <f>'MCH2'!R14/'MCH2'!R3</f>
        <v>5.0827058823529416</v>
      </c>
      <c r="S14" s="12">
        <f>'MCH2'!S14/'MCH2'!S3</f>
        <v>22.292571428571428</v>
      </c>
      <c r="T14" s="12">
        <f>'MCH2'!T14/'MCH2'!T3</f>
        <v>10.274693042291952</v>
      </c>
      <c r="U14" s="12">
        <f>'MCH2'!U14/'MCH2'!U3</f>
        <v>26.851851851851851</v>
      </c>
      <c r="V14" s="12">
        <f>'MCH2'!V14/'MCH2'!V3</f>
        <v>33.759112709832131</v>
      </c>
      <c r="W14" s="12">
        <f>'MCH2'!W14/'MCH2'!W3</f>
        <v>7.0886301369863016</v>
      </c>
      <c r="X14" s="12">
        <f>'MCH2'!X14/'MCH2'!X3</f>
        <v>5.7087662337662337</v>
      </c>
      <c r="Y14" s="12">
        <f>'MCH2'!Y14/'MCH2'!Y3</f>
        <v>6.8707472178060414</v>
      </c>
      <c r="Z14" s="12">
        <f>'MCH2'!Z14/'MCH2'!Z3</f>
        <v>39.989363517060369</v>
      </c>
      <c r="AA14" s="12">
        <f>'MCH2'!AA14/'MCH2'!AA3</f>
        <v>8.4057471264367809</v>
      </c>
      <c r="AB14" s="12">
        <f>'MCH2'!AB14/'MCH2'!AB3</f>
        <v>0</v>
      </c>
      <c r="AC14" s="12">
        <f>'MCH2'!AC14/'MCH2'!AC3</f>
        <v>16.437647058823529</v>
      </c>
      <c r="AD14" s="12">
        <f>'MCH2'!AD14/'MCH2'!AD3</f>
        <v>16.998794326241136</v>
      </c>
      <c r="AE14" s="12">
        <f>'MCH2'!AE14/'MCH2'!AE3</f>
        <v>17.078675136116154</v>
      </c>
      <c r="AF14" s="12">
        <f>'MCH2'!AF14/'MCH2'!AF3</f>
        <v>6.8044031311154605</v>
      </c>
      <c r="AG14" s="12">
        <f>'MCH2'!AG14/'MCH2'!AG3</f>
        <v>20.24043112513144</v>
      </c>
      <c r="AH14" s="12">
        <f>'MCH2'!AH14/'MCH2'!AH3</f>
        <v>7.5959611650485428</v>
      </c>
      <c r="AI14" s="12">
        <f>'MCH2'!AI14/'MCH2'!AI3</f>
        <v>1.0539473684210527</v>
      </c>
      <c r="AJ14" s="12">
        <f>'MCH2'!AJ14/'MCH2'!AJ3</f>
        <v>0</v>
      </c>
      <c r="AK14" s="12">
        <f>'MCH2'!AK14/'MCH2'!AK3</f>
        <v>1.46086609989373</v>
      </c>
      <c r="AL14" s="12">
        <f>'MCH2'!AL14/'MCH2'!AL3</f>
        <v>2.838375224416517</v>
      </c>
      <c r="AM14" s="12">
        <f>'MCH2'!AM14/'MCH2'!AM3</f>
        <v>7.8908792111750214</v>
      </c>
      <c r="AN14" s="12">
        <f>'MCH2'!AN14/'MCH2'!AN3</f>
        <v>10.941623931623932</v>
      </c>
      <c r="AO14" s="12">
        <f>'MCH2'!AO14/'MCH2'!AO3</f>
        <v>31.319842323651454</v>
      </c>
      <c r="AP14" s="12">
        <f>'MCH2'!AP14/'MCH2'!AP3</f>
        <v>0</v>
      </c>
      <c r="AQ14" s="12">
        <f>'MCH2'!AQ14/'MCH2'!AQ3</f>
        <v>14.03608557844691</v>
      </c>
      <c r="AR14" s="12">
        <f>'MCH2'!AR14/'MCH2'!AR3</f>
        <v>7.469607843137255</v>
      </c>
      <c r="AS14" s="12">
        <f>'MCH2'!AS14/'MCH2'!AS3</f>
        <v>6.5967966573816152</v>
      </c>
      <c r="AT14" s="12">
        <f>'MCH2'!AT14/'MCH2'!AT3</f>
        <v>8.4920432220039288</v>
      </c>
      <c r="AU14" s="12">
        <f>'MCH2'!AU14/'MCH2'!AU3</f>
        <v>28.275597269624573</v>
      </c>
      <c r="AV14" s="12">
        <f>'MCH2'!AV14/'MCH2'!AV3</f>
        <v>3.120513347022587</v>
      </c>
      <c r="AW14" s="12">
        <f>'MCH2'!AW14/'MCH2'!AW3</f>
        <v>12.313231552162851</v>
      </c>
      <c r="AX14" s="12">
        <f>'MCH2'!AX14/'MCH2'!AX3</f>
        <v>5.4989130434782609</v>
      </c>
      <c r="AY14" s="12">
        <f>'MCH2'!AY14/'MCH2'!AY3</f>
        <v>0.73093093093093098</v>
      </c>
      <c r="AZ14" s="12">
        <f>'MCH2'!AZ14/'MCH2'!AZ3</f>
        <v>3.0132019115890087</v>
      </c>
      <c r="BA14" s="12">
        <f>'MCH2'!BA14/'MCH2'!BA3</f>
        <v>15.162915601023018</v>
      </c>
      <c r="BB14" s="12">
        <f>'MCH2'!BB14/'MCH2'!BB3</f>
        <v>20.989353612167299</v>
      </c>
      <c r="BC14" s="12">
        <f>'MCH2'!BC14/'MCH2'!BC3</f>
        <v>4.2553763440860219</v>
      </c>
      <c r="BD14" s="12">
        <f>'MCH2'!BD14/'MCH2'!BD3</f>
        <v>12.107852817885421</v>
      </c>
      <c r="BE14" s="12">
        <f>'MCH2'!BE14/'MCH2'!BE3</f>
        <v>0</v>
      </c>
      <c r="BF14" s="12">
        <f t="shared" si="2"/>
        <v>666.87357857723441</v>
      </c>
      <c r="BG14" s="12">
        <f t="shared" si="3"/>
        <v>323.1750886495675</v>
      </c>
      <c r="BH14" s="12">
        <f t="shared" si="4"/>
        <v>147.18448340596677</v>
      </c>
      <c r="BI14" s="12">
        <f t="shared" si="5"/>
        <v>196.51400652170037</v>
      </c>
    </row>
    <row r="15" spans="1:61" x14ac:dyDescent="0.25">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row>
    <row r="16" spans="1:61" x14ac:dyDescent="0.25">
      <c r="B16" s="66">
        <v>31</v>
      </c>
      <c r="C16" s="66"/>
      <c r="D16" s="66" t="s">
        <v>87</v>
      </c>
      <c r="E16" s="67">
        <f>E17+E18+E19+E20+E21+E22+E23+E24+E25+E26</f>
        <v>613.97201892744476</v>
      </c>
      <c r="F16" s="67">
        <f t="shared" ref="F16:BI16" si="6">F17+F18+F19+F20+F21+F22+F23+F24+F25+F26</f>
        <v>889.01794573643417</v>
      </c>
      <c r="G16" s="67">
        <f t="shared" si="6"/>
        <v>602.2402760084924</v>
      </c>
      <c r="H16" s="67">
        <f t="shared" si="6"/>
        <v>949.14385487528352</v>
      </c>
      <c r="I16" s="67">
        <f t="shared" si="6"/>
        <v>1077.0088008681496</v>
      </c>
      <c r="J16" s="67">
        <f t="shared" si="6"/>
        <v>934.24418653788098</v>
      </c>
      <c r="K16" s="67">
        <f t="shared" si="6"/>
        <v>718.88628108515445</v>
      </c>
      <c r="L16" s="67">
        <f t="shared" si="6"/>
        <v>2291.0393043684708</v>
      </c>
      <c r="M16" s="67">
        <f t="shared" si="6"/>
        <v>1633.4462205882355</v>
      </c>
      <c r="N16" s="67">
        <f t="shared" si="6"/>
        <v>861.69312500000001</v>
      </c>
      <c r="O16" s="67">
        <f t="shared" si="6"/>
        <v>562.11559502664295</v>
      </c>
      <c r="P16" s="67">
        <f t="shared" si="6"/>
        <v>861.62475095785442</v>
      </c>
      <c r="Q16" s="67">
        <f t="shared" si="6"/>
        <v>544.77924528301889</v>
      </c>
      <c r="R16" s="67">
        <f t="shared" si="6"/>
        <v>667.28661176470598</v>
      </c>
      <c r="S16" s="67">
        <f t="shared" si="6"/>
        <v>1105.0827714285715</v>
      </c>
      <c r="T16" s="67">
        <f t="shared" si="6"/>
        <v>1007.3311459754434</v>
      </c>
      <c r="U16" s="67">
        <f t="shared" si="6"/>
        <v>839.4491481481482</v>
      </c>
      <c r="V16" s="67">
        <f t="shared" si="6"/>
        <v>1318.4917745803359</v>
      </c>
      <c r="W16" s="67">
        <f t="shared" si="6"/>
        <v>542.032709284627</v>
      </c>
      <c r="X16" s="67">
        <f t="shared" si="6"/>
        <v>1723.4860064935065</v>
      </c>
      <c r="Y16" s="67">
        <f t="shared" si="6"/>
        <v>996.44262321144686</v>
      </c>
      <c r="Z16" s="67">
        <f t="shared" si="6"/>
        <v>1735.8442060367454</v>
      </c>
      <c r="AA16" s="67">
        <f t="shared" si="6"/>
        <v>1423.80908045977</v>
      </c>
      <c r="AB16" s="67">
        <f t="shared" si="6"/>
        <v>1622.2683974358974</v>
      </c>
      <c r="AC16" s="67">
        <f t="shared" si="6"/>
        <v>1425.2731372549019</v>
      </c>
      <c r="AD16" s="67">
        <f t="shared" si="6"/>
        <v>1198.0315744680852</v>
      </c>
      <c r="AE16" s="67">
        <f t="shared" si="6"/>
        <v>1744.815154264973</v>
      </c>
      <c r="AF16" s="67">
        <f t="shared" si="6"/>
        <v>1972.6300195694719</v>
      </c>
      <c r="AG16" s="67">
        <f t="shared" si="6"/>
        <v>1011.7462881177709</v>
      </c>
      <c r="AH16" s="67">
        <f t="shared" si="6"/>
        <v>1083.3240970873787</v>
      </c>
      <c r="AI16" s="67">
        <f t="shared" si="6"/>
        <v>1397.5672807017543</v>
      </c>
      <c r="AJ16" s="67">
        <f t="shared" si="6"/>
        <v>1610.8544915254238</v>
      </c>
      <c r="AK16" s="67">
        <f t="shared" si="6"/>
        <v>668.16829968119021</v>
      </c>
      <c r="AL16" s="67">
        <f t="shared" si="6"/>
        <v>1168.8882226211852</v>
      </c>
      <c r="AM16" s="67">
        <f t="shared" si="6"/>
        <v>984.51783894823336</v>
      </c>
      <c r="AN16" s="67">
        <f t="shared" si="6"/>
        <v>1708.3303418803418</v>
      </c>
      <c r="AO16" s="67">
        <f t="shared" si="6"/>
        <v>1595.438124481328</v>
      </c>
      <c r="AP16" s="67">
        <f t="shared" si="6"/>
        <v>1021.11224</v>
      </c>
      <c r="AQ16" s="67">
        <f t="shared" si="6"/>
        <v>760.81290015847856</v>
      </c>
      <c r="AR16" s="67">
        <f t="shared" si="6"/>
        <v>1178.2963215686275</v>
      </c>
      <c r="AS16" s="67">
        <f t="shared" si="6"/>
        <v>811.69750696378833</v>
      </c>
      <c r="AT16" s="67">
        <f t="shared" si="6"/>
        <v>796.64755402750495</v>
      </c>
      <c r="AU16" s="67">
        <f t="shared" si="6"/>
        <v>1302.418156996587</v>
      </c>
      <c r="AV16" s="67">
        <f t="shared" si="6"/>
        <v>644.34706365503075</v>
      </c>
      <c r="AW16" s="67">
        <f t="shared" si="6"/>
        <v>745.41689567430035</v>
      </c>
      <c r="AX16" s="67">
        <f t="shared" si="6"/>
        <v>940.09657608695659</v>
      </c>
      <c r="AY16" s="67">
        <f t="shared" si="6"/>
        <v>978.94252252252261</v>
      </c>
      <c r="AZ16" s="67">
        <f t="shared" si="6"/>
        <v>730.61005376344099</v>
      </c>
      <c r="BA16" s="67">
        <f t="shared" si="6"/>
        <v>763.55023017902806</v>
      </c>
      <c r="BB16" s="67">
        <f t="shared" si="6"/>
        <v>993.11939163498107</v>
      </c>
      <c r="BC16" s="67">
        <f t="shared" si="6"/>
        <v>718.53247311827965</v>
      </c>
      <c r="BD16" s="67">
        <f t="shared" si="6"/>
        <v>1070.144134451172</v>
      </c>
      <c r="BE16" s="67">
        <f t="shared" si="6"/>
        <v>1028.1229487179489</v>
      </c>
      <c r="BF16" s="67">
        <f t="shared" si="6"/>
        <v>57574.187920202945</v>
      </c>
      <c r="BG16" s="67">
        <f t="shared" si="6"/>
        <v>18018.885766444899</v>
      </c>
      <c r="BH16" s="67">
        <f t="shared" si="6"/>
        <v>18946.092356627127</v>
      </c>
      <c r="BI16" s="67">
        <f t="shared" si="6"/>
        <v>20609.209797130923</v>
      </c>
    </row>
    <row r="17" spans="2:61" x14ac:dyDescent="0.25">
      <c r="C17" s="7">
        <v>310</v>
      </c>
      <c r="D17" s="7" t="s">
        <v>88</v>
      </c>
      <c r="E17" s="12">
        <f>'MCH2'!E17/'MCH2'!E3</f>
        <v>75.205099894847535</v>
      </c>
      <c r="F17" s="12">
        <f>'MCH2'!F17/'MCH2'!F3</f>
        <v>49.559883720930237</v>
      </c>
      <c r="G17" s="12">
        <f>'MCH2'!G17/'MCH2'!G3</f>
        <v>59.009660297239911</v>
      </c>
      <c r="H17" s="12">
        <f>'MCH2'!H17/'MCH2'!H3</f>
        <v>78.922018140589572</v>
      </c>
      <c r="I17" s="12">
        <f>'MCH2'!I17/'MCH2'!I3</f>
        <v>94.970973955507333</v>
      </c>
      <c r="J17" s="12">
        <f>'MCH2'!J17/'MCH2'!J3</f>
        <v>80.508765469363112</v>
      </c>
      <c r="K17" s="12">
        <f>'MCH2'!K17/'MCH2'!K3</f>
        <v>74.952995478522979</v>
      </c>
      <c r="L17" s="12">
        <f>'MCH2'!L17/'MCH2'!L3</f>
        <v>174.83951329534662</v>
      </c>
      <c r="M17" s="12">
        <f>'MCH2'!M17/'MCH2'!M3</f>
        <v>150.76705882352942</v>
      </c>
      <c r="N17" s="12">
        <f>'MCH2'!N17/'MCH2'!N3</f>
        <v>48.628125000000004</v>
      </c>
      <c r="O17" s="12">
        <f>'MCH2'!O17/'MCH2'!O3</f>
        <v>94.266716764585325</v>
      </c>
      <c r="P17" s="12">
        <f>'MCH2'!P17/'MCH2'!P3</f>
        <v>144.70235632183909</v>
      </c>
      <c r="Q17" s="12">
        <f>'MCH2'!Q17/'MCH2'!Q3</f>
        <v>70.026792452830193</v>
      </c>
      <c r="R17" s="12">
        <f>'MCH2'!R17/'MCH2'!R3</f>
        <v>80.813411764705876</v>
      </c>
      <c r="S17" s="12">
        <f>'MCH2'!S17/'MCH2'!S3</f>
        <v>68.110571428571433</v>
      </c>
      <c r="T17" s="12">
        <f>'MCH2'!T17/'MCH2'!T3</f>
        <v>86.565770804911324</v>
      </c>
      <c r="U17" s="12">
        <f>'MCH2'!U17/'MCH2'!U3</f>
        <v>87.918370370370369</v>
      </c>
      <c r="V17" s="12">
        <f>'MCH2'!V17/'MCH2'!V3</f>
        <v>134.92661870503596</v>
      </c>
      <c r="W17" s="12">
        <f>'MCH2'!W17/'MCH2'!W3</f>
        <v>78.219044140030434</v>
      </c>
      <c r="X17" s="12">
        <f>'MCH2'!X17/'MCH2'!X3</f>
        <v>285.37477272727273</v>
      </c>
      <c r="Y17" s="12">
        <f>'MCH2'!Y17/'MCH2'!Y3</f>
        <v>101.75429252782193</v>
      </c>
      <c r="Z17" s="12">
        <f>'MCH2'!Z17/'MCH2'!Z3</f>
        <v>217.19906824146983</v>
      </c>
      <c r="AA17" s="12">
        <f>'MCH2'!AA17/'MCH2'!AA3</f>
        <v>25.618390804597702</v>
      </c>
      <c r="AB17" s="12">
        <f>'MCH2'!AB17/'MCH2'!AB3</f>
        <v>268.94967948717948</v>
      </c>
      <c r="AC17" s="12">
        <f>'MCH2'!AC17/'MCH2'!AC3</f>
        <v>169.28764705882352</v>
      </c>
      <c r="AD17" s="12">
        <f>'MCH2'!AD17/'MCH2'!AD3</f>
        <v>97.333191489361695</v>
      </c>
      <c r="AE17" s="12">
        <f>'MCH2'!AE17/'MCH2'!AE3</f>
        <v>161.62477313974591</v>
      </c>
      <c r="AF17" s="12">
        <f>'MCH2'!AF17/'MCH2'!AF3</f>
        <v>185.65518590998045</v>
      </c>
      <c r="AG17" s="12">
        <f>'MCH2'!AG17/'MCH2'!AG3</f>
        <v>133.02913249211358</v>
      </c>
      <c r="AH17" s="12">
        <f>'MCH2'!AH17/'MCH2'!AH3</f>
        <v>160.87945631067961</v>
      </c>
      <c r="AI17" s="12">
        <f>'MCH2'!AI17/'MCH2'!AI3</f>
        <v>57.276315789473685</v>
      </c>
      <c r="AJ17" s="12">
        <f>'MCH2'!AJ17/'MCH2'!AJ3</f>
        <v>397.80237288135595</v>
      </c>
      <c r="AK17" s="12">
        <f>'MCH2'!AK17/'MCH2'!AK3</f>
        <v>131.70456960680127</v>
      </c>
      <c r="AL17" s="12">
        <f>'MCH2'!AL17/'MCH2'!AL3</f>
        <v>90.716391382405746</v>
      </c>
      <c r="AM17" s="12">
        <f>'MCH2'!AM17/'MCH2'!AM3</f>
        <v>61.252580115036977</v>
      </c>
      <c r="AN17" s="12">
        <f>'MCH2'!AN17/'MCH2'!AN3</f>
        <v>81.02051282051282</v>
      </c>
      <c r="AO17" s="12">
        <f>'MCH2'!AO17/'MCH2'!AO3</f>
        <v>177.01066390041495</v>
      </c>
      <c r="AP17" s="12">
        <f>'MCH2'!AP17/'MCH2'!AP3</f>
        <v>115.43569599999999</v>
      </c>
      <c r="AQ17" s="12">
        <f>'MCH2'!AQ17/'MCH2'!AQ3</f>
        <v>27.500396196513471</v>
      </c>
      <c r="AR17" s="12">
        <f>'MCH2'!AR17/'MCH2'!AR3</f>
        <v>89.094062745098029</v>
      </c>
      <c r="AS17" s="12">
        <f>'MCH2'!AS17/'MCH2'!AS3</f>
        <v>91.333621169916427</v>
      </c>
      <c r="AT17" s="12">
        <f>'MCH2'!AT17/'MCH2'!AT3</f>
        <v>98.497593320235765</v>
      </c>
      <c r="AU17" s="12">
        <f>'MCH2'!AU17/'MCH2'!AU3</f>
        <v>101.09706484641637</v>
      </c>
      <c r="AV17" s="12">
        <f>'MCH2'!AV17/'MCH2'!AV3</f>
        <v>98.899055441478438</v>
      </c>
      <c r="AW17" s="12">
        <f>'MCH2'!AW17/'MCH2'!AW3</f>
        <v>45.144770992366411</v>
      </c>
      <c r="AX17" s="12">
        <f>'MCH2'!AX17/'MCH2'!AX3</f>
        <v>69.565217391304344</v>
      </c>
      <c r="AY17" s="12">
        <f>'MCH2'!AY17/'MCH2'!AY3</f>
        <v>111.41765765765766</v>
      </c>
      <c r="AZ17" s="12">
        <f>'MCH2'!AZ17/'MCH2'!AZ3</f>
        <v>47.856009557945043</v>
      </c>
      <c r="BA17" s="12">
        <f>'MCH2'!BA17/'MCH2'!BA3</f>
        <v>36.079667519181584</v>
      </c>
      <c r="BB17" s="12">
        <f>'MCH2'!BB17/'MCH2'!BB3</f>
        <v>101.52130228136882</v>
      </c>
      <c r="BC17" s="12">
        <f>'MCH2'!BC17/'MCH2'!BC3</f>
        <v>134.69462365591397</v>
      </c>
      <c r="BD17" s="12">
        <f>'MCH2'!BD17/'MCH2'!BD3</f>
        <v>114.66374941779226</v>
      </c>
      <c r="BE17" s="12">
        <f>'MCH2'!BE17/'MCH2'!BE3</f>
        <v>94.742399267399264</v>
      </c>
      <c r="BF17" s="12">
        <f>SUM(E17:BE17)</f>
        <v>5913.9456309743919</v>
      </c>
      <c r="BG17" s="12">
        <f t="shared" ref="BG17:BG26" si="7">SUM(E17:W17)</f>
        <v>1732.913746828757</v>
      </c>
      <c r="BH17" s="12">
        <f t="shared" ref="BH17:BH26" si="8">SUM(X17:AJ17)</f>
        <v>2261.7842788598764</v>
      </c>
      <c r="BI17" s="12">
        <f t="shared" ref="BI17:BI26" si="9">SUM(AK17:BE17)</f>
        <v>1919.2476052857596</v>
      </c>
    </row>
    <row r="18" spans="2:61" x14ac:dyDescent="0.25">
      <c r="C18" s="7">
        <v>311</v>
      </c>
      <c r="D18" s="7" t="s">
        <v>89</v>
      </c>
      <c r="E18" s="12">
        <f>'MCH2'!E18/'MCH2'!E3</f>
        <v>24.490641430073605</v>
      </c>
      <c r="F18" s="12">
        <f>'MCH2'!F18/'MCH2'!F3</f>
        <v>51.768798449612405</v>
      </c>
      <c r="G18" s="12">
        <f>'MCH2'!G18/'MCH2'!G3</f>
        <v>13.662101910828026</v>
      </c>
      <c r="H18" s="12">
        <f>'MCH2'!H18/'MCH2'!H3</f>
        <v>22.402607709750566</v>
      </c>
      <c r="I18" s="12">
        <f>'MCH2'!I18/'MCH2'!I3</f>
        <v>30.539083016820403</v>
      </c>
      <c r="J18" s="12">
        <f>'MCH2'!J18/'MCH2'!J3</f>
        <v>41.140093570781772</v>
      </c>
      <c r="K18" s="12">
        <f>'MCH2'!K18/'MCH2'!K3</f>
        <v>12.805162019593068</v>
      </c>
      <c r="L18" s="12">
        <f>'MCH2'!L18/'MCH2'!L3</f>
        <v>51.17918170307059</v>
      </c>
      <c r="M18" s="12">
        <f>'MCH2'!M18/'MCH2'!M3</f>
        <v>60.249374999999993</v>
      </c>
      <c r="N18" s="12">
        <f>'MCH2'!N18/'MCH2'!N3</f>
        <v>86.014732142857142</v>
      </c>
      <c r="O18" s="12">
        <f>'MCH2'!O18/'MCH2'!O3</f>
        <v>19.889349637928678</v>
      </c>
      <c r="P18" s="12">
        <f>'MCH2'!P18/'MCH2'!P3</f>
        <v>126.88295019157087</v>
      </c>
      <c r="Q18" s="12">
        <f>'MCH2'!Q18/'MCH2'!Q3</f>
        <v>27.252358490566039</v>
      </c>
      <c r="R18" s="12">
        <f>'MCH2'!R18/'MCH2'!R3</f>
        <v>29.77729411764706</v>
      </c>
      <c r="S18" s="12">
        <f>'MCH2'!S18/'MCH2'!S3</f>
        <v>29.336571428571425</v>
      </c>
      <c r="T18" s="12">
        <f>'MCH2'!T18/'MCH2'!T3</f>
        <v>27.837858117326061</v>
      </c>
      <c r="U18" s="12">
        <f>'MCH2'!U18/'MCH2'!U3</f>
        <v>0.4807407407407408</v>
      </c>
      <c r="V18" s="12">
        <f>'MCH2'!V18/'MCH2'!V3</f>
        <v>39.767985611510788</v>
      </c>
      <c r="W18" s="12">
        <f>'MCH2'!W18/'MCH2'!W3</f>
        <v>17.788039573820395</v>
      </c>
      <c r="X18" s="12">
        <f>'MCH2'!X18/'MCH2'!X3</f>
        <v>14.9175</v>
      </c>
      <c r="Y18" s="12">
        <f>'MCH2'!Y18/'MCH2'!Y3</f>
        <v>29.350317965023844</v>
      </c>
      <c r="Z18" s="12">
        <f>'MCH2'!Z18/'MCH2'!Z3</f>
        <v>64.886620734908135</v>
      </c>
      <c r="AA18" s="12">
        <f>'MCH2'!AA18/'MCH2'!AA3</f>
        <v>0</v>
      </c>
      <c r="AB18" s="12">
        <f>'MCH2'!AB18/'MCH2'!AB3</f>
        <v>0</v>
      </c>
      <c r="AC18" s="12">
        <f>'MCH2'!AC18/'MCH2'!AC3</f>
        <v>13.66892156862745</v>
      </c>
      <c r="AD18" s="12">
        <f>'MCH2'!AD18/'MCH2'!AD3</f>
        <v>74.198425531914893</v>
      </c>
      <c r="AE18" s="12">
        <f>'MCH2'!AE18/'MCH2'!AE3</f>
        <v>29.448493647912887</v>
      </c>
      <c r="AF18" s="12">
        <f>'MCH2'!AF18/'MCH2'!AF3</f>
        <v>48.268493150684932</v>
      </c>
      <c r="AG18" s="12">
        <f>'MCH2'!AG18/'MCH2'!AG3</f>
        <v>56.086172450052572</v>
      </c>
      <c r="AH18" s="12">
        <f>'MCH2'!AH18/'MCH2'!AH3</f>
        <v>22.176959223300969</v>
      </c>
      <c r="AI18" s="12">
        <f>'MCH2'!AI18/'MCH2'!AI3</f>
        <v>14.785087719298245</v>
      </c>
      <c r="AJ18" s="12">
        <f>'MCH2'!AJ18/'MCH2'!AJ3</f>
        <v>12.711864406779661</v>
      </c>
      <c r="AK18" s="12">
        <f>'MCH2'!AK18/'MCH2'!AK3</f>
        <v>53.773475026567475</v>
      </c>
      <c r="AL18" s="12">
        <f>'MCH2'!AL18/'MCH2'!AL3</f>
        <v>7.2437881508078998</v>
      </c>
      <c r="AM18" s="12">
        <f>'MCH2'!AM18/'MCH2'!AM3</f>
        <v>28.822801972062447</v>
      </c>
      <c r="AN18" s="12">
        <f>'MCH2'!AN18/'MCH2'!AN3</f>
        <v>249.08162393162394</v>
      </c>
      <c r="AO18" s="12">
        <f>'MCH2'!AO18/'MCH2'!AO3</f>
        <v>40.376298755186724</v>
      </c>
      <c r="AP18" s="12">
        <f>'MCH2'!AP18/'MCH2'!AP3</f>
        <v>37.899887999999997</v>
      </c>
      <c r="AQ18" s="12">
        <f>'MCH2'!AQ18/'MCH2'!AQ3</f>
        <v>13.56862123613312</v>
      </c>
      <c r="AR18" s="12">
        <f>'MCH2'!AR18/'MCH2'!AR3</f>
        <v>37.631921568627448</v>
      </c>
      <c r="AS18" s="12">
        <f>'MCH2'!AS18/'MCH2'!AS3</f>
        <v>34.302214484679666</v>
      </c>
      <c r="AT18" s="12">
        <f>'MCH2'!AT18/'MCH2'!AT3</f>
        <v>46.651620825147347</v>
      </c>
      <c r="AU18" s="12">
        <f>'MCH2'!AU18/'MCH2'!AU3</f>
        <v>96.457167235494879</v>
      </c>
      <c r="AV18" s="12">
        <f>'MCH2'!AV18/'MCH2'!AV3</f>
        <v>58.105133470225873</v>
      </c>
      <c r="AW18" s="12">
        <f>'MCH2'!AW18/'MCH2'!AW3</f>
        <v>38.706933842239188</v>
      </c>
      <c r="AX18" s="12">
        <f>'MCH2'!AX18/'MCH2'!AX3</f>
        <v>4.1024456521739134</v>
      </c>
      <c r="AY18" s="12">
        <f>'MCH2'!AY18/'MCH2'!AY3</f>
        <v>9.0506006006005997</v>
      </c>
      <c r="AZ18" s="12">
        <f>'MCH2'!AZ18/'MCH2'!AZ3</f>
        <v>30.199880525686975</v>
      </c>
      <c r="BA18" s="12">
        <f>'MCH2'!BA18/'MCH2'!BA3</f>
        <v>17.294373401534529</v>
      </c>
      <c r="BB18" s="12">
        <f>'MCH2'!BB18/'MCH2'!BB3</f>
        <v>46.841045627376424</v>
      </c>
      <c r="BC18" s="12">
        <f>'MCH2'!BC18/'MCH2'!BC3</f>
        <v>0</v>
      </c>
      <c r="BD18" s="12">
        <f>'MCH2'!BD18/'MCH2'!BD3</f>
        <v>39.035424623505669</v>
      </c>
      <c r="BE18" s="12">
        <f>'MCH2'!BE18/'MCH2'!BE3</f>
        <v>41.352289377289374</v>
      </c>
      <c r="BF18" s="12">
        <f t="shared" ref="BF18:BF26" si="10">SUM(E18:BE18)</f>
        <v>2024.261329568536</v>
      </c>
      <c r="BG18" s="12">
        <f t="shared" si="7"/>
        <v>713.26492486306972</v>
      </c>
      <c r="BH18" s="12">
        <f t="shared" si="8"/>
        <v>380.49885639850362</v>
      </c>
      <c r="BI18" s="12">
        <f t="shared" si="9"/>
        <v>930.49754830696338</v>
      </c>
    </row>
    <row r="19" spans="2:61" x14ac:dyDescent="0.25">
      <c r="C19" s="7">
        <v>312</v>
      </c>
      <c r="D19" s="7" t="s">
        <v>90</v>
      </c>
      <c r="E19" s="12">
        <f>'MCH2'!E19/'MCH2'!E3</f>
        <v>114.69705573080967</v>
      </c>
      <c r="F19" s="12">
        <f>'MCH2'!F19/'MCH2'!F3</f>
        <v>190.66251937984495</v>
      </c>
      <c r="G19" s="12">
        <f>'MCH2'!G19/'MCH2'!G3</f>
        <v>38.446072186836517</v>
      </c>
      <c r="H19" s="12">
        <f>'MCH2'!H19/'MCH2'!H3</f>
        <v>370.42358276643989</v>
      </c>
      <c r="I19" s="12">
        <f>'MCH2'!I19/'MCH2'!I3</f>
        <v>474.03305751492132</v>
      </c>
      <c r="J19" s="12">
        <f>'MCH2'!J19/'MCH2'!J3</f>
        <v>455.03516450347115</v>
      </c>
      <c r="K19" s="12">
        <f>'MCH2'!K19/'MCH2'!K3</f>
        <v>208.43771665410699</v>
      </c>
      <c r="L19" s="12">
        <f>'MCH2'!L19/'MCH2'!L3</f>
        <v>1524.0033103830324</v>
      </c>
      <c r="M19" s="12">
        <f>'MCH2'!M19/'MCH2'!M3</f>
        <v>859.42867647058824</v>
      </c>
      <c r="N19" s="12">
        <f>'MCH2'!N19/'MCH2'!N3</f>
        <v>140.6649107142857</v>
      </c>
      <c r="O19" s="12">
        <f>'MCH2'!O19/'MCH2'!O3</f>
        <v>58.518212870610739</v>
      </c>
      <c r="P19" s="12">
        <f>'MCH2'!P19/'MCH2'!P3</f>
        <v>92.499425287356317</v>
      </c>
      <c r="Q19" s="12">
        <f>'MCH2'!Q19/'MCH2'!Q3</f>
        <v>98.45471698113208</v>
      </c>
      <c r="R19" s="12">
        <f>'MCH2'!R19/'MCH2'!R3</f>
        <v>88.358470588235292</v>
      </c>
      <c r="S19" s="12">
        <f>'MCH2'!S19/'MCH2'!S3</f>
        <v>188.398</v>
      </c>
      <c r="T19" s="12">
        <f>'MCH2'!T19/'MCH2'!T3</f>
        <v>476.88819918144611</v>
      </c>
      <c r="U19" s="12">
        <f>'MCH2'!U19/'MCH2'!U3</f>
        <v>260.15429629629631</v>
      </c>
      <c r="V19" s="12">
        <f>'MCH2'!V19/'MCH2'!V3</f>
        <v>138.31366906474821</v>
      </c>
      <c r="W19" s="12">
        <f>'MCH2'!W19/'MCH2'!W3</f>
        <v>63.506560121765595</v>
      </c>
      <c r="X19" s="12">
        <f>'MCH2'!X19/'MCH2'!X3</f>
        <v>441.20762987012989</v>
      </c>
      <c r="Y19" s="12">
        <f>'MCH2'!Y19/'MCH2'!Y3</f>
        <v>224.48263116057237</v>
      </c>
      <c r="Z19" s="12">
        <f>'MCH2'!Z19/'MCH2'!Z3</f>
        <v>270.34484908136483</v>
      </c>
      <c r="AA19" s="12">
        <f>'MCH2'!AA19/'MCH2'!AA3</f>
        <v>422.85632183908046</v>
      </c>
      <c r="AB19" s="12">
        <f>'MCH2'!AB19/'MCH2'!AB3</f>
        <v>256.60384615384612</v>
      </c>
      <c r="AC19" s="12">
        <f>'MCH2'!AC19/'MCH2'!AC3</f>
        <v>285.56</v>
      </c>
      <c r="AD19" s="12">
        <f>'MCH2'!AD19/'MCH2'!AD3</f>
        <v>274.89636879432624</v>
      </c>
      <c r="AE19" s="12">
        <f>'MCH2'!AE19/'MCH2'!AE3</f>
        <v>342.60453720508167</v>
      </c>
      <c r="AF19" s="12">
        <f>'MCH2'!AF19/'MCH2'!AF3</f>
        <v>267.2962818003914</v>
      </c>
      <c r="AG19" s="12">
        <f>'MCH2'!AG19/'MCH2'!AG3</f>
        <v>172.92005783385909</v>
      </c>
      <c r="AH19" s="12">
        <f>'MCH2'!AH19/'MCH2'!AH3</f>
        <v>237.94168932038835</v>
      </c>
      <c r="AI19" s="12">
        <f>'MCH2'!AI19/'MCH2'!AI3</f>
        <v>529.74298245614034</v>
      </c>
      <c r="AJ19" s="12">
        <f>'MCH2'!AJ19/'MCH2'!AJ3</f>
        <v>216.24957627118644</v>
      </c>
      <c r="AK19" s="12">
        <f>'MCH2'!AK19/'MCH2'!AK3</f>
        <v>68.837672688629112</v>
      </c>
      <c r="AL19" s="12">
        <f>'MCH2'!AL19/'MCH2'!AL3</f>
        <v>78.688689407540394</v>
      </c>
      <c r="AM19" s="12">
        <f>'MCH2'!AM19/'MCH2'!AM3</f>
        <v>198.91400986031223</v>
      </c>
      <c r="AN19" s="12">
        <f>'MCH2'!AN19/'MCH2'!AN3</f>
        <v>305.0508547008547</v>
      </c>
      <c r="AO19" s="12">
        <f>'MCH2'!AO19/'MCH2'!AO3</f>
        <v>305.13282157676349</v>
      </c>
      <c r="AP19" s="12">
        <f>'MCH2'!AP19/'MCH2'!AP3</f>
        <v>381.07296000000002</v>
      </c>
      <c r="AQ19" s="12">
        <f>'MCH2'!AQ19/'MCH2'!AQ3</f>
        <v>162.36204437400951</v>
      </c>
      <c r="AR19" s="12">
        <f>'MCH2'!AR19/'MCH2'!AR3</f>
        <v>124.07603921568628</v>
      </c>
      <c r="AS19" s="12">
        <f>'MCH2'!AS19/'MCH2'!AS3</f>
        <v>180.88809192200557</v>
      </c>
      <c r="AT19" s="12">
        <f>'MCH2'!AT19/'MCH2'!AT3</f>
        <v>171.84322200392927</v>
      </c>
      <c r="AU19" s="12">
        <f>'MCH2'!AU19/'MCH2'!AU3</f>
        <v>211.08412969283276</v>
      </c>
      <c r="AV19" s="12">
        <f>'MCH2'!AV19/'MCH2'!AV3</f>
        <v>126.62663244353182</v>
      </c>
      <c r="AW19" s="12">
        <f>'MCH2'!AW19/'MCH2'!AW3</f>
        <v>57.156488549618324</v>
      </c>
      <c r="AX19" s="12">
        <f>'MCH2'!AX19/'MCH2'!AX3</f>
        <v>227.99755434782611</v>
      </c>
      <c r="AY19" s="12">
        <f>'MCH2'!AY19/'MCH2'!AY3</f>
        <v>244.41636636636636</v>
      </c>
      <c r="AZ19" s="12">
        <f>'MCH2'!AZ19/'MCH2'!AZ3</f>
        <v>161.97390681003586</v>
      </c>
      <c r="BA19" s="12">
        <f>'MCH2'!BA19/'MCH2'!BA3</f>
        <v>168.34386189258311</v>
      </c>
      <c r="BB19" s="12">
        <f>'MCH2'!BB19/'MCH2'!BB3</f>
        <v>239.91711026615968</v>
      </c>
      <c r="BC19" s="12">
        <f>'MCH2'!BC19/'MCH2'!BC3</f>
        <v>162.99354838709678</v>
      </c>
      <c r="BD19" s="12">
        <f>'MCH2'!BD19/'MCH2'!BD3</f>
        <v>86.947557832634686</v>
      </c>
      <c r="BE19" s="12">
        <f>'MCH2'!BE19/'MCH2'!BE3</f>
        <v>80.170238095238091</v>
      </c>
      <c r="BF19" s="12">
        <f t="shared" si="10"/>
        <v>13528.124188915946</v>
      </c>
      <c r="BG19" s="12">
        <f t="shared" si="7"/>
        <v>5840.9236166959281</v>
      </c>
      <c r="BH19" s="12">
        <f t="shared" si="8"/>
        <v>3942.706771786367</v>
      </c>
      <c r="BI19" s="12">
        <f t="shared" si="9"/>
        <v>3744.4938004336536</v>
      </c>
    </row>
    <row r="20" spans="2:61" x14ac:dyDescent="0.25">
      <c r="C20" s="7">
        <v>313</v>
      </c>
      <c r="D20" s="7" t="s">
        <v>91</v>
      </c>
      <c r="E20" s="12">
        <f>'MCH2'!E20/'MCH2'!E3</f>
        <v>211.57951629863302</v>
      </c>
      <c r="F20" s="12">
        <f>'MCH2'!F20/'MCH2'!F3</f>
        <v>360.80500000000001</v>
      </c>
      <c r="G20" s="12">
        <f>'MCH2'!G20/'MCH2'!G3</f>
        <v>293.1348832271762</v>
      </c>
      <c r="H20" s="12">
        <f>'MCH2'!H20/'MCH2'!H3</f>
        <v>121.98192743764172</v>
      </c>
      <c r="I20" s="12">
        <f>'MCH2'!I20/'MCH2'!I3</f>
        <v>213.07884427563755</v>
      </c>
      <c r="J20" s="12">
        <f>'MCH2'!J20/'MCH2'!J3</f>
        <v>184.90646543917899</v>
      </c>
      <c r="K20" s="12">
        <f>'MCH2'!K20/'MCH2'!K3</f>
        <v>162.33286737000753</v>
      </c>
      <c r="L20" s="12">
        <f>'MCH2'!L20/'MCH2'!L3</f>
        <v>263.65675213675217</v>
      </c>
      <c r="M20" s="12">
        <f>'MCH2'!M20/'MCH2'!M3</f>
        <v>203.08250735294118</v>
      </c>
      <c r="N20" s="12">
        <f>'MCH2'!N20/'MCH2'!N3</f>
        <v>260.24044642857143</v>
      </c>
      <c r="O20" s="12">
        <f>'MCH2'!O20/'MCH2'!O3</f>
        <v>176.49827981964748</v>
      </c>
      <c r="P20" s="12">
        <f>'MCH2'!P20/'MCH2'!P3</f>
        <v>213.92869731800766</v>
      </c>
      <c r="Q20" s="12">
        <f>'MCH2'!Q20/'MCH2'!Q3</f>
        <v>245.64499999999998</v>
      </c>
      <c r="R20" s="12">
        <f>'MCH2'!R20/'MCH2'!R3</f>
        <v>166.17971764705882</v>
      </c>
      <c r="S20" s="12">
        <f>'MCH2'!S20/'MCH2'!S3</f>
        <v>412.72717142857147</v>
      </c>
      <c r="T20" s="12">
        <f>'MCH2'!T20/'MCH2'!T3</f>
        <v>211.76252387448838</v>
      </c>
      <c r="U20" s="12">
        <f>'MCH2'!U20/'MCH2'!U3</f>
        <v>203.47611111111112</v>
      </c>
      <c r="V20" s="12">
        <f>'MCH2'!V20/'MCH2'!V3</f>
        <v>591.06834532374103</v>
      </c>
      <c r="W20" s="12">
        <f>'MCH2'!W20/'MCH2'!W3</f>
        <v>204.36054185692541</v>
      </c>
      <c r="X20" s="12">
        <f>'MCH2'!X20/'MCH2'!X3</f>
        <v>695.2899025974026</v>
      </c>
      <c r="Y20" s="12">
        <f>'MCH2'!Y20/'MCH2'!Y3</f>
        <v>270.70157392686804</v>
      </c>
      <c r="Z20" s="12">
        <f>'MCH2'!Z20/'MCH2'!Z3</f>
        <v>699.32054461942255</v>
      </c>
      <c r="AA20" s="12">
        <f>'MCH2'!AA20/'MCH2'!AA3</f>
        <v>409.45632183908043</v>
      </c>
      <c r="AB20" s="12">
        <f>'MCH2'!AB20/'MCH2'!AB3</f>
        <v>806.22980769230776</v>
      </c>
      <c r="AC20" s="12">
        <f>'MCH2'!AC20/'MCH2'!AC3</f>
        <v>559.48262745098043</v>
      </c>
      <c r="AD20" s="12">
        <f>'MCH2'!AD20/'MCH2'!AD3</f>
        <v>389.01675177304963</v>
      </c>
      <c r="AE20" s="12">
        <f>'MCH2'!AE20/'MCH2'!AE3</f>
        <v>779.71789473684214</v>
      </c>
      <c r="AF20" s="12">
        <f>'MCH2'!AF20/'MCH2'!AF3</f>
        <v>935.77878669275935</v>
      </c>
      <c r="AG20" s="12">
        <f>'MCH2'!AG20/'MCH2'!AG3</f>
        <v>313.6805415352261</v>
      </c>
      <c r="AH20" s="12">
        <f>'MCH2'!AH20/'MCH2'!AH3</f>
        <v>287.20313398058249</v>
      </c>
      <c r="AI20" s="12">
        <f>'MCH2'!AI20/'MCH2'!AI3</f>
        <v>489.89434210526315</v>
      </c>
      <c r="AJ20" s="12">
        <f>'MCH2'!AJ20/'MCH2'!AJ3</f>
        <v>636.01584745762705</v>
      </c>
      <c r="AK20" s="12">
        <f>'MCH2'!AK20/'MCH2'!AK3</f>
        <v>190.13404888416579</v>
      </c>
      <c r="AL20" s="12">
        <f>'MCH2'!AL20/'MCH2'!AL3</f>
        <v>518.7865619389587</v>
      </c>
      <c r="AM20" s="12">
        <f>'MCH2'!AM20/'MCH2'!AM3</f>
        <v>341.95387838948233</v>
      </c>
      <c r="AN20" s="12">
        <f>'MCH2'!AN20/'MCH2'!AN3</f>
        <v>523.35068376068375</v>
      </c>
      <c r="AO20" s="12">
        <f>'MCH2'!AO20/'MCH2'!AO3</f>
        <v>396.14405809128635</v>
      </c>
      <c r="AP20" s="12">
        <f>'MCH2'!AP20/'MCH2'!AP3</f>
        <v>161.46176</v>
      </c>
      <c r="AQ20" s="12">
        <f>'MCH2'!AQ20/'MCH2'!AQ3</f>
        <v>208.88483359746434</v>
      </c>
      <c r="AR20" s="12">
        <f>'MCH2'!AR20/'MCH2'!AR3</f>
        <v>417.05811764705879</v>
      </c>
      <c r="AS20" s="12">
        <f>'MCH2'!AS20/'MCH2'!AS3</f>
        <v>250.65143454039</v>
      </c>
      <c r="AT20" s="12">
        <f>'MCH2'!AT20/'MCH2'!AT3</f>
        <v>249.22680746561886</v>
      </c>
      <c r="AU20" s="12">
        <f>'MCH2'!AU20/'MCH2'!AU3</f>
        <v>389.8227303754266</v>
      </c>
      <c r="AV20" s="12">
        <f>'MCH2'!AV20/'MCH2'!AV3</f>
        <v>154.99309650924025</v>
      </c>
      <c r="AW20" s="12">
        <f>'MCH2'!AW20/'MCH2'!AW3</f>
        <v>291.77279898218831</v>
      </c>
      <c r="AX20" s="12">
        <f>'MCH2'!AX20/'MCH2'!AX3</f>
        <v>209.85315217391306</v>
      </c>
      <c r="AY20" s="12">
        <f>'MCH2'!AY20/'MCH2'!AY3</f>
        <v>195.42396396396396</v>
      </c>
      <c r="AZ20" s="12">
        <f>'MCH2'!AZ20/'MCH2'!AZ3</f>
        <v>233.1589127837515</v>
      </c>
      <c r="BA20" s="12">
        <f>'MCH2'!BA20/'MCH2'!BA3</f>
        <v>337.22895140664957</v>
      </c>
      <c r="BB20" s="12">
        <f>'MCH2'!BB20/'MCH2'!BB3</f>
        <v>288.05562737642589</v>
      </c>
      <c r="BC20" s="12">
        <f>'MCH2'!BC20/'MCH2'!BC3</f>
        <v>210.60139784946236</v>
      </c>
      <c r="BD20" s="12">
        <f>'MCH2'!BD20/'MCH2'!BD3</f>
        <v>355.91860425399784</v>
      </c>
      <c r="BE20" s="12">
        <f>'MCH2'!BE20/'MCH2'!BE3</f>
        <v>263.81194139194139</v>
      </c>
      <c r="BF20" s="12">
        <f t="shared" si="10"/>
        <v>18160.527036135576</v>
      </c>
      <c r="BG20" s="12">
        <f t="shared" si="7"/>
        <v>4700.4455983460912</v>
      </c>
      <c r="BH20" s="12">
        <f t="shared" si="8"/>
        <v>7271.7880764074125</v>
      </c>
      <c r="BI20" s="12">
        <f t="shared" si="9"/>
        <v>6188.2933613820687</v>
      </c>
    </row>
    <row r="21" spans="2:61" x14ac:dyDescent="0.25">
      <c r="C21" s="7">
        <v>314</v>
      </c>
      <c r="D21" s="7" t="s">
        <v>841</v>
      </c>
      <c r="E21" s="12">
        <f>'MCH2'!E21/'MCH2'!E3</f>
        <v>123.68806519453207</v>
      </c>
      <c r="F21" s="12">
        <f>'MCH2'!F21/'MCH2'!F3</f>
        <v>143.59217054263564</v>
      </c>
      <c r="G21" s="12">
        <f>'MCH2'!G21/'MCH2'!G3</f>
        <v>94.810191082802547</v>
      </c>
      <c r="H21" s="12">
        <f>'MCH2'!H21/'MCH2'!H3</f>
        <v>83.223809523809521</v>
      </c>
      <c r="I21" s="12">
        <f>'MCH2'!I21/'MCH2'!I3</f>
        <v>112.20017634291915</v>
      </c>
      <c r="J21" s="12">
        <f>'MCH2'!J21/'MCH2'!J3</f>
        <v>80.461684274071843</v>
      </c>
      <c r="K21" s="12">
        <f>'MCH2'!K21/'MCH2'!K3</f>
        <v>162.34093820648079</v>
      </c>
      <c r="L21" s="12">
        <f>'MCH2'!L21/'MCH2'!L3</f>
        <v>83.762590218423554</v>
      </c>
      <c r="M21" s="12">
        <f>'MCH2'!M21/'MCH2'!M3</f>
        <v>196.93823529411765</v>
      </c>
      <c r="N21" s="12">
        <f>'MCH2'!N21/'MCH2'!N3</f>
        <v>222.51205357142857</v>
      </c>
      <c r="O21" s="12">
        <f>'MCH2'!O21/'MCH2'!O3</f>
        <v>115.1766634786173</v>
      </c>
      <c r="P21" s="12">
        <f>'MCH2'!P21/'MCH2'!P3</f>
        <v>213.63496168582375</v>
      </c>
      <c r="Q21" s="12">
        <f>'MCH2'!Q21/'MCH2'!Q3</f>
        <v>48.929245283018865</v>
      </c>
      <c r="R21" s="12">
        <f>'MCH2'!R21/'MCH2'!R3</f>
        <v>82.246000000000009</v>
      </c>
      <c r="S21" s="12">
        <f>'MCH2'!S21/'MCH2'!S3</f>
        <v>205.19685714285711</v>
      </c>
      <c r="T21" s="12">
        <f>'MCH2'!T21/'MCH2'!T3</f>
        <v>154.97210095497954</v>
      </c>
      <c r="U21" s="12">
        <f>'MCH2'!U21/'MCH2'!U3</f>
        <v>192.79877777777776</v>
      </c>
      <c r="V21" s="12">
        <f>'MCH2'!V21/'MCH2'!V3</f>
        <v>193.84340527577936</v>
      </c>
      <c r="W21" s="12">
        <f>'MCH2'!W21/'MCH2'!W3</f>
        <v>56.477643835616441</v>
      </c>
      <c r="X21" s="12">
        <f>'MCH2'!X21/'MCH2'!X3</f>
        <v>172.86250000000001</v>
      </c>
      <c r="Y21" s="12">
        <f>'MCH2'!Y21/'MCH2'!Y3</f>
        <v>155.4494038155803</v>
      </c>
      <c r="Z21" s="12">
        <f>'MCH2'!Z21/'MCH2'!Z3</f>
        <v>284.39442913385824</v>
      </c>
      <c r="AA21" s="12">
        <f>'MCH2'!AA21/'MCH2'!AA3</f>
        <v>444.80574712643676</v>
      </c>
      <c r="AB21" s="12">
        <f>'MCH2'!AB21/'MCH2'!AB3</f>
        <v>165.83782051282051</v>
      </c>
      <c r="AC21" s="12">
        <f>'MCH2'!AC21/'MCH2'!AC3</f>
        <v>277.24060784313724</v>
      </c>
      <c r="AD21" s="12">
        <f>'MCH2'!AD21/'MCH2'!AD3</f>
        <v>150.1171631205674</v>
      </c>
      <c r="AE21" s="12">
        <f>'MCH2'!AE21/'MCH2'!AE3</f>
        <v>265.10480943738656</v>
      </c>
      <c r="AF21" s="12">
        <f>'MCH2'!AF21/'MCH2'!AF3</f>
        <v>463.19812133072406</v>
      </c>
      <c r="AG21" s="12">
        <f>'MCH2'!AG21/'MCH2'!AG3</f>
        <v>230.55226603575181</v>
      </c>
      <c r="AH21" s="12">
        <f>'MCH2'!AH21/'MCH2'!AH3</f>
        <v>226.57668737864077</v>
      </c>
      <c r="AI21" s="12">
        <f>'MCH2'!AI21/'MCH2'!AI3</f>
        <v>159.2719298245614</v>
      </c>
      <c r="AJ21" s="12">
        <f>'MCH2'!AJ21/'MCH2'!AJ3</f>
        <v>213.55296610169492</v>
      </c>
      <c r="AK21" s="12">
        <f>'MCH2'!AK21/'MCH2'!AK3</f>
        <v>141.20702975557919</v>
      </c>
      <c r="AL21" s="12">
        <f>'MCH2'!AL21/'MCH2'!AL3</f>
        <v>272.75991921005385</v>
      </c>
      <c r="AM21" s="12">
        <f>'MCH2'!AM21/'MCH2'!AM3</f>
        <v>213.5789235825801</v>
      </c>
      <c r="AN21" s="12">
        <f>'MCH2'!AN21/'MCH2'!AN3</f>
        <v>43.985897435897442</v>
      </c>
      <c r="AO21" s="12">
        <f>'MCH2'!AO21/'MCH2'!AO3</f>
        <v>479.91598340248964</v>
      </c>
      <c r="AP21" s="12">
        <f>'MCH2'!AP21/'MCH2'!AP3</f>
        <v>122.45992</v>
      </c>
      <c r="AQ21" s="12">
        <f>'MCH2'!AQ21/'MCH2'!AQ3</f>
        <v>214.41798732171156</v>
      </c>
      <c r="AR21" s="12">
        <f>'MCH2'!AR21/'MCH2'!AR3</f>
        <v>309.69917647058827</v>
      </c>
      <c r="AS21" s="12">
        <f>'MCH2'!AS21/'MCH2'!AS3</f>
        <v>109.62646239554319</v>
      </c>
      <c r="AT21" s="12">
        <f>'MCH2'!AT21/'MCH2'!AT3</f>
        <v>106.23546168958742</v>
      </c>
      <c r="AU21" s="12">
        <f>'MCH2'!AU21/'MCH2'!AU3</f>
        <v>164.76552901023891</v>
      </c>
      <c r="AV21" s="12">
        <f>'MCH2'!AV21/'MCH2'!AV3</f>
        <v>94.178193018480485</v>
      </c>
      <c r="AW21" s="12">
        <f>'MCH2'!AW21/'MCH2'!AW3</f>
        <v>148.45030534351145</v>
      </c>
      <c r="AX21" s="12">
        <f>'MCH2'!AX21/'MCH2'!AX3</f>
        <v>381.3497282608696</v>
      </c>
      <c r="AY21" s="12">
        <f>'MCH2'!AY21/'MCH2'!AY3</f>
        <v>207.87774774774772</v>
      </c>
      <c r="AZ21" s="12">
        <f>'MCH2'!AZ21/'MCH2'!AZ3</f>
        <v>127.74683393070491</v>
      </c>
      <c r="BA21" s="12">
        <f>'MCH2'!BA21/'MCH2'!BA3</f>
        <v>120.23498721227621</v>
      </c>
      <c r="BB21" s="12">
        <f>'MCH2'!BB21/'MCH2'!BB3</f>
        <v>162.70816539923953</v>
      </c>
      <c r="BC21" s="12">
        <f>'MCH2'!BC21/'MCH2'!BC3</f>
        <v>115.2516129032258</v>
      </c>
      <c r="BD21" s="12">
        <f>'MCH2'!BD21/'MCH2'!BD3</f>
        <v>146.3329871138022</v>
      </c>
      <c r="BE21" s="12">
        <f>'MCH2'!BE21/'MCH2'!BE3</f>
        <v>338.37664835164833</v>
      </c>
      <c r="BF21" s="12">
        <f t="shared" si="10"/>
        <v>9796.9295209026295</v>
      </c>
      <c r="BG21" s="12">
        <f t="shared" si="7"/>
        <v>2566.8055696856918</v>
      </c>
      <c r="BH21" s="12">
        <f t="shared" si="8"/>
        <v>3208.9644516611602</v>
      </c>
      <c r="BI21" s="12">
        <f t="shared" si="9"/>
        <v>4021.1594995557762</v>
      </c>
    </row>
    <row r="22" spans="2:61" x14ac:dyDescent="0.25">
      <c r="C22" s="7">
        <v>315</v>
      </c>
      <c r="D22" s="7" t="s">
        <v>92</v>
      </c>
      <c r="E22" s="12">
        <f>'MCH2'!E22/'MCH2'!E3</f>
        <v>52.687066246056787</v>
      </c>
      <c r="F22" s="12">
        <f>'MCH2'!F22/'MCH2'!F3</f>
        <v>51.966860465116284</v>
      </c>
      <c r="G22" s="12">
        <f>'MCH2'!G22/'MCH2'!G3</f>
        <v>7.247664543524416</v>
      </c>
      <c r="H22" s="12">
        <f>'MCH2'!H22/'MCH2'!H3</f>
        <v>62.869841269841267</v>
      </c>
      <c r="I22" s="12">
        <f>'MCH2'!I22/'MCH2'!I3</f>
        <v>47.51375474769398</v>
      </c>
      <c r="J22" s="12">
        <f>'MCH2'!J22/'MCH2'!J3</f>
        <v>9.1354361605795358</v>
      </c>
      <c r="K22" s="12">
        <f>'MCH2'!K22/'MCH2'!K3</f>
        <v>27.55393745290128</v>
      </c>
      <c r="L22" s="12">
        <f>'MCH2'!L22/'MCH2'!L3</f>
        <v>71.46208372902818</v>
      </c>
      <c r="M22" s="12">
        <f>'MCH2'!M22/'MCH2'!M3</f>
        <v>59.120477941176475</v>
      </c>
      <c r="N22" s="12">
        <f>'MCH2'!N22/'MCH2'!N3</f>
        <v>15.838392857142859</v>
      </c>
      <c r="O22" s="12">
        <f>'MCH2'!O22/'MCH2'!O3</f>
        <v>41.641549391993443</v>
      </c>
      <c r="P22" s="12">
        <f>'MCH2'!P22/'MCH2'!P3</f>
        <v>39.506513409961691</v>
      </c>
      <c r="Q22" s="12">
        <f>'MCH2'!Q22/'MCH2'!Q3</f>
        <v>16.443396226415093</v>
      </c>
      <c r="R22" s="12">
        <f>'MCH2'!R22/'MCH2'!R3</f>
        <v>121.58470588235294</v>
      </c>
      <c r="S22" s="12">
        <f>'MCH2'!S22/'MCH2'!S3</f>
        <v>73.692285714285717</v>
      </c>
      <c r="T22" s="12">
        <f>'MCH2'!T22/'MCH2'!T3</f>
        <v>8.468349249658937</v>
      </c>
      <c r="U22" s="12">
        <f>'MCH2'!U22/'MCH2'!U3</f>
        <v>32.123333333333328</v>
      </c>
      <c r="V22" s="12">
        <f>'MCH2'!V22/'MCH2'!V3</f>
        <v>107.70779376498801</v>
      </c>
      <c r="W22" s="12">
        <f>'MCH2'!W22/'MCH2'!W3</f>
        <v>43.725217656012177</v>
      </c>
      <c r="X22" s="12">
        <f>'MCH2'!X22/'MCH2'!X3</f>
        <v>4.2855519480519479</v>
      </c>
      <c r="Y22" s="12">
        <f>'MCH2'!Y22/'MCH2'!Y3</f>
        <v>114.054173290938</v>
      </c>
      <c r="Z22" s="12">
        <f>'MCH2'!Z22/'MCH2'!Z3</f>
        <v>61.956922572178485</v>
      </c>
      <c r="AA22" s="12">
        <f>'MCH2'!AA22/'MCH2'!AA3</f>
        <v>57.573563218390802</v>
      </c>
      <c r="AB22" s="12">
        <f>'MCH2'!AB22/'MCH2'!AB3</f>
        <v>41.944230769230771</v>
      </c>
      <c r="AC22" s="12">
        <f>'MCH2'!AC22/'MCH2'!AC3</f>
        <v>84.677647058823524</v>
      </c>
      <c r="AD22" s="12">
        <f>'MCH2'!AD22/'MCH2'!AD3</f>
        <v>110.79255319148936</v>
      </c>
      <c r="AE22" s="12">
        <f>'MCH2'!AE22/'MCH2'!AE3</f>
        <v>121.27704174228674</v>
      </c>
      <c r="AF22" s="12">
        <f>'MCH2'!AF22/'MCH2'!AF3</f>
        <v>34.181585127201565</v>
      </c>
      <c r="AG22" s="12">
        <f>'MCH2'!AG22/'MCH2'!AG3</f>
        <v>49.579516298633024</v>
      </c>
      <c r="AH22" s="12">
        <f>'MCH2'!AH22/'MCH2'!AH3</f>
        <v>16.737864077669904</v>
      </c>
      <c r="AI22" s="12">
        <f>'MCH2'!AI22/'MCH2'!AI3</f>
        <v>83.959649122807008</v>
      </c>
      <c r="AJ22" s="12">
        <f>'MCH2'!AJ22/'MCH2'!AJ3</f>
        <v>87.043220338983048</v>
      </c>
      <c r="AK22" s="12">
        <f>'MCH2'!AK22/'MCH2'!AK3</f>
        <v>12.055738575982998</v>
      </c>
      <c r="AL22" s="12">
        <f>'MCH2'!AL22/'MCH2'!AL3</f>
        <v>94.830619389587071</v>
      </c>
      <c r="AM22" s="12">
        <f>'MCH2'!AM22/'MCH2'!AM3</f>
        <v>43.942514379622025</v>
      </c>
      <c r="AN22" s="12">
        <f>'MCH2'!AN22/'MCH2'!AN3</f>
        <v>0</v>
      </c>
      <c r="AO22" s="12">
        <f>'MCH2'!AO22/'MCH2'!AO3</f>
        <v>72.888174273858922</v>
      </c>
      <c r="AP22" s="12">
        <f>'MCH2'!AP22/'MCH2'!AP3</f>
        <v>49.786879999999996</v>
      </c>
      <c r="AQ22" s="12">
        <f>'MCH2'!AQ22/'MCH2'!AQ3</f>
        <v>62.740570522979404</v>
      </c>
      <c r="AR22" s="12">
        <f>'MCH2'!AR22/'MCH2'!AR3</f>
        <v>71.259137254901958</v>
      </c>
      <c r="AS22" s="12">
        <f>'MCH2'!AS22/'MCH2'!AS3</f>
        <v>56.194428969359329</v>
      </c>
      <c r="AT22" s="12">
        <f>'MCH2'!AT22/'MCH2'!AT3</f>
        <v>17.17437131630648</v>
      </c>
      <c r="AU22" s="12">
        <f>'MCH2'!AU22/'MCH2'!AU3</f>
        <v>22.88754266211604</v>
      </c>
      <c r="AV22" s="12">
        <f>'MCH2'!AV22/'MCH2'!AV3</f>
        <v>18.433244353182751</v>
      </c>
      <c r="AW22" s="12">
        <f>'MCH2'!AW22/'MCH2'!AW3</f>
        <v>75.910343511450378</v>
      </c>
      <c r="AX22" s="12">
        <f>'MCH2'!AX22/'MCH2'!AX3</f>
        <v>21.217663043478261</v>
      </c>
      <c r="AY22" s="12">
        <f>'MCH2'!AY22/'MCH2'!AY3</f>
        <v>64.939489489489489</v>
      </c>
      <c r="AZ22" s="12">
        <f>'MCH2'!AZ22/'MCH2'!AZ3</f>
        <v>36.551971326164875</v>
      </c>
      <c r="BA22" s="12">
        <f>'MCH2'!BA22/'MCH2'!BA3</f>
        <v>19.617391304347827</v>
      </c>
      <c r="BB22" s="12">
        <f>'MCH2'!BB22/'MCH2'!BB3</f>
        <v>70.06264258555133</v>
      </c>
      <c r="BC22" s="12">
        <f>'MCH2'!BC22/'MCH2'!BC3</f>
        <v>1.9758064516129032</v>
      </c>
      <c r="BD22" s="12">
        <f>'MCH2'!BD22/'MCH2'!BD3</f>
        <v>71.215235211923613</v>
      </c>
      <c r="BE22" s="12">
        <f>'MCH2'!BE22/'MCH2'!BE3</f>
        <v>92.598717948717947</v>
      </c>
      <c r="BF22" s="12">
        <f t="shared" si="10"/>
        <v>2734.634661369379</v>
      </c>
      <c r="BG22" s="12">
        <f t="shared" si="7"/>
        <v>890.28866004206247</v>
      </c>
      <c r="BH22" s="12">
        <f t="shared" si="8"/>
        <v>868.06351875668418</v>
      </c>
      <c r="BI22" s="12">
        <f t="shared" si="9"/>
        <v>976.28248257063376</v>
      </c>
    </row>
    <row r="23" spans="2:61" x14ac:dyDescent="0.25">
      <c r="C23" s="7">
        <v>316</v>
      </c>
      <c r="D23" s="7" t="s">
        <v>93</v>
      </c>
      <c r="E23" s="12">
        <f>'MCH2'!E23/'MCH2'!E3</f>
        <v>4.0769716088328076</v>
      </c>
      <c r="F23" s="12">
        <f>'MCH2'!F23/'MCH2'!F3</f>
        <v>10.671317829457363</v>
      </c>
      <c r="G23" s="12">
        <f>'MCH2'!G23/'MCH2'!G3</f>
        <v>1.5091295116772823</v>
      </c>
      <c r="H23" s="12">
        <f>'MCH2'!H23/'MCH2'!H3</f>
        <v>145.50034013605443</v>
      </c>
      <c r="I23" s="12">
        <f>'MCH2'!I23/'MCH2'!I3</f>
        <v>20.938998914812803</v>
      </c>
      <c r="J23" s="12">
        <f>'MCH2'!J23/'MCH2'!J3</f>
        <v>11.093616057953517</v>
      </c>
      <c r="K23" s="12">
        <f>'MCH2'!K23/'MCH2'!K3</f>
        <v>13.76006028636021</v>
      </c>
      <c r="L23" s="12">
        <f>'MCH2'!L23/'MCH2'!L3</f>
        <v>62.183645932257051</v>
      </c>
      <c r="M23" s="12">
        <f>'MCH2'!M23/'MCH2'!M3</f>
        <v>19.778124999999999</v>
      </c>
      <c r="N23" s="12">
        <f>'MCH2'!N23/'MCH2'!N3</f>
        <v>10.714285714285714</v>
      </c>
      <c r="O23" s="12">
        <f>'MCH2'!O23/'MCH2'!O3</f>
        <v>14.910616204399508</v>
      </c>
      <c r="P23" s="12">
        <f>'MCH2'!P23/'MCH2'!P3</f>
        <v>0</v>
      </c>
      <c r="Q23" s="12">
        <f>'MCH2'!Q23/'MCH2'!Q3</f>
        <v>8.0188679245283012</v>
      </c>
      <c r="R23" s="12">
        <f>'MCH2'!R23/'MCH2'!R3</f>
        <v>0</v>
      </c>
      <c r="S23" s="12">
        <f>'MCH2'!S23/'MCH2'!S3</f>
        <v>0</v>
      </c>
      <c r="T23" s="12">
        <f>'MCH2'!T23/'MCH2'!T3</f>
        <v>0.73465211459754431</v>
      </c>
      <c r="U23" s="12">
        <f>'MCH2'!U23/'MCH2'!U3</f>
        <v>0</v>
      </c>
      <c r="V23" s="12">
        <f>'MCH2'!V23/'MCH2'!V3</f>
        <v>11.510791366906474</v>
      </c>
      <c r="W23" s="12">
        <f>'MCH2'!W23/'MCH2'!W3</f>
        <v>36.058401826484022</v>
      </c>
      <c r="X23" s="12">
        <f>'MCH2'!X23/'MCH2'!X3</f>
        <v>69.693181818181813</v>
      </c>
      <c r="Y23" s="12">
        <f>'MCH2'!Y23/'MCH2'!Y3</f>
        <v>25.914149443561207</v>
      </c>
      <c r="Z23" s="12">
        <f>'MCH2'!Z23/'MCH2'!Z3</f>
        <v>54.257217847769027</v>
      </c>
      <c r="AA23" s="12">
        <f>'MCH2'!AA23/'MCH2'!AA3</f>
        <v>0</v>
      </c>
      <c r="AB23" s="12">
        <f>'MCH2'!AB23/'MCH2'!AB3</f>
        <v>8.4958333333333336</v>
      </c>
      <c r="AC23" s="12">
        <f>'MCH2'!AC23/'MCH2'!AC3</f>
        <v>2.2352941176470589</v>
      </c>
      <c r="AD23" s="12">
        <f>'MCH2'!AD23/'MCH2'!AD3</f>
        <v>71.592624113475182</v>
      </c>
      <c r="AE23" s="12">
        <f>'MCH2'!AE23/'MCH2'!AE3</f>
        <v>7.3247731397459166</v>
      </c>
      <c r="AF23" s="12">
        <f>'MCH2'!AF23/'MCH2'!AF3</f>
        <v>0</v>
      </c>
      <c r="AG23" s="12">
        <f>'MCH2'!AG23/'MCH2'!AG3</f>
        <v>3.4853101997896951</v>
      </c>
      <c r="AH23" s="12">
        <f>'MCH2'!AH23/'MCH2'!AH3</f>
        <v>78.804233009708739</v>
      </c>
      <c r="AI23" s="12">
        <f>'MCH2'!AI23/'MCH2'!AI3</f>
        <v>9.2105263157894743</v>
      </c>
      <c r="AJ23" s="12">
        <f>'MCH2'!AJ23/'MCH2'!AJ3</f>
        <v>0</v>
      </c>
      <c r="AK23" s="12">
        <f>'MCH2'!AK23/'MCH2'!AK3</f>
        <v>0</v>
      </c>
      <c r="AL23" s="12">
        <f>'MCH2'!AL23/'MCH2'!AL3</f>
        <v>6.9727558348294432</v>
      </c>
      <c r="AM23" s="12">
        <f>'MCH2'!AM23/'MCH2'!AM3</f>
        <v>16.772021364009859</v>
      </c>
      <c r="AN23" s="12">
        <f>'MCH2'!AN23/'MCH2'!AN3</f>
        <v>5.1282051282051286</v>
      </c>
      <c r="AO23" s="12">
        <f>'MCH2'!AO23/'MCH2'!AO3</f>
        <v>34.402074688796681</v>
      </c>
      <c r="AP23" s="12">
        <f>'MCH2'!AP23/'MCH2'!AP3</f>
        <v>60.517440000000001</v>
      </c>
      <c r="AQ23" s="12">
        <f>'MCH2'!AQ23/'MCH2'!AQ3</f>
        <v>0</v>
      </c>
      <c r="AR23" s="12">
        <f>'MCH2'!AR23/'MCH2'!AR3</f>
        <v>35.996156862745096</v>
      </c>
      <c r="AS23" s="12">
        <f>'MCH2'!AS23/'MCH2'!AS3</f>
        <v>33.617966573816155</v>
      </c>
      <c r="AT23" s="12">
        <f>'MCH2'!AT23/'MCH2'!AT3</f>
        <v>0</v>
      </c>
      <c r="AU23" s="12">
        <f>'MCH2'!AU23/'MCH2'!AU3</f>
        <v>0</v>
      </c>
      <c r="AV23" s="12">
        <f>'MCH2'!AV23/'MCH2'!AV3</f>
        <v>6.6102669404517451</v>
      </c>
      <c r="AW23" s="12">
        <f>'MCH2'!AW23/'MCH2'!AW3</f>
        <v>25.211577608142491</v>
      </c>
      <c r="AX23" s="12">
        <f>'MCH2'!AX23/'MCH2'!AX3</f>
        <v>0</v>
      </c>
      <c r="AY23" s="12">
        <f>'MCH2'!AY23/'MCH2'!AY3</f>
        <v>10.395195195195194</v>
      </c>
      <c r="AZ23" s="12">
        <f>'MCH2'!AZ23/'MCH2'!AZ3</f>
        <v>19.691995221027479</v>
      </c>
      <c r="BA23" s="12">
        <f>'MCH2'!BA23/'MCH2'!BA3</f>
        <v>0</v>
      </c>
      <c r="BB23" s="12">
        <f>'MCH2'!BB23/'MCH2'!BB3</f>
        <v>7.4636882129277566</v>
      </c>
      <c r="BC23" s="12">
        <f>'MCH2'!BC23/'MCH2'!BC3</f>
        <v>0</v>
      </c>
      <c r="BD23" s="12">
        <f>'MCH2'!BD23/'MCH2'!BD3</f>
        <v>119.45513895357864</v>
      </c>
      <c r="BE23" s="12">
        <f>'MCH2'!BE23/'MCH2'!BE3</f>
        <v>1.098901098901099</v>
      </c>
      <c r="BF23" s="12">
        <f t="shared" si="10"/>
        <v>1085.8063474502353</v>
      </c>
      <c r="BG23" s="12">
        <f t="shared" si="7"/>
        <v>371.45982042860703</v>
      </c>
      <c r="BH23" s="12">
        <f t="shared" si="8"/>
        <v>331.01314333900149</v>
      </c>
      <c r="BI23" s="12">
        <f t="shared" si="9"/>
        <v>383.33338368262673</v>
      </c>
    </row>
    <row r="24" spans="2:61" x14ac:dyDescent="0.25">
      <c r="C24" s="7">
        <v>317</v>
      </c>
      <c r="D24" s="7" t="s">
        <v>94</v>
      </c>
      <c r="E24" s="12">
        <f>'MCH2'!E24/'MCH2'!E3</f>
        <v>23.758307045215563</v>
      </c>
      <c r="F24" s="12">
        <f>'MCH2'!F24/'MCH2'!F3</f>
        <v>9.6647286821705425</v>
      </c>
      <c r="G24" s="12">
        <f>'MCH2'!G24/'MCH2'!G3</f>
        <v>2.1602972399150744</v>
      </c>
      <c r="H24" s="12">
        <f>'MCH2'!H24/'MCH2'!H3</f>
        <v>12.897165532879818</v>
      </c>
      <c r="I24" s="12">
        <f>'MCH2'!I24/'MCH2'!I3</f>
        <v>21.653920238741183</v>
      </c>
      <c r="J24" s="12">
        <f>'MCH2'!J24/'MCH2'!J3</f>
        <v>13.793706610322971</v>
      </c>
      <c r="K24" s="12">
        <f>'MCH2'!K24/'MCH2'!K3</f>
        <v>9.3377166541070071</v>
      </c>
      <c r="L24" s="12">
        <f>'MCH2'!L24/'MCH2'!L3</f>
        <v>6.6578149730927505</v>
      </c>
      <c r="M24" s="12">
        <f>'MCH2'!M24/'MCH2'!M3</f>
        <v>17.551544117647058</v>
      </c>
      <c r="N24" s="12">
        <f>'MCH2'!N24/'MCH2'!N3</f>
        <v>0</v>
      </c>
      <c r="O24" s="12">
        <f>'MCH2'!O24/'MCH2'!O3</f>
        <v>10.651981144965159</v>
      </c>
      <c r="P24" s="12">
        <f>'MCH2'!P24/'MCH2'!P3</f>
        <v>8.1022988505747122</v>
      </c>
      <c r="Q24" s="12">
        <f>'MCH2'!Q24/'MCH2'!Q3</f>
        <v>7.9160377358490566</v>
      </c>
      <c r="R24" s="12">
        <f>'MCH2'!R24/'MCH2'!R3</f>
        <v>8.9934117647058827</v>
      </c>
      <c r="S24" s="12">
        <f>'MCH2'!S24/'MCH2'!S3</f>
        <v>22.084142857142858</v>
      </c>
      <c r="T24" s="12">
        <f>'MCH2'!T24/'MCH2'!T3</f>
        <v>83.549181446111874</v>
      </c>
      <c r="U24" s="12">
        <f>'MCH2'!U24/'MCH2'!U3</f>
        <v>3.9024074074074075</v>
      </c>
      <c r="V24" s="12">
        <f>'MCH2'!V24/'MCH2'!V3</f>
        <v>8.4663069544364511</v>
      </c>
      <c r="W24" s="12">
        <f>'MCH2'!W24/'MCH2'!W3</f>
        <v>11.012526636225267</v>
      </c>
      <c r="X24" s="12">
        <f>'MCH2'!X24/'MCH2'!X3</f>
        <v>23.160064935064934</v>
      </c>
      <c r="Y24" s="12">
        <f>'MCH2'!Y24/'MCH2'!Y3</f>
        <v>7.0476947535771064</v>
      </c>
      <c r="Z24" s="12">
        <f>'MCH2'!Z24/'MCH2'!Z3</f>
        <v>31.313517060367456</v>
      </c>
      <c r="AA24" s="12">
        <f>'MCH2'!AA24/'MCH2'!AA3</f>
        <v>26.626206896551725</v>
      </c>
      <c r="AB24" s="12">
        <f>'MCH2'!AB24/'MCH2'!AB3</f>
        <v>4.5701923076923077</v>
      </c>
      <c r="AC24" s="12">
        <f>'MCH2'!AC24/'MCH2'!AC3</f>
        <v>11.039019607843137</v>
      </c>
      <c r="AD24" s="12">
        <f>'MCH2'!AD24/'MCH2'!AD3</f>
        <v>6.8719148936170207</v>
      </c>
      <c r="AE24" s="12">
        <f>'MCH2'!AE24/'MCH2'!AE3</f>
        <v>6.8299455535390203</v>
      </c>
      <c r="AF24" s="12">
        <f>'MCH2'!AF24/'MCH2'!AF3</f>
        <v>0</v>
      </c>
      <c r="AG24" s="12">
        <f>'MCH2'!AG24/'MCH2'!AG3</f>
        <v>17.784700315457414</v>
      </c>
      <c r="AH24" s="12">
        <f>'MCH2'!AH24/'MCH2'!AH3</f>
        <v>10.550796116504854</v>
      </c>
      <c r="AI24" s="12">
        <f>'MCH2'!AI24/'MCH2'!AI3</f>
        <v>11.732456140350877</v>
      </c>
      <c r="AJ24" s="12">
        <f>'MCH2'!AJ24/'MCH2'!AJ3</f>
        <v>8.7182203389830502</v>
      </c>
      <c r="AK24" s="12">
        <f>'MCH2'!AK24/'MCH2'!AK3</f>
        <v>28.412964930924545</v>
      </c>
      <c r="AL24" s="12">
        <f>'MCH2'!AL24/'MCH2'!AL3</f>
        <v>14.171409335727111</v>
      </c>
      <c r="AM24" s="12">
        <f>'MCH2'!AM24/'MCH2'!AM3</f>
        <v>16.182949876746097</v>
      </c>
      <c r="AN24" s="12">
        <f>'MCH2'!AN24/'MCH2'!AN3</f>
        <v>3.3487179487179488</v>
      </c>
      <c r="AO24" s="12">
        <f>'MCH2'!AO24/'MCH2'!AO3</f>
        <v>28.415477178423238</v>
      </c>
      <c r="AP24" s="12">
        <f>'MCH2'!AP24/'MCH2'!AP3</f>
        <v>5.7196800000000003</v>
      </c>
      <c r="AQ24" s="12">
        <f>'MCH2'!AQ24/'MCH2'!AQ3</f>
        <v>0.70562599049128372</v>
      </c>
      <c r="AR24" s="12">
        <f>'MCH2'!AR24/'MCH2'!AR3</f>
        <v>20.488980392156865</v>
      </c>
      <c r="AS24" s="12">
        <f>'MCH2'!AS24/'MCH2'!AS3</f>
        <v>22.509261838440111</v>
      </c>
      <c r="AT24" s="12">
        <f>'MCH2'!AT24/'MCH2'!AT3</f>
        <v>11.322053045186641</v>
      </c>
      <c r="AU24" s="12">
        <f>'MCH2'!AU24/'MCH2'!AU3</f>
        <v>6.5215017064846412</v>
      </c>
      <c r="AV24" s="12">
        <f>'MCH2'!AV24/'MCH2'!AV3</f>
        <v>19.604279260780288</v>
      </c>
      <c r="AW24" s="12">
        <f>'MCH2'!AW24/'MCH2'!AW3</f>
        <v>10.188040712468194</v>
      </c>
      <c r="AX24" s="12">
        <f>'MCH2'!AX24/'MCH2'!AX3</f>
        <v>4.3293478260869565</v>
      </c>
      <c r="AY24" s="12">
        <f>'MCH2'!AY24/'MCH2'!AY3</f>
        <v>9.1133633633633639</v>
      </c>
      <c r="AZ24" s="12">
        <f>'MCH2'!AZ24/'MCH2'!AZ3</f>
        <v>14.718667861409797</v>
      </c>
      <c r="BA24" s="12">
        <f>'MCH2'!BA24/'MCH2'!BA3</f>
        <v>7.0352941176470596</v>
      </c>
      <c r="BB24" s="12">
        <f>'MCH2'!BB24/'MCH2'!BB3</f>
        <v>19.575950570342208</v>
      </c>
      <c r="BC24" s="12">
        <f>'MCH2'!BC24/'MCH2'!BC3</f>
        <v>0.59139784946236562</v>
      </c>
      <c r="BD24" s="12">
        <f>'MCH2'!BD24/'MCH2'!BD3</f>
        <v>8.0968265797236452</v>
      </c>
      <c r="BE24" s="12">
        <f>'MCH2'!BE24/'MCH2'!BE3</f>
        <v>12.418406593406592</v>
      </c>
      <c r="BF24" s="12">
        <f t="shared" si="10"/>
        <v>711.86842178904863</v>
      </c>
      <c r="BG24" s="12">
        <f t="shared" si="7"/>
        <v>282.15349589151066</v>
      </c>
      <c r="BH24" s="12">
        <f t="shared" si="8"/>
        <v>166.24472891954889</v>
      </c>
      <c r="BI24" s="12">
        <f t="shared" si="9"/>
        <v>263.47019697798891</v>
      </c>
    </row>
    <row r="25" spans="2:61" x14ac:dyDescent="0.25">
      <c r="C25" s="7">
        <v>318</v>
      </c>
      <c r="D25" s="7" t="s">
        <v>95</v>
      </c>
      <c r="E25" s="12">
        <f>'MCH2'!E25/'MCH2'!E3</f>
        <v>-26.709652996845428</v>
      </c>
      <c r="F25" s="12">
        <f>'MCH2'!F25/'MCH2'!F3</f>
        <v>18.77627906976744</v>
      </c>
      <c r="G25" s="12">
        <f>'MCH2'!G25/'MCH2'!G3</f>
        <v>69.206454352441611</v>
      </c>
      <c r="H25" s="12">
        <f>'MCH2'!H25/'MCH2'!H3</f>
        <v>35.421541950113379</v>
      </c>
      <c r="I25" s="12">
        <f>'MCH2'!I25/'MCH2'!I3</f>
        <v>50.924913185024423</v>
      </c>
      <c r="J25" s="12">
        <f>'MCH2'!J25/'MCH2'!J3</f>
        <v>48.921002112888623</v>
      </c>
      <c r="K25" s="12">
        <f>'MCH2'!K25/'MCH2'!K3</f>
        <v>36.464751318764129</v>
      </c>
      <c r="L25" s="12">
        <f>'MCH2'!L25/'MCH2'!L3</f>
        <v>43.10402738208294</v>
      </c>
      <c r="M25" s="12">
        <f>'MCH2'!M25/'MCH2'!M3</f>
        <v>22.761176470588236</v>
      </c>
      <c r="N25" s="12">
        <f>'MCH2'!N25/'MCH2'!N3</f>
        <v>-1.9653571428571428</v>
      </c>
      <c r="O25" s="12">
        <f>'MCH2'!O25/'MCH2'!O3</f>
        <v>28.651978412351411</v>
      </c>
      <c r="P25" s="12">
        <f>'MCH2'!P25/'MCH2'!P3</f>
        <v>20.247624521072797</v>
      </c>
      <c r="Q25" s="12">
        <f>'MCH2'!Q25/'MCH2'!Q3</f>
        <v>7.6320754716981132E-2</v>
      </c>
      <c r="R25" s="12">
        <f>'MCH2'!R25/'MCH2'!R3</f>
        <v>89.333600000000004</v>
      </c>
      <c r="S25" s="12">
        <f>'MCH2'!S25/'MCH2'!S3</f>
        <v>74.528171428571426</v>
      </c>
      <c r="T25" s="12">
        <f>'MCH2'!T25/'MCH2'!T3</f>
        <v>-52.249809004092768</v>
      </c>
      <c r="U25" s="12">
        <f>'MCH2'!U25/'MCH2'!U3</f>
        <v>51.923074074074073</v>
      </c>
      <c r="V25" s="12">
        <f>'MCH2'!V25/'MCH2'!V3</f>
        <v>85.702925659472427</v>
      </c>
      <c r="W25" s="12">
        <f>'MCH2'!W25/'MCH2'!W3</f>
        <v>27.850532724505328</v>
      </c>
      <c r="X25" s="12">
        <f>'MCH2'!X25/'MCH2'!X3</f>
        <v>8.3025324675324672</v>
      </c>
      <c r="Y25" s="12">
        <f>'MCH2'!Y25/'MCH2'!Y3</f>
        <v>56.483259141494436</v>
      </c>
      <c r="Z25" s="12">
        <f>'MCH2'!Z25/'MCH2'!Z3</f>
        <v>41.271561679790025</v>
      </c>
      <c r="AA25" s="12">
        <f>'MCH2'!AA25/'MCH2'!AA3</f>
        <v>28.18287356321839</v>
      </c>
      <c r="AB25" s="12">
        <f>'MCH2'!AB25/'MCH2'!AB3</f>
        <v>49.219358974358975</v>
      </c>
      <c r="AC25" s="12">
        <f>'MCH2'!AC25/'MCH2'!AC3</f>
        <v>19.262549019607842</v>
      </c>
      <c r="AD25" s="12">
        <f>'MCH2'!AD25/'MCH2'!AD3</f>
        <v>2.9307375886524825</v>
      </c>
      <c r="AE25" s="12">
        <f>'MCH2'!AE25/'MCH2'!AE3</f>
        <v>28.639963702359349</v>
      </c>
      <c r="AF25" s="12">
        <f>'MCH2'!AF25/'MCH2'!AF3</f>
        <v>38.008121330724073</v>
      </c>
      <c r="AG25" s="12">
        <f>'MCH2'!AG25/'MCH2'!AG3</f>
        <v>22.105825446898002</v>
      </c>
      <c r="AH25" s="12">
        <f>'MCH2'!AH25/'MCH2'!AH3</f>
        <v>31.383297087378644</v>
      </c>
      <c r="AI25" s="12">
        <f>'MCH2'!AI25/'MCH2'!AI3</f>
        <v>36.115263157894738</v>
      </c>
      <c r="AJ25" s="12">
        <f>'MCH2'!AJ25/'MCH2'!AJ3</f>
        <v>10.778220338983051</v>
      </c>
      <c r="AK25" s="12">
        <f>'MCH2'!AK25/'MCH2'!AK3</f>
        <v>38.517747077577042</v>
      </c>
      <c r="AL25" s="12">
        <f>'MCH2'!AL25/'MCH2'!AL3</f>
        <v>58.164093357271099</v>
      </c>
      <c r="AM25" s="12">
        <f>'MCH2'!AM25/'MCH2'!AM3</f>
        <v>57.837559572719798</v>
      </c>
      <c r="AN25" s="12">
        <f>'MCH2'!AN25/'MCH2'!AN3</f>
        <v>497.36384615384617</v>
      </c>
      <c r="AO25" s="12">
        <f>'MCH2'!AO25/'MCH2'!AO3</f>
        <v>35.555452282157674</v>
      </c>
      <c r="AP25" s="12">
        <f>'MCH2'!AP25/'MCH2'!AP3</f>
        <v>83.497295999999992</v>
      </c>
      <c r="AQ25" s="12">
        <f>'MCH2'!AQ25/'MCH2'!AQ3</f>
        <v>68.366418383518223</v>
      </c>
      <c r="AR25" s="12">
        <f>'MCH2'!AR25/'MCH2'!AR3</f>
        <v>55.879356862745091</v>
      </c>
      <c r="AS25" s="12">
        <f>'MCH2'!AS25/'MCH2'!AS3</f>
        <v>23.524582172701951</v>
      </c>
      <c r="AT25" s="12">
        <f>'MCH2'!AT25/'MCH2'!AT3</f>
        <v>80.762730844793722</v>
      </c>
      <c r="AU25" s="12">
        <f>'MCH2'!AU25/'MCH2'!AU3</f>
        <v>295.19187713310583</v>
      </c>
      <c r="AV25" s="12">
        <f>'MCH2'!AV25/'MCH2'!AV3</f>
        <v>58.272932238193015</v>
      </c>
      <c r="AW25" s="12">
        <f>'MCH2'!AW25/'MCH2'!AW3</f>
        <v>37.122519083969465</v>
      </c>
      <c r="AX25" s="12">
        <f>'MCH2'!AX25/'MCH2'!AX3</f>
        <v>7.2915217391304354</v>
      </c>
      <c r="AY25" s="12">
        <f>'MCH2'!AY25/'MCH2'!AY3</f>
        <v>126.30813813813813</v>
      </c>
      <c r="AZ25" s="12">
        <f>'MCH2'!AZ25/'MCH2'!AZ3</f>
        <v>56.311541218637998</v>
      </c>
      <c r="BA25" s="12">
        <f>'MCH2'!BA25/'MCH2'!BA3</f>
        <v>51.390639386189264</v>
      </c>
      <c r="BB25" s="12">
        <f>'MCH2'!BB25/'MCH2'!BB3</f>
        <v>49.8504752851711</v>
      </c>
      <c r="BC25" s="12">
        <f>'MCH2'!BC25/'MCH2'!BC3</f>
        <v>73.10043010752689</v>
      </c>
      <c r="BD25" s="12">
        <f>'MCH2'!BD25/'MCH2'!BD3</f>
        <v>98.848102779071567</v>
      </c>
      <c r="BE25" s="12">
        <f>'MCH2'!BE25/'MCH2'!BE3</f>
        <v>94.841776556776551</v>
      </c>
      <c r="BF25" s="12">
        <f t="shared" si="10"/>
        <v>2943.6521541447732</v>
      </c>
      <c r="BG25" s="12">
        <f t="shared" si="7"/>
        <v>622.96955427263981</v>
      </c>
      <c r="BH25" s="12">
        <f t="shared" si="8"/>
        <v>372.68356349889245</v>
      </c>
      <c r="BI25" s="12">
        <f t="shared" si="9"/>
        <v>1947.9990363732413</v>
      </c>
    </row>
    <row r="26" spans="2:61" x14ac:dyDescent="0.25">
      <c r="C26" s="7">
        <v>319</v>
      </c>
      <c r="D26" s="7" t="s">
        <v>96</v>
      </c>
      <c r="E26" s="12">
        <f>'MCH2'!E26/'MCH2'!E3</f>
        <v>10.498948475289168</v>
      </c>
      <c r="F26" s="12">
        <f>'MCH2'!F26/'MCH2'!F3</f>
        <v>1.5503875968992249</v>
      </c>
      <c r="G26" s="12">
        <f>'MCH2'!G26/'MCH2'!G3</f>
        <v>23.053821656050957</v>
      </c>
      <c r="H26" s="12">
        <f>'MCH2'!H26/'MCH2'!H3</f>
        <v>15.501020408163265</v>
      </c>
      <c r="I26" s="12">
        <f>'MCH2'!I26/'MCH2'!I3</f>
        <v>11.155078676071623</v>
      </c>
      <c r="J26" s="12">
        <f>'MCH2'!J26/'MCH2'!J3</f>
        <v>9.2482523392695448</v>
      </c>
      <c r="K26" s="12">
        <f>'MCH2'!K26/'MCH2'!K3</f>
        <v>10.900135644310474</v>
      </c>
      <c r="L26" s="12">
        <f>'MCH2'!L26/'MCH2'!L3</f>
        <v>10.190384615384616</v>
      </c>
      <c r="M26" s="12">
        <f>'MCH2'!M26/'MCH2'!M3</f>
        <v>43.769044117647063</v>
      </c>
      <c r="N26" s="12">
        <f>'MCH2'!N26/'MCH2'!N3</f>
        <v>79.04553571428572</v>
      </c>
      <c r="O26" s="12">
        <f>'MCH2'!O26/'MCH2'!O3</f>
        <v>1.9102473015439267</v>
      </c>
      <c r="P26" s="12">
        <f>'MCH2'!P26/'MCH2'!P3</f>
        <v>2.1199233716475092</v>
      </c>
      <c r="Q26" s="12">
        <f>'MCH2'!Q26/'MCH2'!Q3</f>
        <v>22.016509433962263</v>
      </c>
      <c r="R26" s="12">
        <f>'MCH2'!R26/'MCH2'!R3</f>
        <v>0</v>
      </c>
      <c r="S26" s="12">
        <f>'MCH2'!S26/'MCH2'!S3</f>
        <v>31.009</v>
      </c>
      <c r="T26" s="12">
        <f>'MCH2'!T26/'MCH2'!T3</f>
        <v>8.8023192360163716</v>
      </c>
      <c r="U26" s="12">
        <f>'MCH2'!U26/'MCH2'!U3</f>
        <v>6.672037037037037</v>
      </c>
      <c r="V26" s="12">
        <f>'MCH2'!V26/'MCH2'!V3</f>
        <v>7.1839328537170255</v>
      </c>
      <c r="W26" s="12">
        <f>'MCH2'!W26/'MCH2'!W3</f>
        <v>3.0342009132420094</v>
      </c>
      <c r="X26" s="12">
        <f>'MCH2'!X26/'MCH2'!X3</f>
        <v>8.3923701298701303</v>
      </c>
      <c r="Y26" s="12">
        <f>'MCH2'!Y26/'MCH2'!Y3</f>
        <v>11.205127186009538</v>
      </c>
      <c r="Z26" s="12">
        <f>'MCH2'!Z26/'MCH2'!Z3</f>
        <v>10.899475065616798</v>
      </c>
      <c r="AA26" s="12">
        <f>'MCH2'!AA26/'MCH2'!AA3</f>
        <v>8.6896551724137936</v>
      </c>
      <c r="AB26" s="12">
        <f>'MCH2'!AB26/'MCH2'!AB3</f>
        <v>20.417628205128207</v>
      </c>
      <c r="AC26" s="12">
        <f>'MCH2'!AC26/'MCH2'!AC3</f>
        <v>2.8188235294117647</v>
      </c>
      <c r="AD26" s="12">
        <f>'MCH2'!AD26/'MCH2'!AD3</f>
        <v>20.281843971631208</v>
      </c>
      <c r="AE26" s="12">
        <f>'MCH2'!AE26/'MCH2'!AE3</f>
        <v>2.2429219600725951</v>
      </c>
      <c r="AF26" s="12">
        <f>'MCH2'!AF26/'MCH2'!AF3</f>
        <v>0.24344422700587084</v>
      </c>
      <c r="AG26" s="12">
        <f>'MCH2'!AG26/'MCH2'!AG3</f>
        <v>12.522765509989485</v>
      </c>
      <c r="AH26" s="12">
        <f>'MCH2'!AH26/'MCH2'!AH3</f>
        <v>11.069980582524272</v>
      </c>
      <c r="AI26" s="12">
        <f>'MCH2'!AI26/'MCH2'!AI3</f>
        <v>5.5787280701754387</v>
      </c>
      <c r="AJ26" s="12">
        <f>'MCH2'!AJ26/'MCH2'!AJ3</f>
        <v>27.982203389830509</v>
      </c>
      <c r="AK26" s="12">
        <f>'MCH2'!AK26/'MCH2'!AK3</f>
        <v>3.5250531349628051</v>
      </c>
      <c r="AL26" s="12">
        <f>'MCH2'!AL26/'MCH2'!AL3</f>
        <v>26.553994614003592</v>
      </c>
      <c r="AM26" s="12">
        <f>'MCH2'!AM26/'MCH2'!AM3</f>
        <v>5.2605998356614627</v>
      </c>
      <c r="AN26" s="12">
        <f>'MCH2'!AN26/'MCH2'!AN3</f>
        <v>0</v>
      </c>
      <c r="AO26" s="12">
        <f>'MCH2'!AO26/'MCH2'!AO3</f>
        <v>25.597120331950208</v>
      </c>
      <c r="AP26" s="12">
        <f>'MCH2'!AP26/'MCH2'!AP3</f>
        <v>3.2607200000000001</v>
      </c>
      <c r="AQ26" s="12">
        <f>'MCH2'!AQ26/'MCH2'!AQ3</f>
        <v>2.266402535657686</v>
      </c>
      <c r="AR26" s="12">
        <f>'MCH2'!AR26/'MCH2'!AR3</f>
        <v>17.113372549019608</v>
      </c>
      <c r="AS26" s="12">
        <f>'MCH2'!AS26/'MCH2'!AS3</f>
        <v>9.0494428969359326</v>
      </c>
      <c r="AT26" s="12">
        <f>'MCH2'!AT26/'MCH2'!AT3</f>
        <v>14.93369351669941</v>
      </c>
      <c r="AU26" s="12">
        <f>'MCH2'!AU26/'MCH2'!AU3</f>
        <v>14.59061433447099</v>
      </c>
      <c r="AV26" s="12">
        <f>'MCH2'!AV26/'MCH2'!AV3</f>
        <v>8.6242299794661186</v>
      </c>
      <c r="AW26" s="12">
        <f>'MCH2'!AW26/'MCH2'!AW3</f>
        <v>15.753117048346057</v>
      </c>
      <c r="AX26" s="12">
        <f>'MCH2'!AX26/'MCH2'!AX3</f>
        <v>14.389945652173912</v>
      </c>
      <c r="AY26" s="12">
        <f>'MCH2'!AY26/'MCH2'!AY3</f>
        <v>0</v>
      </c>
      <c r="AZ26" s="12">
        <f>'MCH2'!AZ26/'MCH2'!AZ3</f>
        <v>2.4003345280764634</v>
      </c>
      <c r="BA26" s="12">
        <f>'MCH2'!BA26/'MCH2'!BA3</f>
        <v>6.3250639386189258</v>
      </c>
      <c r="BB26" s="12">
        <f>'MCH2'!BB26/'MCH2'!BB3</f>
        <v>7.1233840304182507</v>
      </c>
      <c r="BC26" s="12">
        <f>'MCH2'!BC26/'MCH2'!BC3</f>
        <v>19.323655913978495</v>
      </c>
      <c r="BD26" s="12">
        <f>'MCH2'!BD26/'MCH2'!BD3</f>
        <v>29.63050768514206</v>
      </c>
      <c r="BE26" s="12">
        <f>'MCH2'!BE26/'MCH2'!BE3</f>
        <v>8.7116300366300372</v>
      </c>
      <c r="BF26" s="12">
        <f t="shared" si="10"/>
        <v>674.43862895242944</v>
      </c>
      <c r="BG26" s="12">
        <f t="shared" si="7"/>
        <v>297.66077939053781</v>
      </c>
      <c r="BH26" s="12">
        <f t="shared" si="8"/>
        <v>142.3449669996796</v>
      </c>
      <c r="BI26" s="12">
        <f t="shared" si="9"/>
        <v>234.432882562212</v>
      </c>
    </row>
    <row r="27" spans="2:61" x14ac:dyDescent="0.25">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row>
    <row r="28" spans="2:61" x14ac:dyDescent="0.25">
      <c r="B28" s="66">
        <v>33</v>
      </c>
      <c r="C28" s="66"/>
      <c r="D28" s="66" t="s">
        <v>97</v>
      </c>
      <c r="E28" s="67">
        <f>E29+E30</f>
        <v>287.52804416403785</v>
      </c>
      <c r="F28" s="67">
        <f t="shared" ref="F28:BI28" si="11">F29+F30</f>
        <v>321.83720930232556</v>
      </c>
      <c r="G28" s="67">
        <f t="shared" si="11"/>
        <v>166.6988322717622</v>
      </c>
      <c r="H28" s="67">
        <f t="shared" si="11"/>
        <v>211.27052154195013</v>
      </c>
      <c r="I28" s="67">
        <f t="shared" si="11"/>
        <v>232.9587873033098</v>
      </c>
      <c r="J28" s="67">
        <f t="shared" si="11"/>
        <v>328.73094778146691</v>
      </c>
      <c r="K28" s="67">
        <f t="shared" si="11"/>
        <v>238.3260512434062</v>
      </c>
      <c r="L28" s="67">
        <f t="shared" si="11"/>
        <v>472.27324707185818</v>
      </c>
      <c r="M28" s="67">
        <f t="shared" si="11"/>
        <v>450.85908088235294</v>
      </c>
      <c r="N28" s="67">
        <f t="shared" si="11"/>
        <v>453.56455357142858</v>
      </c>
      <c r="O28" s="67">
        <f t="shared" si="11"/>
        <v>189.0447192239377</v>
      </c>
      <c r="P28" s="67">
        <f t="shared" si="11"/>
        <v>235.09683908045977</v>
      </c>
      <c r="Q28" s="67">
        <f t="shared" si="11"/>
        <v>119.10377358490567</v>
      </c>
      <c r="R28" s="67">
        <f t="shared" si="11"/>
        <v>206.23529411764707</v>
      </c>
      <c r="S28" s="67">
        <f t="shared" si="11"/>
        <v>301.91000000000003</v>
      </c>
      <c r="T28" s="67">
        <f t="shared" si="11"/>
        <v>230.3850613915416</v>
      </c>
      <c r="U28" s="67">
        <f t="shared" si="11"/>
        <v>148.70314814814813</v>
      </c>
      <c r="V28" s="67">
        <f t="shared" si="11"/>
        <v>335.23225419664266</v>
      </c>
      <c r="W28" s="67">
        <f t="shared" si="11"/>
        <v>335.35653272450526</v>
      </c>
      <c r="X28" s="67">
        <f t="shared" si="11"/>
        <v>194.33847402597402</v>
      </c>
      <c r="Y28" s="67">
        <f t="shared" si="11"/>
        <v>235.58978537360892</v>
      </c>
      <c r="Z28" s="67">
        <f t="shared" si="11"/>
        <v>327.28608923884514</v>
      </c>
      <c r="AA28" s="67">
        <f t="shared" si="11"/>
        <v>1135.2833333333333</v>
      </c>
      <c r="AB28" s="67">
        <f t="shared" si="11"/>
        <v>1045.6213461538462</v>
      </c>
      <c r="AC28" s="67">
        <f t="shared" si="11"/>
        <v>183.84294117647059</v>
      </c>
      <c r="AD28" s="67">
        <f t="shared" si="11"/>
        <v>400.67744680851058</v>
      </c>
      <c r="AE28" s="67">
        <f t="shared" si="11"/>
        <v>226.33112522686025</v>
      </c>
      <c r="AF28" s="67">
        <f t="shared" si="11"/>
        <v>199.85311154598827</v>
      </c>
      <c r="AG28" s="67">
        <f t="shared" si="11"/>
        <v>321.14207676130383</v>
      </c>
      <c r="AH28" s="67">
        <f t="shared" si="11"/>
        <v>301.19646601941747</v>
      </c>
      <c r="AI28" s="67">
        <f t="shared" si="11"/>
        <v>275.86162280701751</v>
      </c>
      <c r="AJ28" s="67">
        <f t="shared" si="11"/>
        <v>1339.16406779661</v>
      </c>
      <c r="AK28" s="67">
        <f t="shared" si="11"/>
        <v>225.10029224229544</v>
      </c>
      <c r="AL28" s="67">
        <f t="shared" si="11"/>
        <v>353.01867145421903</v>
      </c>
      <c r="AM28" s="67">
        <f t="shared" si="11"/>
        <v>222.62119967132293</v>
      </c>
      <c r="AN28" s="67">
        <f t="shared" si="11"/>
        <v>366.79487179487177</v>
      </c>
      <c r="AO28" s="67">
        <f t="shared" si="11"/>
        <v>506.1720082987552</v>
      </c>
      <c r="AP28" s="67">
        <f t="shared" si="11"/>
        <v>179.52</v>
      </c>
      <c r="AQ28" s="67">
        <f t="shared" si="11"/>
        <v>356.53630744849448</v>
      </c>
      <c r="AR28" s="67">
        <f t="shared" si="11"/>
        <v>762.40240784313721</v>
      </c>
      <c r="AS28" s="67">
        <f t="shared" si="11"/>
        <v>242.3773676880223</v>
      </c>
      <c r="AT28" s="67">
        <f t="shared" si="11"/>
        <v>259.92652259332027</v>
      </c>
      <c r="AU28" s="67">
        <f t="shared" si="11"/>
        <v>442.27832764505121</v>
      </c>
      <c r="AV28" s="67">
        <f t="shared" si="11"/>
        <v>345.79244353182747</v>
      </c>
      <c r="AW28" s="67">
        <f t="shared" si="11"/>
        <v>146.7358778625954</v>
      </c>
      <c r="AX28" s="67">
        <f t="shared" si="11"/>
        <v>181.57608695652175</v>
      </c>
      <c r="AY28" s="67">
        <f t="shared" si="11"/>
        <v>528.4234234234234</v>
      </c>
      <c r="AZ28" s="67">
        <f t="shared" si="11"/>
        <v>347.19121863799285</v>
      </c>
      <c r="BA28" s="67">
        <f t="shared" si="11"/>
        <v>118.54219948849105</v>
      </c>
      <c r="BB28" s="67">
        <f t="shared" si="11"/>
        <v>372.57769961977186</v>
      </c>
      <c r="BC28" s="67">
        <f t="shared" si="11"/>
        <v>135.7258064516129</v>
      </c>
      <c r="BD28" s="67">
        <f t="shared" si="11"/>
        <v>451.99785281788547</v>
      </c>
      <c r="BE28" s="67">
        <f t="shared" si="11"/>
        <v>169.13919413919413</v>
      </c>
      <c r="BF28" s="67">
        <f t="shared" si="11"/>
        <v>18165.75256347828</v>
      </c>
      <c r="BG28" s="67">
        <f t="shared" si="11"/>
        <v>5265.1148976016857</v>
      </c>
      <c r="BH28" s="67">
        <f t="shared" si="11"/>
        <v>6186.1878862677859</v>
      </c>
      <c r="BI28" s="67">
        <f t="shared" si="11"/>
        <v>6714.4497796088053</v>
      </c>
    </row>
    <row r="29" spans="2:61" x14ac:dyDescent="0.25">
      <c r="C29" s="7">
        <v>330</v>
      </c>
      <c r="D29" s="7" t="s">
        <v>99</v>
      </c>
      <c r="E29" s="12">
        <f>'MCH2'!E29/'MCH2'!E3</f>
        <v>287.52804416403785</v>
      </c>
      <c r="F29" s="12">
        <f>'MCH2'!F29/'MCH2'!F3</f>
        <v>274.24031007751938</v>
      </c>
      <c r="G29" s="12">
        <f>'MCH2'!G29/'MCH2'!G3</f>
        <v>162.99076433121019</v>
      </c>
      <c r="H29" s="12">
        <f>'MCH2'!H29/'MCH2'!H3</f>
        <v>211.27052154195013</v>
      </c>
      <c r="I29" s="12">
        <f>'MCH2'!I29/'MCH2'!I3</f>
        <v>232.9587873033098</v>
      </c>
      <c r="J29" s="12">
        <f>'MCH2'!J29/'MCH2'!J3</f>
        <v>322.51407787503769</v>
      </c>
      <c r="K29" s="12">
        <f>'MCH2'!K29/'MCH2'!K3</f>
        <v>237.57710625470989</v>
      </c>
      <c r="L29" s="12">
        <f>'MCH2'!L29/'MCH2'!L3</f>
        <v>463.00976416587525</v>
      </c>
      <c r="M29" s="12">
        <f>'MCH2'!M29/'MCH2'!M3</f>
        <v>443.92525735294117</v>
      </c>
      <c r="N29" s="12">
        <f>'MCH2'!N29/'MCH2'!N3</f>
        <v>453.56455357142858</v>
      </c>
      <c r="O29" s="12">
        <f>'MCH2'!O29/'MCH2'!O3</f>
        <v>181.78033201257003</v>
      </c>
      <c r="P29" s="12">
        <f>'MCH2'!P29/'MCH2'!P3</f>
        <v>235.09683908045977</v>
      </c>
      <c r="Q29" s="12">
        <f>'MCH2'!Q29/'MCH2'!Q3</f>
        <v>119.10377358490567</v>
      </c>
      <c r="R29" s="12">
        <f>'MCH2'!R29/'MCH2'!R3</f>
        <v>206.23529411764707</v>
      </c>
      <c r="S29" s="12">
        <f>'MCH2'!S29/'MCH2'!S3</f>
        <v>301.91000000000003</v>
      </c>
      <c r="T29" s="12">
        <f>'MCH2'!T29/'MCH2'!T3</f>
        <v>230.3850613915416</v>
      </c>
      <c r="U29" s="12">
        <f>'MCH2'!U29/'MCH2'!U3</f>
        <v>148.70314814814813</v>
      </c>
      <c r="V29" s="12">
        <f>'MCH2'!V29/'MCH2'!V3</f>
        <v>281.87769784172662</v>
      </c>
      <c r="W29" s="12">
        <f>'MCH2'!W29/'MCH2'!W3</f>
        <v>327.41115372907149</v>
      </c>
      <c r="X29" s="12">
        <f>'MCH2'!X29/'MCH2'!X3</f>
        <v>194.33847402597402</v>
      </c>
      <c r="Y29" s="12">
        <f>'MCH2'!Y29/'MCH2'!Y3</f>
        <v>231.6152225755167</v>
      </c>
      <c r="Z29" s="12">
        <f>'MCH2'!Z29/'MCH2'!Z3</f>
        <v>327.28608923884514</v>
      </c>
      <c r="AA29" s="12">
        <f>'MCH2'!AA29/'MCH2'!AA3</f>
        <v>1135.2833333333333</v>
      </c>
      <c r="AB29" s="12">
        <f>'MCH2'!AB29/'MCH2'!AB3</f>
        <v>1045.6213461538462</v>
      </c>
      <c r="AC29" s="12">
        <f>'MCH2'!AC29/'MCH2'!AC3</f>
        <v>183.84294117647059</v>
      </c>
      <c r="AD29" s="12">
        <f>'MCH2'!AD29/'MCH2'!AD3</f>
        <v>400.67744680851058</v>
      </c>
      <c r="AE29" s="12">
        <f>'MCH2'!AE29/'MCH2'!AE3</f>
        <v>226.33112522686025</v>
      </c>
      <c r="AF29" s="12">
        <f>'MCH2'!AF29/'MCH2'!AF3</f>
        <v>199.85311154598827</v>
      </c>
      <c r="AG29" s="12">
        <f>'MCH2'!AG29/'MCH2'!AG3</f>
        <v>313.16762881177704</v>
      </c>
      <c r="AH29" s="12">
        <f>'MCH2'!AH29/'MCH2'!AH3</f>
        <v>285.59840776699031</v>
      </c>
      <c r="AI29" s="12">
        <f>'MCH2'!AI29/'MCH2'!AI3</f>
        <v>275.86162280701751</v>
      </c>
      <c r="AJ29" s="12">
        <f>'MCH2'!AJ29/'MCH2'!AJ3</f>
        <v>1339.16406779661</v>
      </c>
      <c r="AK29" s="12">
        <f>'MCH2'!AK29/'MCH2'!AK3</f>
        <v>225.10029224229544</v>
      </c>
      <c r="AL29" s="12">
        <f>'MCH2'!AL29/'MCH2'!AL3</f>
        <v>353.01867145421903</v>
      </c>
      <c r="AM29" s="12">
        <f>'MCH2'!AM29/'MCH2'!AM3</f>
        <v>206.39276910435498</v>
      </c>
      <c r="AN29" s="12">
        <f>'MCH2'!AN29/'MCH2'!AN3</f>
        <v>366.79487179487177</v>
      </c>
      <c r="AO29" s="12">
        <f>'MCH2'!AO29/'MCH2'!AO3</f>
        <v>497.5413029045643</v>
      </c>
      <c r="AP29" s="12">
        <f>'MCH2'!AP29/'MCH2'!AP3</f>
        <v>179.52</v>
      </c>
      <c r="AQ29" s="12">
        <f>'MCH2'!AQ29/'MCH2'!AQ3</f>
        <v>356.53630744849448</v>
      </c>
      <c r="AR29" s="12">
        <f>'MCH2'!AR29/'MCH2'!AR3</f>
        <v>730.66178039215686</v>
      </c>
      <c r="AS29" s="12">
        <f>'MCH2'!AS29/'MCH2'!AS3</f>
        <v>239.31330083565462</v>
      </c>
      <c r="AT29" s="12">
        <f>'MCH2'!AT29/'MCH2'!AT3</f>
        <v>259.17210216110021</v>
      </c>
      <c r="AU29" s="12">
        <f>'MCH2'!AU29/'MCH2'!AU3</f>
        <v>442.27832764505121</v>
      </c>
      <c r="AV29" s="12">
        <f>'MCH2'!AV29/'MCH2'!AV3</f>
        <v>338.62718685831618</v>
      </c>
      <c r="AW29" s="12">
        <f>'MCH2'!AW29/'MCH2'!AW3</f>
        <v>146.7358778625954</v>
      </c>
      <c r="AX29" s="12">
        <f>'MCH2'!AX29/'MCH2'!AX3</f>
        <v>181.57608695652175</v>
      </c>
      <c r="AY29" s="12">
        <f>'MCH2'!AY29/'MCH2'!AY3</f>
        <v>514.90990990990986</v>
      </c>
      <c r="AZ29" s="12">
        <f>'MCH2'!AZ29/'MCH2'!AZ3</f>
        <v>315.39611708482676</v>
      </c>
      <c r="BA29" s="12">
        <f>'MCH2'!BA29/'MCH2'!BA3</f>
        <v>116.08695652173913</v>
      </c>
      <c r="BB29" s="12">
        <f>'MCH2'!BB29/'MCH2'!BB3</f>
        <v>372.11719581749048</v>
      </c>
      <c r="BC29" s="12">
        <f>'MCH2'!BC29/'MCH2'!BC3</f>
        <v>135.7258064516129</v>
      </c>
      <c r="BD29" s="12">
        <f>'MCH2'!BD29/'MCH2'!BD3</f>
        <v>431.93785126533152</v>
      </c>
      <c r="BE29" s="12">
        <f>'MCH2'!BE29/'MCH2'!BE3</f>
        <v>169.13919413919413</v>
      </c>
      <c r="BF29" s="12">
        <f t="shared" ref="BF29:BF30" si="12">SUM(E29:BE29)</f>
        <v>17859.305212662133</v>
      </c>
      <c r="BG29" s="12">
        <f t="shared" ref="BG29:BG30" si="13">SUM(E29:W29)</f>
        <v>5122.08248654409</v>
      </c>
      <c r="BH29" s="12">
        <f t="shared" ref="BH29:BH30" si="14">SUM(X29:AJ29)</f>
        <v>6158.6408172677393</v>
      </c>
      <c r="BI29" s="12">
        <f t="shared" ref="BI29:BI30" si="15">SUM(AK29:BE29)</f>
        <v>6578.5819088503004</v>
      </c>
    </row>
    <row r="30" spans="2:61" x14ac:dyDescent="0.25">
      <c r="C30" s="7">
        <v>332</v>
      </c>
      <c r="D30" s="7" t="s">
        <v>98</v>
      </c>
      <c r="E30" s="12">
        <f>'MCH2'!E30/'MCH2'!E3</f>
        <v>0</v>
      </c>
      <c r="F30" s="12">
        <f>'MCH2'!F30/'MCH2'!F3</f>
        <v>47.596899224806201</v>
      </c>
      <c r="G30" s="12">
        <f>'MCH2'!G30/'MCH2'!G3</f>
        <v>3.7080679405520169</v>
      </c>
      <c r="H30" s="12">
        <f>'MCH2'!H30/'MCH2'!H3</f>
        <v>0</v>
      </c>
      <c r="I30" s="12">
        <f>'MCH2'!I30/'MCH2'!I3</f>
        <v>0</v>
      </c>
      <c r="J30" s="12">
        <f>'MCH2'!J30/'MCH2'!J3</f>
        <v>6.2168699064292188</v>
      </c>
      <c r="K30" s="12">
        <f>'MCH2'!K30/'MCH2'!K3</f>
        <v>0.74894498869630743</v>
      </c>
      <c r="L30" s="12">
        <f>'MCH2'!L30/'MCH2'!L3</f>
        <v>9.2634829059829062</v>
      </c>
      <c r="M30" s="12">
        <f>'MCH2'!M30/'MCH2'!M3</f>
        <v>6.9338235294117645</v>
      </c>
      <c r="N30" s="12">
        <f>'MCH2'!N30/'MCH2'!N3</f>
        <v>0</v>
      </c>
      <c r="O30" s="12">
        <f>'MCH2'!O30/'MCH2'!O3</f>
        <v>7.2643872113676737</v>
      </c>
      <c r="P30" s="12">
        <f>'MCH2'!P30/'MCH2'!P3</f>
        <v>0</v>
      </c>
      <c r="Q30" s="12">
        <f>'MCH2'!Q30/'MCH2'!Q3</f>
        <v>0</v>
      </c>
      <c r="R30" s="12">
        <f>'MCH2'!R30/'MCH2'!R3</f>
        <v>0</v>
      </c>
      <c r="S30" s="12">
        <f>'MCH2'!S30/'MCH2'!S3</f>
        <v>0</v>
      </c>
      <c r="T30" s="12">
        <f>'MCH2'!T30/'MCH2'!T3</f>
        <v>0</v>
      </c>
      <c r="U30" s="12">
        <f>'MCH2'!U30/'MCH2'!U3</f>
        <v>0</v>
      </c>
      <c r="V30" s="12">
        <f>'MCH2'!V30/'MCH2'!V3</f>
        <v>53.354556354916063</v>
      </c>
      <c r="W30" s="12">
        <f>'MCH2'!W30/'MCH2'!W3</f>
        <v>7.9453789954337894</v>
      </c>
      <c r="X30" s="12">
        <f>'MCH2'!X30/'MCH2'!X3</f>
        <v>0</v>
      </c>
      <c r="Y30" s="12">
        <f>'MCH2'!Y30/'MCH2'!Y3</f>
        <v>3.9745627980922098</v>
      </c>
      <c r="Z30" s="12">
        <f>'MCH2'!Z30/'MCH2'!Z3</f>
        <v>0</v>
      </c>
      <c r="AA30" s="12">
        <f>'MCH2'!AA30/'MCH2'!AA3</f>
        <v>0</v>
      </c>
      <c r="AB30" s="12">
        <f>'MCH2'!AB30/'MCH2'!AB3</f>
        <v>0</v>
      </c>
      <c r="AC30" s="12">
        <f>'MCH2'!AC30/'MCH2'!AC3</f>
        <v>0</v>
      </c>
      <c r="AD30" s="12">
        <f>'MCH2'!AD30/'MCH2'!AD3</f>
        <v>0</v>
      </c>
      <c r="AE30" s="12">
        <f>'MCH2'!AE30/'MCH2'!AE3</f>
        <v>0</v>
      </c>
      <c r="AF30" s="12">
        <f>'MCH2'!AF30/'MCH2'!AF3</f>
        <v>0</v>
      </c>
      <c r="AG30" s="12">
        <f>'MCH2'!AG30/'MCH2'!AG3</f>
        <v>7.9744479495268141</v>
      </c>
      <c r="AH30" s="12">
        <f>'MCH2'!AH30/'MCH2'!AH3</f>
        <v>15.598058252427185</v>
      </c>
      <c r="AI30" s="12">
        <f>'MCH2'!AI30/'MCH2'!AI3</f>
        <v>0</v>
      </c>
      <c r="AJ30" s="12">
        <f>'MCH2'!AJ30/'MCH2'!AJ3</f>
        <v>0</v>
      </c>
      <c r="AK30" s="12">
        <f>'MCH2'!AK30/'MCH2'!AK3</f>
        <v>0</v>
      </c>
      <c r="AL30" s="12">
        <f>'MCH2'!AL30/'MCH2'!AL3</f>
        <v>0</v>
      </c>
      <c r="AM30" s="12">
        <f>'MCH2'!AM30/'MCH2'!AM3</f>
        <v>16.228430566967955</v>
      </c>
      <c r="AN30" s="12">
        <f>'MCH2'!AN30/'MCH2'!AN3</f>
        <v>0</v>
      </c>
      <c r="AO30" s="12">
        <f>'MCH2'!AO30/'MCH2'!AO3</f>
        <v>8.6307053941908709</v>
      </c>
      <c r="AP30" s="12">
        <f>'MCH2'!AP30/'MCH2'!AP3</f>
        <v>0</v>
      </c>
      <c r="AQ30" s="12">
        <f>'MCH2'!AQ30/'MCH2'!AQ3</f>
        <v>0</v>
      </c>
      <c r="AR30" s="12">
        <f>'MCH2'!AR30/'MCH2'!AR3</f>
        <v>31.740627450980394</v>
      </c>
      <c r="AS30" s="12">
        <f>'MCH2'!AS30/'MCH2'!AS3</f>
        <v>3.0640668523676879</v>
      </c>
      <c r="AT30" s="12">
        <f>'MCH2'!AT30/'MCH2'!AT3</f>
        <v>0.75442043222003929</v>
      </c>
      <c r="AU30" s="12">
        <f>'MCH2'!AU30/'MCH2'!AU3</f>
        <v>0</v>
      </c>
      <c r="AV30" s="12">
        <f>'MCH2'!AV30/'MCH2'!AV3</f>
        <v>7.1652566735112941</v>
      </c>
      <c r="AW30" s="12">
        <f>'MCH2'!AW30/'MCH2'!AW3</f>
        <v>0</v>
      </c>
      <c r="AX30" s="12">
        <f>'MCH2'!AX30/'MCH2'!AX3</f>
        <v>0</v>
      </c>
      <c r="AY30" s="12">
        <f>'MCH2'!AY30/'MCH2'!AY3</f>
        <v>13.513513513513514</v>
      </c>
      <c r="AZ30" s="12">
        <f>'MCH2'!AZ30/'MCH2'!AZ3</f>
        <v>31.79510155316607</v>
      </c>
      <c r="BA30" s="12">
        <f>'MCH2'!BA30/'MCH2'!BA3</f>
        <v>2.4552429667519182</v>
      </c>
      <c r="BB30" s="12">
        <f>'MCH2'!BB30/'MCH2'!BB3</f>
        <v>0.46050380228136883</v>
      </c>
      <c r="BC30" s="12">
        <f>'MCH2'!BC30/'MCH2'!BC3</f>
        <v>0</v>
      </c>
      <c r="BD30" s="12">
        <f>'MCH2'!BD30/'MCH2'!BD3</f>
        <v>20.060001552553953</v>
      </c>
      <c r="BE30" s="12">
        <f>'MCH2'!BE30/'MCH2'!BE3</f>
        <v>0</v>
      </c>
      <c r="BF30" s="12">
        <f t="shared" si="12"/>
        <v>306.44735081614726</v>
      </c>
      <c r="BG30" s="12">
        <f t="shared" si="13"/>
        <v>143.03241105759597</v>
      </c>
      <c r="BH30" s="12">
        <f t="shared" si="14"/>
        <v>27.547069000046207</v>
      </c>
      <c r="BI30" s="12">
        <f t="shared" si="15"/>
        <v>135.86787075850506</v>
      </c>
    </row>
    <row r="31" spans="2:61" x14ac:dyDescent="0.25">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row>
    <row r="32" spans="2:61" x14ac:dyDescent="0.25">
      <c r="B32" s="66">
        <v>34</v>
      </c>
      <c r="C32" s="66"/>
      <c r="D32" s="66" t="s">
        <v>100</v>
      </c>
      <c r="E32" s="67">
        <f>E33+E34+E35+E36+E37+E38</f>
        <v>57.208580441640379</v>
      </c>
      <c r="F32" s="67">
        <f t="shared" ref="F32:BI32" si="16">F33+F34+F35+F36+F37+F38</f>
        <v>483.07980620155041</v>
      </c>
      <c r="G32" s="67">
        <f t="shared" si="16"/>
        <v>158.52821656050955</v>
      </c>
      <c r="H32" s="67">
        <f t="shared" si="16"/>
        <v>182.93027210884352</v>
      </c>
      <c r="I32" s="67">
        <f t="shared" si="16"/>
        <v>124.23381172002171</v>
      </c>
      <c r="J32" s="67">
        <f t="shared" si="16"/>
        <v>63.358351946875942</v>
      </c>
      <c r="K32" s="67">
        <f t="shared" si="16"/>
        <v>61.685591559909568</v>
      </c>
      <c r="L32" s="67">
        <f t="shared" si="16"/>
        <v>170.7362353592909</v>
      </c>
      <c r="M32" s="67">
        <f t="shared" si="16"/>
        <v>37.504742647058819</v>
      </c>
      <c r="N32" s="67">
        <f t="shared" si="16"/>
        <v>64.893303571428575</v>
      </c>
      <c r="O32" s="67">
        <f t="shared" si="16"/>
        <v>50.77904221888236</v>
      </c>
      <c r="P32" s="67">
        <f t="shared" si="16"/>
        <v>91.281992337164752</v>
      </c>
      <c r="Q32" s="67">
        <f t="shared" si="16"/>
        <v>98.742735849056601</v>
      </c>
      <c r="R32" s="67">
        <f t="shared" si="16"/>
        <v>381.18767058823528</v>
      </c>
      <c r="S32" s="67">
        <f t="shared" si="16"/>
        <v>188.18277142857141</v>
      </c>
      <c r="T32" s="67">
        <f t="shared" si="16"/>
        <v>74.500845839017742</v>
      </c>
      <c r="U32" s="67">
        <f t="shared" si="16"/>
        <v>57.16762962962963</v>
      </c>
      <c r="V32" s="67">
        <f t="shared" si="16"/>
        <v>110.93450839328536</v>
      </c>
      <c r="W32" s="67">
        <f t="shared" si="16"/>
        <v>56.462593607305934</v>
      </c>
      <c r="X32" s="67">
        <f t="shared" si="16"/>
        <v>39.824870129870135</v>
      </c>
      <c r="Y32" s="67">
        <f t="shared" si="16"/>
        <v>102.00844992050875</v>
      </c>
      <c r="Z32" s="67">
        <f t="shared" si="16"/>
        <v>11.110649606299212</v>
      </c>
      <c r="AA32" s="67">
        <f t="shared" si="16"/>
        <v>63.388735632183909</v>
      </c>
      <c r="AB32" s="67">
        <f t="shared" si="16"/>
        <v>91.777692307692305</v>
      </c>
      <c r="AC32" s="67">
        <f t="shared" si="16"/>
        <v>153.98394117647061</v>
      </c>
      <c r="AD32" s="67">
        <f t="shared" si="16"/>
        <v>95.934893617021274</v>
      </c>
      <c r="AE32" s="67">
        <f t="shared" si="16"/>
        <v>63.663520871143376</v>
      </c>
      <c r="AF32" s="67">
        <f t="shared" si="16"/>
        <v>173.77544031311157</v>
      </c>
      <c r="AG32" s="67">
        <f t="shared" si="16"/>
        <v>48.970078864353304</v>
      </c>
      <c r="AH32" s="67">
        <f t="shared" si="16"/>
        <v>59.865157281553394</v>
      </c>
      <c r="AI32" s="67">
        <f t="shared" si="16"/>
        <v>75.231008771929808</v>
      </c>
      <c r="AJ32" s="67">
        <f t="shared" si="16"/>
        <v>294.97483050847461</v>
      </c>
      <c r="AK32" s="67">
        <f t="shared" si="16"/>
        <v>93.697449521785344</v>
      </c>
      <c r="AL32" s="67">
        <f t="shared" si="16"/>
        <v>166.18751346499101</v>
      </c>
      <c r="AM32" s="67">
        <f t="shared" si="16"/>
        <v>124.58110928512737</v>
      </c>
      <c r="AN32" s="67">
        <f t="shared" si="16"/>
        <v>174.54717948717948</v>
      </c>
      <c r="AO32" s="67">
        <f t="shared" si="16"/>
        <v>174.50562655601661</v>
      </c>
      <c r="AP32" s="67">
        <f t="shared" si="16"/>
        <v>132.614912</v>
      </c>
      <c r="AQ32" s="67">
        <f t="shared" si="16"/>
        <v>95.166069730586372</v>
      </c>
      <c r="AR32" s="67">
        <f t="shared" si="16"/>
        <v>202.14800784313726</v>
      </c>
      <c r="AS32" s="67">
        <f t="shared" si="16"/>
        <v>106.18721448467967</v>
      </c>
      <c r="AT32" s="67">
        <f t="shared" si="16"/>
        <v>149.93307465618861</v>
      </c>
      <c r="AU32" s="67">
        <f t="shared" si="16"/>
        <v>75.995392491467584</v>
      </c>
      <c r="AV32" s="67">
        <f t="shared" si="16"/>
        <v>78.156735112936346</v>
      </c>
      <c r="AW32" s="67">
        <f t="shared" si="16"/>
        <v>95.882201017811695</v>
      </c>
      <c r="AX32" s="67">
        <f t="shared" si="16"/>
        <v>44.479076086956525</v>
      </c>
      <c r="AY32" s="67">
        <f t="shared" si="16"/>
        <v>43.498018018018016</v>
      </c>
      <c r="AZ32" s="67">
        <f t="shared" si="16"/>
        <v>175.22956391875746</v>
      </c>
      <c r="BA32" s="67">
        <f t="shared" si="16"/>
        <v>61.193759590792837</v>
      </c>
      <c r="BB32" s="67">
        <f t="shared" si="16"/>
        <v>104.81728136882128</v>
      </c>
      <c r="BC32" s="67">
        <f t="shared" si="16"/>
        <v>3.3865591397849464</v>
      </c>
      <c r="BD32" s="67">
        <f t="shared" si="16"/>
        <v>152.00180096258347</v>
      </c>
      <c r="BE32" s="67">
        <f t="shared" si="16"/>
        <v>106.76496336996335</v>
      </c>
      <c r="BF32" s="67">
        <f t="shared" si="16"/>
        <v>6148.8814791164768</v>
      </c>
      <c r="BG32" s="67">
        <f t="shared" si="16"/>
        <v>2513.3987020082786</v>
      </c>
      <c r="BH32" s="67">
        <f t="shared" si="16"/>
        <v>1274.5092690006122</v>
      </c>
      <c r="BI32" s="67">
        <f t="shared" si="16"/>
        <v>2360.9735081075855</v>
      </c>
    </row>
    <row r="33" spans="2:61" x14ac:dyDescent="0.25">
      <c r="C33" s="7">
        <v>340</v>
      </c>
      <c r="D33" s="7" t="s">
        <v>101</v>
      </c>
      <c r="E33" s="12">
        <f>'MCH2'!E33/'MCH2'!E3</f>
        <v>57.208580441640379</v>
      </c>
      <c r="F33" s="12">
        <f>'MCH2'!F33/'MCH2'!F3</f>
        <v>109.03934108527132</v>
      </c>
      <c r="G33" s="12">
        <f>'MCH2'!G33/'MCH2'!G3</f>
        <v>114.6952016985138</v>
      </c>
      <c r="H33" s="12">
        <f>'MCH2'!H33/'MCH2'!H3</f>
        <v>129.47585034013605</v>
      </c>
      <c r="I33" s="12">
        <f>'MCH2'!I33/'MCH2'!I3</f>
        <v>80.143488876831256</v>
      </c>
      <c r="J33" s="12">
        <f>'MCH2'!J33/'MCH2'!J3</f>
        <v>58.510597645638391</v>
      </c>
      <c r="K33" s="12">
        <f>'MCH2'!K33/'MCH2'!K3</f>
        <v>38.712754333082138</v>
      </c>
      <c r="L33" s="12">
        <f>'MCH2'!L33/'MCH2'!L3</f>
        <v>143.22637068692623</v>
      </c>
      <c r="M33" s="12">
        <f>'MCH2'!M33/'MCH2'!M3</f>
        <v>31.163176470588233</v>
      </c>
      <c r="N33" s="12">
        <f>'MCH2'!N33/'MCH2'!N3</f>
        <v>64.893303571428575</v>
      </c>
      <c r="O33" s="12">
        <f>'MCH2'!O33/'MCH2'!O3</f>
        <v>40.420051919661155</v>
      </c>
      <c r="P33" s="12">
        <f>'MCH2'!P33/'MCH2'!P3</f>
        <v>75.088984674329495</v>
      </c>
      <c r="Q33" s="12">
        <f>'MCH2'!Q33/'MCH2'!Q3</f>
        <v>76.904528301886799</v>
      </c>
      <c r="R33" s="12">
        <f>'MCH2'!R33/'MCH2'!R3</f>
        <v>91.2072</v>
      </c>
      <c r="S33" s="12">
        <f>'MCH2'!S33/'MCH2'!S3</f>
        <v>185.0114857142857</v>
      </c>
      <c r="T33" s="12">
        <f>'MCH2'!T33/'MCH2'!T3</f>
        <v>61.540886766712141</v>
      </c>
      <c r="U33" s="12">
        <f>'MCH2'!U33/'MCH2'!U3</f>
        <v>37.234333333333332</v>
      </c>
      <c r="V33" s="12">
        <f>'MCH2'!V33/'MCH2'!V3</f>
        <v>85.41808153477217</v>
      </c>
      <c r="W33" s="12">
        <f>'MCH2'!W33/'MCH2'!W3</f>
        <v>50.574465753424654</v>
      </c>
      <c r="X33" s="12">
        <f>'MCH2'!X33/'MCH2'!X3</f>
        <v>26.750616883116884</v>
      </c>
      <c r="Y33" s="12">
        <f>'MCH2'!Y33/'MCH2'!Y3</f>
        <v>102.00844992050875</v>
      </c>
      <c r="Z33" s="12">
        <f>'MCH2'!Z33/'MCH2'!Z3</f>
        <v>6.7660629921259838</v>
      </c>
      <c r="AA33" s="12">
        <f>'MCH2'!AA33/'MCH2'!AA3</f>
        <v>55.122643678160919</v>
      </c>
      <c r="AB33" s="12">
        <f>'MCH2'!AB33/'MCH2'!AB3</f>
        <v>22.995961538461536</v>
      </c>
      <c r="AC33" s="12">
        <f>'MCH2'!AC33/'MCH2'!AC3</f>
        <v>121.7767843137255</v>
      </c>
      <c r="AD33" s="12">
        <f>'MCH2'!AD33/'MCH2'!AD3</f>
        <v>81.103262411347515</v>
      </c>
      <c r="AE33" s="12">
        <f>'MCH2'!AE33/'MCH2'!AE3</f>
        <v>63.663520871143376</v>
      </c>
      <c r="AF33" s="12">
        <f>'MCH2'!AF33/'MCH2'!AF3</f>
        <v>29.473874755381605</v>
      </c>
      <c r="AG33" s="12">
        <f>'MCH2'!AG33/'MCH2'!AG3</f>
        <v>24.426692954784436</v>
      </c>
      <c r="AH33" s="12">
        <f>'MCH2'!AH33/'MCH2'!AH3</f>
        <v>51.499429126213592</v>
      </c>
      <c r="AI33" s="12">
        <f>'MCH2'!AI33/'MCH2'!AI3</f>
        <v>73.992850877192978</v>
      </c>
      <c r="AJ33" s="12">
        <f>'MCH2'!AJ33/'MCH2'!AJ3</f>
        <v>38.798983050847454</v>
      </c>
      <c r="AK33" s="12">
        <f>'MCH2'!AK33/'MCH2'!AK3</f>
        <v>83.089319872476096</v>
      </c>
      <c r="AL33" s="12">
        <f>'MCH2'!AL33/'MCH2'!AL3</f>
        <v>106.89278276481149</v>
      </c>
      <c r="AM33" s="12">
        <f>'MCH2'!AM33/'MCH2'!AM3</f>
        <v>106.16360723089565</v>
      </c>
      <c r="AN33" s="12">
        <f>'MCH2'!AN33/'MCH2'!AN3</f>
        <v>167.81128205128203</v>
      </c>
      <c r="AO33" s="12">
        <f>'MCH2'!AO33/'MCH2'!AO3</f>
        <v>49.969568464730294</v>
      </c>
      <c r="AP33" s="12">
        <f>'MCH2'!AP33/'MCH2'!AP3</f>
        <v>118.649552</v>
      </c>
      <c r="AQ33" s="12">
        <f>'MCH2'!AQ33/'MCH2'!AQ3</f>
        <v>95.166069730586372</v>
      </c>
      <c r="AR33" s="12">
        <f>'MCH2'!AR33/'MCH2'!AR3</f>
        <v>61.465458823529417</v>
      </c>
      <c r="AS33" s="12">
        <f>'MCH2'!AS33/'MCH2'!AS3</f>
        <v>95.208245125348199</v>
      </c>
      <c r="AT33" s="12">
        <f>'MCH2'!AT33/'MCH2'!AT3</f>
        <v>103.99530451866404</v>
      </c>
      <c r="AU33" s="12">
        <f>'MCH2'!AU33/'MCH2'!AU3</f>
        <v>75.995392491467584</v>
      </c>
      <c r="AV33" s="12">
        <f>'MCH2'!AV33/'MCH2'!AV3</f>
        <v>78.156735112936346</v>
      </c>
      <c r="AW33" s="12">
        <f>'MCH2'!AW33/'MCH2'!AW3</f>
        <v>76.652938931297712</v>
      </c>
      <c r="AX33" s="12">
        <f>'MCH2'!AX33/'MCH2'!AX3</f>
        <v>38.46521739130435</v>
      </c>
      <c r="AY33" s="12">
        <f>'MCH2'!AY33/'MCH2'!AY3</f>
        <v>43.498018018018016</v>
      </c>
      <c r="AZ33" s="12">
        <f>'MCH2'!AZ33/'MCH2'!AZ3</f>
        <v>170.78491039426524</v>
      </c>
      <c r="BA33" s="12">
        <f>'MCH2'!BA33/'MCH2'!BA3</f>
        <v>48.360383631713553</v>
      </c>
      <c r="BB33" s="12">
        <f>'MCH2'!BB33/'MCH2'!BB3</f>
        <v>74.085009505703411</v>
      </c>
      <c r="BC33" s="12">
        <f>'MCH2'!BC33/'MCH2'!BC3</f>
        <v>1.4951612903225808</v>
      </c>
      <c r="BD33" s="12">
        <f>'MCH2'!BD33/'MCH2'!BD3</f>
        <v>117.12737307871448</v>
      </c>
      <c r="BE33" s="12">
        <f>'MCH2'!BE33/'MCH2'!BE3</f>
        <v>67.56642857142856</v>
      </c>
      <c r="BF33" s="12">
        <f t="shared" ref="BF33:BF38" si="17">SUM(E33:BE33)</f>
        <v>4009.4465755209685</v>
      </c>
      <c r="BG33" s="12">
        <f t="shared" ref="BG33:BG38" si="18">SUM(E33:W33)</f>
        <v>1530.4686831484619</v>
      </c>
      <c r="BH33" s="12">
        <f t="shared" ref="BH33:BH38" si="19">SUM(X33:AJ33)</f>
        <v>698.37913337301052</v>
      </c>
      <c r="BI33" s="12">
        <f t="shared" ref="BI33:BI38" si="20">SUM(AK33:BE33)</f>
        <v>1780.5987589994957</v>
      </c>
    </row>
    <row r="34" spans="2:61" x14ac:dyDescent="0.25">
      <c r="C34" s="7">
        <v>341</v>
      </c>
      <c r="D34" s="7" t="s">
        <v>102</v>
      </c>
      <c r="E34" s="12">
        <f>'MCH2'!E34/'MCH2'!E3</f>
        <v>0</v>
      </c>
      <c r="F34" s="12">
        <f>'MCH2'!F34/'MCH2'!F3</f>
        <v>0</v>
      </c>
      <c r="G34" s="12">
        <f>'MCH2'!G34/'MCH2'!G3</f>
        <v>0</v>
      </c>
      <c r="H34" s="12">
        <f>'MCH2'!H34/'MCH2'!H3</f>
        <v>0</v>
      </c>
      <c r="I34" s="12">
        <f>'MCH2'!I34/'MCH2'!I3</f>
        <v>0</v>
      </c>
      <c r="J34" s="12">
        <f>'MCH2'!J34/'MCH2'!J3</f>
        <v>0</v>
      </c>
      <c r="K34" s="12">
        <f>'MCH2'!K34/'MCH2'!K3</f>
        <v>0</v>
      </c>
      <c r="L34" s="12">
        <f>'MCH2'!L34/'MCH2'!L3</f>
        <v>0</v>
      </c>
      <c r="M34" s="12">
        <f>'MCH2'!M34/'MCH2'!M3</f>
        <v>0</v>
      </c>
      <c r="N34" s="12">
        <f>'MCH2'!N34/'MCH2'!N3</f>
        <v>0</v>
      </c>
      <c r="O34" s="12">
        <f>'MCH2'!O34/'MCH2'!O3</f>
        <v>0</v>
      </c>
      <c r="P34" s="12">
        <f>'MCH2'!P34/'MCH2'!P3</f>
        <v>0</v>
      </c>
      <c r="Q34" s="12">
        <f>'MCH2'!Q34/'MCH2'!Q3</f>
        <v>0</v>
      </c>
      <c r="R34" s="12">
        <f>'MCH2'!R34/'MCH2'!R3</f>
        <v>256.84800000000001</v>
      </c>
      <c r="S34" s="12">
        <f>'MCH2'!S34/'MCH2'!S3</f>
        <v>0</v>
      </c>
      <c r="T34" s="12">
        <f>'MCH2'!T34/'MCH2'!T3</f>
        <v>0</v>
      </c>
      <c r="U34" s="12">
        <f>'MCH2'!U34/'MCH2'!U3</f>
        <v>0</v>
      </c>
      <c r="V34" s="12">
        <f>'MCH2'!V34/'MCH2'!V3</f>
        <v>0</v>
      </c>
      <c r="W34" s="12">
        <f>'MCH2'!W34/'MCH2'!W3</f>
        <v>0</v>
      </c>
      <c r="X34" s="12">
        <f>'MCH2'!X34/'MCH2'!X3</f>
        <v>0</v>
      </c>
      <c r="Y34" s="12">
        <f>'MCH2'!Y34/'MCH2'!Y3</f>
        <v>0</v>
      </c>
      <c r="Z34" s="12">
        <f>'MCH2'!Z34/'MCH2'!Z3</f>
        <v>0</v>
      </c>
      <c r="AA34" s="12">
        <f>'MCH2'!AA34/'MCH2'!AA3</f>
        <v>0</v>
      </c>
      <c r="AB34" s="12">
        <f>'MCH2'!AB34/'MCH2'!AB3</f>
        <v>0</v>
      </c>
      <c r="AC34" s="12">
        <f>'MCH2'!AC34/'MCH2'!AC3</f>
        <v>0</v>
      </c>
      <c r="AD34" s="12">
        <f>'MCH2'!AD34/'MCH2'!AD3</f>
        <v>9.6465957446808517</v>
      </c>
      <c r="AE34" s="12">
        <f>'MCH2'!AE34/'MCH2'!AE3</f>
        <v>0</v>
      </c>
      <c r="AF34" s="12">
        <f>'MCH2'!AF34/'MCH2'!AF3</f>
        <v>0</v>
      </c>
      <c r="AG34" s="12">
        <f>'MCH2'!AG34/'MCH2'!AG3</f>
        <v>0</v>
      </c>
      <c r="AH34" s="12">
        <f>'MCH2'!AH34/'MCH2'!AH3</f>
        <v>0</v>
      </c>
      <c r="AI34" s="12">
        <f>'MCH2'!AI34/'MCH2'!AI3</f>
        <v>0</v>
      </c>
      <c r="AJ34" s="12">
        <f>'MCH2'!AJ34/'MCH2'!AJ3</f>
        <v>0</v>
      </c>
      <c r="AK34" s="12">
        <f>'MCH2'!AK34/'MCH2'!AK3</f>
        <v>0</v>
      </c>
      <c r="AL34" s="12">
        <f>'MCH2'!AL34/'MCH2'!AL3</f>
        <v>0.93186714542190296</v>
      </c>
      <c r="AM34" s="12">
        <f>'MCH2'!AM34/'MCH2'!AM3</f>
        <v>0</v>
      </c>
      <c r="AN34" s="12">
        <f>'MCH2'!AN34/'MCH2'!AN3</f>
        <v>0</v>
      </c>
      <c r="AO34" s="12">
        <f>'MCH2'!AO34/'MCH2'!AO3</f>
        <v>0</v>
      </c>
      <c r="AP34" s="12">
        <f>'MCH2'!AP34/'MCH2'!AP3</f>
        <v>0</v>
      </c>
      <c r="AQ34" s="12">
        <f>'MCH2'!AQ34/'MCH2'!AQ3</f>
        <v>0</v>
      </c>
      <c r="AR34" s="12">
        <f>'MCH2'!AR34/'MCH2'!AR3</f>
        <v>0</v>
      </c>
      <c r="AS34" s="12">
        <f>'MCH2'!AS34/'MCH2'!AS3</f>
        <v>0</v>
      </c>
      <c r="AT34" s="12">
        <f>'MCH2'!AT34/'MCH2'!AT3</f>
        <v>0</v>
      </c>
      <c r="AU34" s="12">
        <f>'MCH2'!AU34/'MCH2'!AU3</f>
        <v>0</v>
      </c>
      <c r="AV34" s="12">
        <f>'MCH2'!AV34/'MCH2'!AV3</f>
        <v>0</v>
      </c>
      <c r="AW34" s="12">
        <f>'MCH2'!AW34/'MCH2'!AW3</f>
        <v>0</v>
      </c>
      <c r="AX34" s="12">
        <f>'MCH2'!AX34/'MCH2'!AX3</f>
        <v>0</v>
      </c>
      <c r="AY34" s="12">
        <f>'MCH2'!AY34/'MCH2'!AY3</f>
        <v>0</v>
      </c>
      <c r="AZ34" s="12">
        <f>'MCH2'!AZ34/'MCH2'!AZ3</f>
        <v>0</v>
      </c>
      <c r="BA34" s="12">
        <f>'MCH2'!BA34/'MCH2'!BA3</f>
        <v>0</v>
      </c>
      <c r="BB34" s="12">
        <f>'MCH2'!BB34/'MCH2'!BB3</f>
        <v>0</v>
      </c>
      <c r="BC34" s="12">
        <f>'MCH2'!BC34/'MCH2'!BC3</f>
        <v>0</v>
      </c>
      <c r="BD34" s="12">
        <f>'MCH2'!BD34/'MCH2'!BD3</f>
        <v>6.6050520105573671</v>
      </c>
      <c r="BE34" s="12">
        <f>'MCH2'!BE34/'MCH2'!BE3</f>
        <v>0</v>
      </c>
      <c r="BF34" s="12">
        <f t="shared" si="17"/>
        <v>274.03151490066011</v>
      </c>
      <c r="BG34" s="12">
        <f t="shared" si="18"/>
        <v>256.84800000000001</v>
      </c>
      <c r="BH34" s="12">
        <f t="shared" si="19"/>
        <v>9.6465957446808517</v>
      </c>
      <c r="BI34" s="12">
        <f t="shared" si="20"/>
        <v>7.5369191559792696</v>
      </c>
    </row>
    <row r="35" spans="2:61" x14ac:dyDescent="0.25">
      <c r="C35" s="7">
        <v>342</v>
      </c>
      <c r="D35" s="7" t="s">
        <v>103</v>
      </c>
      <c r="E35" s="12">
        <f>'MCH2'!E35/'MCH2'!E3</f>
        <v>0</v>
      </c>
      <c r="F35" s="12">
        <f>'MCH2'!F35/'MCH2'!F3</f>
        <v>0</v>
      </c>
      <c r="G35" s="12">
        <f>'MCH2'!G35/'MCH2'!G3</f>
        <v>0</v>
      </c>
      <c r="H35" s="12">
        <f>'MCH2'!H35/'MCH2'!H3</f>
        <v>0</v>
      </c>
      <c r="I35" s="12">
        <f>'MCH2'!I35/'MCH2'!I3</f>
        <v>0</v>
      </c>
      <c r="J35" s="12">
        <f>'MCH2'!J35/'MCH2'!J3</f>
        <v>0</v>
      </c>
      <c r="K35" s="12">
        <f>'MCH2'!K35/'MCH2'!K3</f>
        <v>0</v>
      </c>
      <c r="L35" s="12">
        <f>'MCH2'!L35/'MCH2'!L3</f>
        <v>0</v>
      </c>
      <c r="M35" s="12">
        <f>'MCH2'!M35/'MCH2'!M3</f>
        <v>0</v>
      </c>
      <c r="N35" s="12">
        <f>'MCH2'!N35/'MCH2'!N3</f>
        <v>0</v>
      </c>
      <c r="O35" s="12">
        <f>'MCH2'!O35/'MCH2'!O3</f>
        <v>0</v>
      </c>
      <c r="P35" s="12">
        <f>'MCH2'!P35/'MCH2'!P3</f>
        <v>0</v>
      </c>
      <c r="Q35" s="12">
        <f>'MCH2'!Q35/'MCH2'!Q3</f>
        <v>0</v>
      </c>
      <c r="R35" s="12">
        <f>'MCH2'!R35/'MCH2'!R3</f>
        <v>0</v>
      </c>
      <c r="S35" s="12">
        <f>'MCH2'!S35/'MCH2'!S3</f>
        <v>0</v>
      </c>
      <c r="T35" s="12">
        <f>'MCH2'!T35/'MCH2'!T3</f>
        <v>0</v>
      </c>
      <c r="U35" s="12">
        <f>'MCH2'!U35/'MCH2'!U3</f>
        <v>0</v>
      </c>
      <c r="V35" s="12">
        <f>'MCH2'!V35/'MCH2'!V3</f>
        <v>0</v>
      </c>
      <c r="W35" s="12">
        <f>'MCH2'!W35/'MCH2'!W3</f>
        <v>4.7610350076103501E-3</v>
      </c>
      <c r="X35" s="12">
        <f>'MCH2'!X35/'MCH2'!X3</f>
        <v>0</v>
      </c>
      <c r="Y35" s="12">
        <f>'MCH2'!Y35/'MCH2'!Y3</f>
        <v>0</v>
      </c>
      <c r="Z35" s="12">
        <f>'MCH2'!Z35/'MCH2'!Z3</f>
        <v>0</v>
      </c>
      <c r="AA35" s="12">
        <f>'MCH2'!AA35/'MCH2'!AA3</f>
        <v>0</v>
      </c>
      <c r="AB35" s="12">
        <f>'MCH2'!AB35/'MCH2'!AB3</f>
        <v>0</v>
      </c>
      <c r="AC35" s="12">
        <f>'MCH2'!AC35/'MCH2'!AC3</f>
        <v>0</v>
      </c>
      <c r="AD35" s="12">
        <f>'MCH2'!AD35/'MCH2'!AD3</f>
        <v>0</v>
      </c>
      <c r="AE35" s="12">
        <f>'MCH2'!AE35/'MCH2'!AE3</f>
        <v>0</v>
      </c>
      <c r="AF35" s="12">
        <f>'MCH2'!AF35/'MCH2'!AF3</f>
        <v>0</v>
      </c>
      <c r="AG35" s="12">
        <f>'MCH2'!AG35/'MCH2'!AG3</f>
        <v>0</v>
      </c>
      <c r="AH35" s="12">
        <f>'MCH2'!AH35/'MCH2'!AH3</f>
        <v>0</v>
      </c>
      <c r="AI35" s="12">
        <f>'MCH2'!AI35/'MCH2'!AI3</f>
        <v>0.8771929824561403</v>
      </c>
      <c r="AJ35" s="12">
        <f>'MCH2'!AJ35/'MCH2'!AJ3</f>
        <v>0</v>
      </c>
      <c r="AK35" s="12">
        <f>'MCH2'!AK35/'MCH2'!AK3</f>
        <v>0</v>
      </c>
      <c r="AL35" s="12">
        <f>'MCH2'!AL35/'MCH2'!AL3</f>
        <v>0</v>
      </c>
      <c r="AM35" s="12">
        <f>'MCH2'!AM35/'MCH2'!AM3</f>
        <v>0</v>
      </c>
      <c r="AN35" s="12">
        <f>'MCH2'!AN35/'MCH2'!AN3</f>
        <v>0</v>
      </c>
      <c r="AO35" s="12">
        <f>'MCH2'!AO35/'MCH2'!AO3</f>
        <v>0</v>
      </c>
      <c r="AP35" s="12">
        <f>'MCH2'!AP35/'MCH2'!AP3</f>
        <v>0</v>
      </c>
      <c r="AQ35" s="12">
        <f>'MCH2'!AQ35/'MCH2'!AQ3</f>
        <v>0</v>
      </c>
      <c r="AR35" s="12">
        <f>'MCH2'!AR35/'MCH2'!AR3</f>
        <v>0</v>
      </c>
      <c r="AS35" s="12">
        <f>'MCH2'!AS35/'MCH2'!AS3</f>
        <v>0</v>
      </c>
      <c r="AT35" s="12">
        <f>'MCH2'!AT35/'MCH2'!AT3</f>
        <v>0</v>
      </c>
      <c r="AU35" s="12">
        <f>'MCH2'!AU35/'MCH2'!AU3</f>
        <v>0</v>
      </c>
      <c r="AV35" s="12">
        <f>'MCH2'!AV35/'MCH2'!AV3</f>
        <v>0</v>
      </c>
      <c r="AW35" s="12">
        <f>'MCH2'!AW35/'MCH2'!AW3</f>
        <v>0</v>
      </c>
      <c r="AX35" s="12">
        <f>'MCH2'!AX35/'MCH2'!AX3</f>
        <v>0</v>
      </c>
      <c r="AY35" s="12">
        <f>'MCH2'!AY35/'MCH2'!AY3</f>
        <v>0</v>
      </c>
      <c r="AZ35" s="12">
        <f>'MCH2'!AZ35/'MCH2'!AZ3</f>
        <v>0</v>
      </c>
      <c r="BA35" s="12">
        <f>'MCH2'!BA35/'MCH2'!BA3</f>
        <v>0</v>
      </c>
      <c r="BB35" s="12">
        <f>'MCH2'!BB35/'MCH2'!BB3</f>
        <v>0</v>
      </c>
      <c r="BC35" s="12">
        <f>'MCH2'!BC35/'MCH2'!BC3</f>
        <v>0</v>
      </c>
      <c r="BD35" s="12">
        <f>'MCH2'!BD35/'MCH2'!BD3</f>
        <v>0</v>
      </c>
      <c r="BE35" s="12">
        <f>'MCH2'!BE35/'MCH2'!BE3</f>
        <v>0</v>
      </c>
      <c r="BF35" s="12">
        <f t="shared" si="17"/>
        <v>0.88195401746375068</v>
      </c>
      <c r="BG35" s="12">
        <f t="shared" si="18"/>
        <v>4.7610350076103501E-3</v>
      </c>
      <c r="BH35" s="12">
        <f t="shared" si="19"/>
        <v>0.8771929824561403</v>
      </c>
      <c r="BI35" s="12">
        <f t="shared" si="20"/>
        <v>0</v>
      </c>
    </row>
    <row r="36" spans="2:61" x14ac:dyDescent="0.25">
      <c r="C36" s="7">
        <v>343</v>
      </c>
      <c r="D36" s="7" t="s">
        <v>104</v>
      </c>
      <c r="E36" s="12">
        <f>'MCH2'!E36/'MCH2'!E3</f>
        <v>0</v>
      </c>
      <c r="F36" s="12">
        <f>'MCH2'!F36/'MCH2'!F3</f>
        <v>35.587558139534885</v>
      </c>
      <c r="G36" s="12">
        <f>'MCH2'!G36/'MCH2'!G3</f>
        <v>43.83301486199575</v>
      </c>
      <c r="H36" s="12">
        <f>'MCH2'!H36/'MCH2'!H3</f>
        <v>53.454421768707483</v>
      </c>
      <c r="I36" s="12">
        <f>'MCH2'!I36/'MCH2'!I3</f>
        <v>44.090322843190449</v>
      </c>
      <c r="J36" s="12">
        <f>'MCH2'!J36/'MCH2'!J3</f>
        <v>4.8477543012375488</v>
      </c>
      <c r="K36" s="12">
        <f>'MCH2'!K36/'MCH2'!K3</f>
        <v>22.674932177844763</v>
      </c>
      <c r="L36" s="12">
        <f>'MCH2'!L36/'MCH2'!L3</f>
        <v>27.509864672364674</v>
      </c>
      <c r="M36" s="12">
        <f>'MCH2'!M36/'MCH2'!M3</f>
        <v>6.3383088235294123</v>
      </c>
      <c r="N36" s="12">
        <f>'MCH2'!N36/'MCH2'!N3</f>
        <v>0</v>
      </c>
      <c r="O36" s="12">
        <f>'MCH2'!O36/'MCH2'!O3</f>
        <v>10.358990299221205</v>
      </c>
      <c r="P36" s="12">
        <f>'MCH2'!P36/'MCH2'!P3</f>
        <v>16.19300766283525</v>
      </c>
      <c r="Q36" s="12">
        <f>'MCH2'!Q36/'MCH2'!Q3</f>
        <v>21.838207547169809</v>
      </c>
      <c r="R36" s="12">
        <f>'MCH2'!R36/'MCH2'!R3</f>
        <v>33.132470588235293</v>
      </c>
      <c r="S36" s="12">
        <f>'MCH2'!S36/'MCH2'!S3</f>
        <v>3.1712857142857143</v>
      </c>
      <c r="T36" s="12">
        <f>'MCH2'!T36/'MCH2'!T3</f>
        <v>11.70450204638472</v>
      </c>
      <c r="U36" s="12">
        <f>'MCH2'!U36/'MCH2'!U3</f>
        <v>19.933296296296295</v>
      </c>
      <c r="V36" s="12">
        <f>'MCH2'!V36/'MCH2'!V3</f>
        <v>25.516426858513189</v>
      </c>
      <c r="W36" s="12">
        <f>'MCH2'!W36/'MCH2'!W3</f>
        <v>5.9019360730593613</v>
      </c>
      <c r="X36" s="12">
        <f>'MCH2'!X36/'MCH2'!X3</f>
        <v>-1.0650974025974027</v>
      </c>
      <c r="Y36" s="12">
        <f>'MCH2'!Y36/'MCH2'!Y3</f>
        <v>0</v>
      </c>
      <c r="Z36" s="12">
        <f>'MCH2'!Z36/'MCH2'!Z3</f>
        <v>4.3445866141732283</v>
      </c>
      <c r="AA36" s="12">
        <f>'MCH2'!AA36/'MCH2'!AA3</f>
        <v>8.266091954022988</v>
      </c>
      <c r="AB36" s="12">
        <f>'MCH2'!AB36/'MCH2'!AB3</f>
        <v>52.055128205128206</v>
      </c>
      <c r="AC36" s="12">
        <f>'MCH2'!AC36/'MCH2'!AC3</f>
        <v>32.207156862745101</v>
      </c>
      <c r="AD36" s="12">
        <f>'MCH2'!AD36/'MCH2'!AD3</f>
        <v>5.1850354609929079</v>
      </c>
      <c r="AE36" s="12">
        <f>'MCH2'!AE36/'MCH2'!AE3</f>
        <v>0</v>
      </c>
      <c r="AF36" s="12">
        <f>'MCH2'!AF36/'MCH2'!AF3</f>
        <v>144.30156555772996</v>
      </c>
      <c r="AG36" s="12">
        <f>'MCH2'!AG36/'MCH2'!AG3</f>
        <v>20.811014721345952</v>
      </c>
      <c r="AH36" s="12">
        <f>'MCH2'!AH36/'MCH2'!AH3</f>
        <v>8.3657281553398057</v>
      </c>
      <c r="AI36" s="12">
        <f>'MCH2'!AI36/'MCH2'!AI3</f>
        <v>0.3607456140350877</v>
      </c>
      <c r="AJ36" s="12">
        <f>'MCH2'!AJ36/'MCH2'!AJ3</f>
        <v>228.63771186440678</v>
      </c>
      <c r="AK36" s="12">
        <f>'MCH2'!AK36/'MCH2'!AK3</f>
        <v>10.608129649309246</v>
      </c>
      <c r="AL36" s="12">
        <f>'MCH2'!AL36/'MCH2'!AL3</f>
        <v>51.000897666068219</v>
      </c>
      <c r="AM36" s="12">
        <f>'MCH2'!AM36/'MCH2'!AM3</f>
        <v>18.417502054231715</v>
      </c>
      <c r="AN36" s="12">
        <f>'MCH2'!AN36/'MCH2'!AN3</f>
        <v>0</v>
      </c>
      <c r="AO36" s="12">
        <f>'MCH2'!AO36/'MCH2'!AO3</f>
        <v>124.53605809128632</v>
      </c>
      <c r="AP36" s="12">
        <f>'MCH2'!AP36/'MCH2'!AP3</f>
        <v>8.7754399999999997</v>
      </c>
      <c r="AQ36" s="12">
        <f>'MCH2'!AQ36/'MCH2'!AQ3</f>
        <v>0</v>
      </c>
      <c r="AR36" s="12">
        <f>'MCH2'!AR36/'MCH2'!AR3</f>
        <v>140.68254901960785</v>
      </c>
      <c r="AS36" s="12">
        <f>'MCH2'!AS36/'MCH2'!AS3</f>
        <v>8.7975905292479109</v>
      </c>
      <c r="AT36" s="12">
        <f>'MCH2'!AT36/'MCH2'!AT3</f>
        <v>45.937770137524559</v>
      </c>
      <c r="AU36" s="12">
        <f>'MCH2'!AU36/'MCH2'!AU3</f>
        <v>0</v>
      </c>
      <c r="AV36" s="12">
        <f>'MCH2'!AV36/'MCH2'!AV3</f>
        <v>0</v>
      </c>
      <c r="AW36" s="12">
        <f>'MCH2'!AW36/'MCH2'!AW3</f>
        <v>18.93734096692112</v>
      </c>
      <c r="AX36" s="12">
        <f>'MCH2'!AX36/'MCH2'!AX3</f>
        <v>0</v>
      </c>
      <c r="AY36" s="12">
        <f>'MCH2'!AY36/'MCH2'!AY3</f>
        <v>0</v>
      </c>
      <c r="AZ36" s="12">
        <f>'MCH2'!AZ36/'MCH2'!AZ3</f>
        <v>4.4446535244922343</v>
      </c>
      <c r="BA36" s="12">
        <f>'MCH2'!BA36/'MCH2'!BA3</f>
        <v>12.833375959079286</v>
      </c>
      <c r="BB36" s="12">
        <f>'MCH2'!BB36/'MCH2'!BB3</f>
        <v>28.433792775665399</v>
      </c>
      <c r="BC36" s="12">
        <f>'MCH2'!BC36/'MCH2'!BC3</f>
        <v>1.8913978494623656</v>
      </c>
      <c r="BD36" s="12">
        <f>'MCH2'!BD36/'MCH2'!BD3</f>
        <v>15.153865859338612</v>
      </c>
      <c r="BE36" s="12">
        <f>'MCH2'!BE36/'MCH2'!BE3</f>
        <v>34.705494505494507</v>
      </c>
      <c r="BF36" s="12">
        <f t="shared" si="17"/>
        <v>1414.7118268694574</v>
      </c>
      <c r="BG36" s="12">
        <f t="shared" si="18"/>
        <v>386.08630067440578</v>
      </c>
      <c r="BH36" s="12">
        <f t="shared" si="19"/>
        <v>503.46966760732255</v>
      </c>
      <c r="BI36" s="12">
        <f t="shared" si="20"/>
        <v>525.15585858772931</v>
      </c>
    </row>
    <row r="37" spans="2:61" x14ac:dyDescent="0.25">
      <c r="C37" s="7">
        <v>344</v>
      </c>
      <c r="D37" s="7" t="s">
        <v>105</v>
      </c>
      <c r="E37" s="12">
        <f>'MCH2'!E37/'MCH2'!E3</f>
        <v>0</v>
      </c>
      <c r="F37" s="12">
        <f>'MCH2'!F37/'MCH2'!F3</f>
        <v>338.44961240310079</v>
      </c>
      <c r="G37" s="12">
        <f>'MCH2'!G37/'MCH2'!G3</f>
        <v>0</v>
      </c>
      <c r="H37" s="12">
        <f>'MCH2'!H37/'MCH2'!H3</f>
        <v>0</v>
      </c>
      <c r="I37" s="12">
        <f>'MCH2'!I37/'MCH2'!I3</f>
        <v>0</v>
      </c>
      <c r="J37" s="12">
        <f>'MCH2'!J37/'MCH2'!J3</f>
        <v>0</v>
      </c>
      <c r="K37" s="12">
        <f>'MCH2'!K37/'MCH2'!K3</f>
        <v>0.29790504898266768</v>
      </c>
      <c r="L37" s="12">
        <f>'MCH2'!L37/'MCH2'!L3</f>
        <v>0</v>
      </c>
      <c r="M37" s="12">
        <f>'MCH2'!M37/'MCH2'!M3</f>
        <v>0</v>
      </c>
      <c r="N37" s="12">
        <f>'MCH2'!N37/'MCH2'!N3</f>
        <v>0</v>
      </c>
      <c r="O37" s="12">
        <f>'MCH2'!O37/'MCH2'!O3</f>
        <v>0</v>
      </c>
      <c r="P37" s="12">
        <f>'MCH2'!P37/'MCH2'!P3</f>
        <v>0</v>
      </c>
      <c r="Q37" s="12">
        <f>'MCH2'!Q37/'MCH2'!Q3</f>
        <v>0</v>
      </c>
      <c r="R37" s="12">
        <f>'MCH2'!R37/'MCH2'!R3</f>
        <v>0</v>
      </c>
      <c r="S37" s="12">
        <f>'MCH2'!S37/'MCH2'!S3</f>
        <v>0</v>
      </c>
      <c r="T37" s="12">
        <f>'MCH2'!T37/'MCH2'!T3</f>
        <v>1.255457025920873</v>
      </c>
      <c r="U37" s="12">
        <f>'MCH2'!U37/'MCH2'!U3</f>
        <v>0</v>
      </c>
      <c r="V37" s="12">
        <f>'MCH2'!V37/'MCH2'!V3</f>
        <v>0</v>
      </c>
      <c r="W37" s="12">
        <f>'MCH2'!W37/'MCH2'!W3</f>
        <v>0</v>
      </c>
      <c r="X37" s="12">
        <f>'MCH2'!X37/'MCH2'!X3</f>
        <v>0</v>
      </c>
      <c r="Y37" s="12">
        <f>'MCH2'!Y37/'MCH2'!Y3</f>
        <v>0</v>
      </c>
      <c r="Z37" s="12">
        <f>'MCH2'!Z37/'MCH2'!Z3</f>
        <v>0</v>
      </c>
      <c r="AA37" s="12">
        <f>'MCH2'!AA37/'MCH2'!AA3</f>
        <v>0</v>
      </c>
      <c r="AB37" s="12">
        <f>'MCH2'!AB37/'MCH2'!AB3</f>
        <v>0</v>
      </c>
      <c r="AC37" s="12">
        <f>'MCH2'!AC37/'MCH2'!AC3</f>
        <v>0</v>
      </c>
      <c r="AD37" s="12">
        <f>'MCH2'!AD37/'MCH2'!AD3</f>
        <v>0</v>
      </c>
      <c r="AE37" s="12">
        <f>'MCH2'!AE37/'MCH2'!AE3</f>
        <v>0</v>
      </c>
      <c r="AF37" s="12">
        <f>'MCH2'!AF37/'MCH2'!AF3</f>
        <v>0</v>
      </c>
      <c r="AG37" s="12">
        <f>'MCH2'!AG37/'MCH2'!AG3</f>
        <v>0</v>
      </c>
      <c r="AH37" s="12">
        <f>'MCH2'!AH37/'MCH2'!AH3</f>
        <v>0</v>
      </c>
      <c r="AI37" s="12">
        <f>'MCH2'!AI37/'MCH2'!AI3</f>
        <v>0</v>
      </c>
      <c r="AJ37" s="12">
        <f>'MCH2'!AJ37/'MCH2'!AJ3</f>
        <v>26.296610169491526</v>
      </c>
      <c r="AK37" s="12">
        <f>'MCH2'!AK37/'MCH2'!AK3</f>
        <v>0</v>
      </c>
      <c r="AL37" s="12">
        <f>'MCH2'!AL37/'MCH2'!AL3</f>
        <v>0</v>
      </c>
      <c r="AM37" s="12">
        <f>'MCH2'!AM37/'MCH2'!AM3</f>
        <v>0</v>
      </c>
      <c r="AN37" s="12">
        <f>'MCH2'!AN37/'MCH2'!AN3</f>
        <v>0</v>
      </c>
      <c r="AO37" s="12">
        <f>'MCH2'!AO37/'MCH2'!AO3</f>
        <v>0</v>
      </c>
      <c r="AP37" s="12">
        <f>'MCH2'!AP37/'MCH2'!AP3</f>
        <v>0</v>
      </c>
      <c r="AQ37" s="12">
        <f>'MCH2'!AQ37/'MCH2'!AQ3</f>
        <v>0</v>
      </c>
      <c r="AR37" s="12">
        <f>'MCH2'!AR37/'MCH2'!AR3</f>
        <v>0</v>
      </c>
      <c r="AS37" s="12">
        <f>'MCH2'!AS37/'MCH2'!AS3</f>
        <v>0</v>
      </c>
      <c r="AT37" s="12">
        <f>'MCH2'!AT37/'MCH2'!AT3</f>
        <v>0</v>
      </c>
      <c r="AU37" s="12">
        <f>'MCH2'!AU37/'MCH2'!AU3</f>
        <v>0</v>
      </c>
      <c r="AV37" s="12">
        <f>'MCH2'!AV37/'MCH2'!AV3</f>
        <v>0</v>
      </c>
      <c r="AW37" s="12">
        <f>'MCH2'!AW37/'MCH2'!AW3</f>
        <v>0</v>
      </c>
      <c r="AX37" s="12">
        <f>'MCH2'!AX37/'MCH2'!AX3</f>
        <v>1.0869565217391304</v>
      </c>
      <c r="AY37" s="12">
        <f>'MCH2'!AY37/'MCH2'!AY3</f>
        <v>0</v>
      </c>
      <c r="AZ37" s="12">
        <f>'MCH2'!AZ37/'MCH2'!AZ3</f>
        <v>0</v>
      </c>
      <c r="BA37" s="12">
        <f>'MCH2'!BA37/'MCH2'!BA3</f>
        <v>0</v>
      </c>
      <c r="BB37" s="12">
        <f>'MCH2'!BB37/'MCH2'!BB3</f>
        <v>2.2984790874524714</v>
      </c>
      <c r="BC37" s="12">
        <f>'MCH2'!BC37/'MCH2'!BC3</f>
        <v>0</v>
      </c>
      <c r="BD37" s="12">
        <f>'MCH2'!BD37/'MCH2'!BD3</f>
        <v>13.115510013972985</v>
      </c>
      <c r="BE37" s="12">
        <f>'MCH2'!BE37/'MCH2'!BE3</f>
        <v>0</v>
      </c>
      <c r="BF37" s="12">
        <f t="shared" si="17"/>
        <v>382.80053027066043</v>
      </c>
      <c r="BG37" s="12">
        <f t="shared" si="18"/>
        <v>340.00297447800432</v>
      </c>
      <c r="BH37" s="12">
        <f t="shared" si="19"/>
        <v>26.296610169491526</v>
      </c>
      <c r="BI37" s="12">
        <f t="shared" si="20"/>
        <v>16.500945623164586</v>
      </c>
    </row>
    <row r="38" spans="2:61" x14ac:dyDescent="0.25">
      <c r="C38" s="7">
        <v>349</v>
      </c>
      <c r="D38" s="7" t="s">
        <v>106</v>
      </c>
      <c r="E38" s="12">
        <f>'MCH2'!E38/'MCH2'!E3</f>
        <v>0</v>
      </c>
      <c r="F38" s="12">
        <f>'MCH2'!F38/'MCH2'!F3</f>
        <v>3.2945736434108527E-3</v>
      </c>
      <c r="G38" s="12">
        <f>'MCH2'!G38/'MCH2'!G3</f>
        <v>0</v>
      </c>
      <c r="H38" s="12">
        <f>'MCH2'!H38/'MCH2'!H3</f>
        <v>0</v>
      </c>
      <c r="I38" s="12">
        <f>'MCH2'!I38/'MCH2'!I3</f>
        <v>0</v>
      </c>
      <c r="J38" s="12">
        <f>'MCH2'!J38/'MCH2'!J3</f>
        <v>0</v>
      </c>
      <c r="K38" s="12">
        <f>'MCH2'!K38/'MCH2'!K3</f>
        <v>0</v>
      </c>
      <c r="L38" s="12">
        <f>'MCH2'!L38/'MCH2'!L3</f>
        <v>0</v>
      </c>
      <c r="M38" s="12">
        <f>'MCH2'!M38/'MCH2'!M3</f>
        <v>3.2573529411764703E-3</v>
      </c>
      <c r="N38" s="12">
        <f>'MCH2'!N38/'MCH2'!N3</f>
        <v>0</v>
      </c>
      <c r="O38" s="12">
        <f>'MCH2'!O38/'MCH2'!O3</f>
        <v>0</v>
      </c>
      <c r="P38" s="12">
        <f>'MCH2'!P38/'MCH2'!P3</f>
        <v>0</v>
      </c>
      <c r="Q38" s="12">
        <f>'MCH2'!Q38/'MCH2'!Q3</f>
        <v>0</v>
      </c>
      <c r="R38" s="12">
        <f>'MCH2'!R38/'MCH2'!R3</f>
        <v>0</v>
      </c>
      <c r="S38" s="12">
        <f>'MCH2'!S38/'MCH2'!S3</f>
        <v>0</v>
      </c>
      <c r="T38" s="12">
        <f>'MCH2'!T38/'MCH2'!T3</f>
        <v>0</v>
      </c>
      <c r="U38" s="12">
        <f>'MCH2'!U38/'MCH2'!U3</f>
        <v>0</v>
      </c>
      <c r="V38" s="12">
        <f>'MCH2'!V38/'MCH2'!V3</f>
        <v>0</v>
      </c>
      <c r="W38" s="12">
        <f>'MCH2'!W38/'MCH2'!W3</f>
        <v>-1.8569254185692542E-2</v>
      </c>
      <c r="X38" s="12">
        <f>'MCH2'!X38/'MCH2'!X3</f>
        <v>14.13935064935065</v>
      </c>
      <c r="Y38" s="12">
        <f>'MCH2'!Y38/'MCH2'!Y3</f>
        <v>0</v>
      </c>
      <c r="Z38" s="12">
        <f>'MCH2'!Z38/'MCH2'!Z3</f>
        <v>0</v>
      </c>
      <c r="AA38" s="12">
        <f>'MCH2'!AA38/'MCH2'!AA3</f>
        <v>0</v>
      </c>
      <c r="AB38" s="12">
        <f>'MCH2'!AB38/'MCH2'!AB3</f>
        <v>16.726602564102564</v>
      </c>
      <c r="AC38" s="12">
        <f>'MCH2'!AC38/'MCH2'!AC3</f>
        <v>0</v>
      </c>
      <c r="AD38" s="12">
        <f>'MCH2'!AD38/'MCH2'!AD3</f>
        <v>0</v>
      </c>
      <c r="AE38" s="12">
        <f>'MCH2'!AE38/'MCH2'!AE3</f>
        <v>0</v>
      </c>
      <c r="AF38" s="12">
        <f>'MCH2'!AF38/'MCH2'!AF3</f>
        <v>0</v>
      </c>
      <c r="AG38" s="12">
        <f>'MCH2'!AG38/'MCH2'!AG3</f>
        <v>3.7323711882229236</v>
      </c>
      <c r="AH38" s="12">
        <f>'MCH2'!AH38/'MCH2'!AH3</f>
        <v>0</v>
      </c>
      <c r="AI38" s="12">
        <f>'MCH2'!AI38/'MCH2'!AI3</f>
        <v>2.1929824561403509E-4</v>
      </c>
      <c r="AJ38" s="12">
        <f>'MCH2'!AJ38/'MCH2'!AJ3</f>
        <v>1.2415254237288136</v>
      </c>
      <c r="AK38" s="12">
        <f>'MCH2'!AK38/'MCH2'!AK3</f>
        <v>0</v>
      </c>
      <c r="AL38" s="12">
        <f>'MCH2'!AL38/'MCH2'!AL3</f>
        <v>7.361965888689407</v>
      </c>
      <c r="AM38" s="12">
        <f>'MCH2'!AM38/'MCH2'!AM3</f>
        <v>0</v>
      </c>
      <c r="AN38" s="12">
        <f>'MCH2'!AN38/'MCH2'!AN3</f>
        <v>6.7358974358974359</v>
      </c>
      <c r="AO38" s="12">
        <f>'MCH2'!AO38/'MCH2'!AO3</f>
        <v>0</v>
      </c>
      <c r="AP38" s="12">
        <f>'MCH2'!AP38/'MCH2'!AP3</f>
        <v>5.1899199999999999</v>
      </c>
      <c r="AQ38" s="12">
        <f>'MCH2'!AQ38/'MCH2'!AQ3</f>
        <v>0</v>
      </c>
      <c r="AR38" s="12">
        <f>'MCH2'!AR38/'MCH2'!AR3</f>
        <v>0</v>
      </c>
      <c r="AS38" s="12">
        <f>'MCH2'!AS38/'MCH2'!AS3</f>
        <v>2.1813788300835655</v>
      </c>
      <c r="AT38" s="12">
        <f>'MCH2'!AT38/'MCH2'!AT3</f>
        <v>0</v>
      </c>
      <c r="AU38" s="12">
        <f>'MCH2'!AU38/'MCH2'!AU3</f>
        <v>0</v>
      </c>
      <c r="AV38" s="12">
        <f>'MCH2'!AV38/'MCH2'!AV3</f>
        <v>0</v>
      </c>
      <c r="AW38" s="12">
        <f>'MCH2'!AW38/'MCH2'!AW3</f>
        <v>0.29192111959287531</v>
      </c>
      <c r="AX38" s="12">
        <f>'MCH2'!AX38/'MCH2'!AX3</f>
        <v>4.9269021739130432</v>
      </c>
      <c r="AY38" s="12">
        <f>'MCH2'!AY38/'MCH2'!AY3</f>
        <v>0</v>
      </c>
      <c r="AZ38" s="12">
        <f>'MCH2'!AZ38/'MCH2'!AZ3</f>
        <v>0</v>
      </c>
      <c r="BA38" s="12">
        <f>'MCH2'!BA38/'MCH2'!BA3</f>
        <v>0</v>
      </c>
      <c r="BB38" s="12">
        <f>'MCH2'!BB38/'MCH2'!BB3</f>
        <v>0</v>
      </c>
      <c r="BC38" s="12">
        <f>'MCH2'!BC38/'MCH2'!BC3</f>
        <v>0</v>
      </c>
      <c r="BD38" s="12">
        <f>'MCH2'!BD38/'MCH2'!BD3</f>
        <v>0</v>
      </c>
      <c r="BE38" s="12">
        <f>'MCH2'!BE38/'MCH2'!BE3</f>
        <v>4.4930402930402931</v>
      </c>
      <c r="BF38" s="12">
        <f t="shared" si="17"/>
        <v>67.00907753726608</v>
      </c>
      <c r="BG38" s="12">
        <f t="shared" si="18"/>
        <v>-1.2017327601105219E-2</v>
      </c>
      <c r="BH38" s="12">
        <f t="shared" si="19"/>
        <v>35.840069123650565</v>
      </c>
      <c r="BI38" s="12">
        <f t="shared" si="20"/>
        <v>31.181025741216622</v>
      </c>
    </row>
    <row r="39" spans="2:61" x14ac:dyDescent="0.25">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row>
    <row r="40" spans="2:61" x14ac:dyDescent="0.25">
      <c r="B40" s="66">
        <v>35</v>
      </c>
      <c r="C40" s="66"/>
      <c r="D40" s="66" t="s">
        <v>108</v>
      </c>
      <c r="E40" s="67">
        <f>E41+E42</f>
        <v>14.374290220820191</v>
      </c>
      <c r="F40" s="67">
        <f t="shared" ref="F40:BI40" si="21">F41+F42</f>
        <v>86.919844961240315</v>
      </c>
      <c r="G40" s="67">
        <f t="shared" si="21"/>
        <v>11.309023354564756</v>
      </c>
      <c r="H40" s="67">
        <f t="shared" si="21"/>
        <v>0</v>
      </c>
      <c r="I40" s="67">
        <f t="shared" si="21"/>
        <v>77.894343461747155</v>
      </c>
      <c r="J40" s="67">
        <f t="shared" si="21"/>
        <v>2.4873830365227891</v>
      </c>
      <c r="K40" s="67">
        <f t="shared" si="21"/>
        <v>11.255990957045968</v>
      </c>
      <c r="L40" s="67">
        <f t="shared" si="21"/>
        <v>0</v>
      </c>
      <c r="M40" s="67">
        <f t="shared" si="21"/>
        <v>69.557816176470595</v>
      </c>
      <c r="N40" s="67">
        <f t="shared" si="21"/>
        <v>169.64285714285714</v>
      </c>
      <c r="O40" s="67">
        <f t="shared" si="21"/>
        <v>136.47902718950675</v>
      </c>
      <c r="P40" s="67">
        <f t="shared" si="21"/>
        <v>0</v>
      </c>
      <c r="Q40" s="67">
        <f t="shared" si="21"/>
        <v>0</v>
      </c>
      <c r="R40" s="67">
        <f t="shared" si="21"/>
        <v>0</v>
      </c>
      <c r="S40" s="67">
        <f t="shared" si="21"/>
        <v>0</v>
      </c>
      <c r="T40" s="67">
        <f t="shared" si="21"/>
        <v>0</v>
      </c>
      <c r="U40" s="67">
        <f t="shared" si="21"/>
        <v>0</v>
      </c>
      <c r="V40" s="67">
        <f t="shared" si="21"/>
        <v>0</v>
      </c>
      <c r="W40" s="67">
        <f t="shared" si="21"/>
        <v>0</v>
      </c>
      <c r="X40" s="67">
        <f t="shared" si="21"/>
        <v>93.880681818181813</v>
      </c>
      <c r="Y40" s="67">
        <f t="shared" si="21"/>
        <v>0.25687599364069952</v>
      </c>
      <c r="Z40" s="67">
        <f t="shared" si="21"/>
        <v>80.628608923884514</v>
      </c>
      <c r="AA40" s="67">
        <f t="shared" si="21"/>
        <v>141.17126436781609</v>
      </c>
      <c r="AB40" s="67">
        <f t="shared" si="21"/>
        <v>57.3</v>
      </c>
      <c r="AC40" s="67">
        <f t="shared" si="21"/>
        <v>24.419607843137253</v>
      </c>
      <c r="AD40" s="67">
        <f t="shared" si="21"/>
        <v>6.6652482269503546</v>
      </c>
      <c r="AE40" s="67">
        <f t="shared" si="21"/>
        <v>29.861179673321232</v>
      </c>
      <c r="AF40" s="67">
        <f t="shared" si="21"/>
        <v>0</v>
      </c>
      <c r="AG40" s="67">
        <f t="shared" si="21"/>
        <v>17.196687697160883</v>
      </c>
      <c r="AH40" s="67">
        <f t="shared" si="21"/>
        <v>32.253825242718449</v>
      </c>
      <c r="AI40" s="67">
        <f t="shared" si="21"/>
        <v>6.9587719298245609</v>
      </c>
      <c r="AJ40" s="67">
        <f t="shared" si="21"/>
        <v>25.423728813559322</v>
      </c>
      <c r="AK40" s="67">
        <f t="shared" si="21"/>
        <v>1.4325717321997875</v>
      </c>
      <c r="AL40" s="67">
        <f t="shared" si="21"/>
        <v>40.31101436265709</v>
      </c>
      <c r="AM40" s="67">
        <f t="shared" si="21"/>
        <v>6.9336647493837305</v>
      </c>
      <c r="AN40" s="67">
        <f t="shared" si="21"/>
        <v>0</v>
      </c>
      <c r="AO40" s="67">
        <f t="shared" si="21"/>
        <v>0</v>
      </c>
      <c r="AP40" s="67">
        <f t="shared" si="21"/>
        <v>1.6400000000000001E-2</v>
      </c>
      <c r="AQ40" s="67">
        <f t="shared" si="21"/>
        <v>2.7575277337559427</v>
      </c>
      <c r="AR40" s="67">
        <f t="shared" si="21"/>
        <v>196.4204705882353</v>
      </c>
      <c r="AS40" s="67">
        <f t="shared" si="21"/>
        <v>158.93857938718662</v>
      </c>
      <c r="AT40" s="67">
        <f t="shared" si="21"/>
        <v>250.76620825147347</v>
      </c>
      <c r="AU40" s="67">
        <f t="shared" si="21"/>
        <v>4.7882252559726961</v>
      </c>
      <c r="AV40" s="67">
        <f t="shared" si="21"/>
        <v>85.573548254620135</v>
      </c>
      <c r="AW40" s="67">
        <f t="shared" si="21"/>
        <v>21.577608142493638</v>
      </c>
      <c r="AX40" s="67">
        <f t="shared" si="21"/>
        <v>0.32527173913043478</v>
      </c>
      <c r="AY40" s="67">
        <f t="shared" si="21"/>
        <v>0</v>
      </c>
      <c r="AZ40" s="67">
        <f t="shared" si="21"/>
        <v>0.83136200716845876</v>
      </c>
      <c r="BA40" s="67">
        <f t="shared" si="21"/>
        <v>2.9269565217391307</v>
      </c>
      <c r="BB40" s="67">
        <f t="shared" si="21"/>
        <v>67.740674904942964</v>
      </c>
      <c r="BC40" s="67">
        <f t="shared" si="21"/>
        <v>2.3879032258064514</v>
      </c>
      <c r="BD40" s="67">
        <f t="shared" si="21"/>
        <v>2.1161946902654867</v>
      </c>
      <c r="BE40" s="67">
        <f t="shared" si="21"/>
        <v>19.2624358974359</v>
      </c>
      <c r="BF40" s="67">
        <f t="shared" si="21"/>
        <v>1961.0436744754379</v>
      </c>
      <c r="BG40" s="67">
        <f t="shared" si="21"/>
        <v>579.92057650077561</v>
      </c>
      <c r="BH40" s="67">
        <f t="shared" si="21"/>
        <v>516.01648053019517</v>
      </c>
      <c r="BI40" s="67">
        <f t="shared" si="21"/>
        <v>865.10661744446725</v>
      </c>
    </row>
    <row r="41" spans="2:61" x14ac:dyDescent="0.25">
      <c r="C41" s="7">
        <v>350</v>
      </c>
      <c r="D41" s="7" t="s">
        <v>108</v>
      </c>
      <c r="E41" s="12">
        <f>'MCH2'!E41/'MCH2'!E3</f>
        <v>0</v>
      </c>
      <c r="F41" s="12">
        <f>'MCH2'!F41/'MCH2'!F3</f>
        <v>0</v>
      </c>
      <c r="G41" s="12">
        <f>'MCH2'!G41/'MCH2'!G3</f>
        <v>0</v>
      </c>
      <c r="H41" s="12">
        <f>'MCH2'!H41/'MCH2'!H3</f>
        <v>0</v>
      </c>
      <c r="I41" s="12">
        <f>'MCH2'!I41/'MCH2'!I3</f>
        <v>3.4779028757460662</v>
      </c>
      <c r="J41" s="12">
        <f>'MCH2'!J41/'MCH2'!J3</f>
        <v>0</v>
      </c>
      <c r="K41" s="12">
        <f>'MCH2'!K41/'MCH2'!K3</f>
        <v>0</v>
      </c>
      <c r="L41" s="12">
        <f>'MCH2'!L41/'MCH2'!L3</f>
        <v>0</v>
      </c>
      <c r="M41" s="12">
        <f>'MCH2'!M41/'MCH2'!M3</f>
        <v>0</v>
      </c>
      <c r="N41" s="12">
        <f>'MCH2'!N41/'MCH2'!N3</f>
        <v>169.64285714285714</v>
      </c>
      <c r="O41" s="12">
        <f>'MCH2'!O41/'MCH2'!O3</f>
        <v>0</v>
      </c>
      <c r="P41" s="12">
        <f>'MCH2'!P41/'MCH2'!P3</f>
        <v>0</v>
      </c>
      <c r="Q41" s="12">
        <f>'MCH2'!Q41/'MCH2'!Q3</f>
        <v>0</v>
      </c>
      <c r="R41" s="12">
        <f>'MCH2'!R41/'MCH2'!R3</f>
        <v>0</v>
      </c>
      <c r="S41" s="12">
        <f>'MCH2'!S41/'MCH2'!S3</f>
        <v>0</v>
      </c>
      <c r="T41" s="12">
        <f>'MCH2'!T41/'MCH2'!T3</f>
        <v>0</v>
      </c>
      <c r="U41" s="12">
        <f>'MCH2'!U41/'MCH2'!U3</f>
        <v>0</v>
      </c>
      <c r="V41" s="12">
        <f>'MCH2'!V41/'MCH2'!V3</f>
        <v>0</v>
      </c>
      <c r="W41" s="12">
        <f>'MCH2'!W41/'MCH2'!W3</f>
        <v>0</v>
      </c>
      <c r="X41" s="12">
        <f>'MCH2'!X41/'MCH2'!X3</f>
        <v>0</v>
      </c>
      <c r="Y41" s="12">
        <f>'MCH2'!Y41/'MCH2'!Y3</f>
        <v>0</v>
      </c>
      <c r="Z41" s="12">
        <f>'MCH2'!Z41/'MCH2'!Z3</f>
        <v>0</v>
      </c>
      <c r="AA41" s="12">
        <f>'MCH2'!AA41/'MCH2'!AA3</f>
        <v>0</v>
      </c>
      <c r="AB41" s="12">
        <f>'MCH2'!AB41/'MCH2'!AB3</f>
        <v>0</v>
      </c>
      <c r="AC41" s="12">
        <f>'MCH2'!AC41/'MCH2'!AC3</f>
        <v>0</v>
      </c>
      <c r="AD41" s="12">
        <f>'MCH2'!AD41/'MCH2'!AD3</f>
        <v>0</v>
      </c>
      <c r="AE41" s="12">
        <f>'MCH2'!AE41/'MCH2'!AE3</f>
        <v>0</v>
      </c>
      <c r="AF41" s="12">
        <f>'MCH2'!AF41/'MCH2'!AF3</f>
        <v>0</v>
      </c>
      <c r="AG41" s="12">
        <f>'MCH2'!AG41/'MCH2'!AG3</f>
        <v>0</v>
      </c>
      <c r="AH41" s="12">
        <f>'MCH2'!AH41/'MCH2'!AH3</f>
        <v>0</v>
      </c>
      <c r="AI41" s="12">
        <f>'MCH2'!AI41/'MCH2'!AI3</f>
        <v>0.46162280701754388</v>
      </c>
      <c r="AJ41" s="12">
        <f>'MCH2'!AJ41/'MCH2'!AJ3</f>
        <v>0</v>
      </c>
      <c r="AK41" s="12">
        <f>'MCH2'!AK41/'MCH2'!AK3</f>
        <v>0</v>
      </c>
      <c r="AL41" s="12">
        <f>'MCH2'!AL41/'MCH2'!AL3</f>
        <v>0</v>
      </c>
      <c r="AM41" s="12">
        <f>'MCH2'!AM41/'MCH2'!AM3</f>
        <v>0</v>
      </c>
      <c r="AN41" s="12">
        <f>'MCH2'!AN41/'MCH2'!AN3</f>
        <v>0</v>
      </c>
      <c r="AO41" s="12">
        <f>'MCH2'!AO41/'MCH2'!AO3</f>
        <v>0</v>
      </c>
      <c r="AP41" s="12">
        <f>'MCH2'!AP41/'MCH2'!AP3</f>
        <v>0</v>
      </c>
      <c r="AQ41" s="12">
        <f>'MCH2'!AQ41/'MCH2'!AQ3</f>
        <v>0</v>
      </c>
      <c r="AR41" s="12">
        <f>'MCH2'!AR41/'MCH2'!AR3</f>
        <v>0</v>
      </c>
      <c r="AS41" s="12">
        <f>'MCH2'!AS41/'MCH2'!AS3</f>
        <v>0</v>
      </c>
      <c r="AT41" s="12">
        <f>'MCH2'!AT41/'MCH2'!AT3</f>
        <v>19.646365422396858</v>
      </c>
      <c r="AU41" s="12">
        <f>'MCH2'!AU41/'MCH2'!AU3</f>
        <v>0</v>
      </c>
      <c r="AV41" s="12">
        <f>'MCH2'!AV41/'MCH2'!AV3</f>
        <v>6.3381724845995899</v>
      </c>
      <c r="AW41" s="12">
        <f>'MCH2'!AW41/'MCH2'!AW3</f>
        <v>0</v>
      </c>
      <c r="AX41" s="12">
        <f>'MCH2'!AX41/'MCH2'!AX3</f>
        <v>0</v>
      </c>
      <c r="AY41" s="12">
        <f>'MCH2'!AY41/'MCH2'!AY3</f>
        <v>0</v>
      </c>
      <c r="AZ41" s="12">
        <f>'MCH2'!AZ41/'MCH2'!AZ3</f>
        <v>0</v>
      </c>
      <c r="BA41" s="12">
        <f>'MCH2'!BA41/'MCH2'!BA3</f>
        <v>0</v>
      </c>
      <c r="BB41" s="12">
        <f>'MCH2'!BB41/'MCH2'!BB3</f>
        <v>0</v>
      </c>
      <c r="BC41" s="12">
        <f>'MCH2'!BC41/'MCH2'!BC3</f>
        <v>0</v>
      </c>
      <c r="BD41" s="12">
        <f>'MCH2'!BD41/'MCH2'!BD3</f>
        <v>0</v>
      </c>
      <c r="BE41" s="12">
        <f>'MCH2'!BE41/'MCH2'!BE3</f>
        <v>0</v>
      </c>
      <c r="BF41" s="12">
        <f t="shared" ref="BF41:BF42" si="22">SUM(E41:BE41)</f>
        <v>199.56692073261718</v>
      </c>
      <c r="BG41" s="12">
        <f t="shared" ref="BG41:BG42" si="23">SUM(E41:W41)</f>
        <v>173.12076001860319</v>
      </c>
      <c r="BH41" s="12">
        <f t="shared" ref="BH41:BH42" si="24">SUM(X41:AJ41)</f>
        <v>0.46162280701754388</v>
      </c>
      <c r="BI41" s="12">
        <f t="shared" ref="BI41:BI42" si="25">SUM(AK41:BE41)</f>
        <v>25.984537906996447</v>
      </c>
    </row>
    <row r="42" spans="2:61" x14ac:dyDescent="0.25">
      <c r="C42" s="7">
        <v>351</v>
      </c>
      <c r="D42" s="7" t="s">
        <v>107</v>
      </c>
      <c r="E42" s="12">
        <f>'MCH2'!E42/'MCH2'!E3</f>
        <v>14.374290220820191</v>
      </c>
      <c r="F42" s="12">
        <f>'MCH2'!F42/'MCH2'!F3</f>
        <v>86.919844961240315</v>
      </c>
      <c r="G42" s="12">
        <f>'MCH2'!G42/'MCH2'!G3</f>
        <v>11.309023354564756</v>
      </c>
      <c r="H42" s="12">
        <f>'MCH2'!H42/'MCH2'!H3</f>
        <v>0</v>
      </c>
      <c r="I42" s="12">
        <f>'MCH2'!I42/'MCH2'!I3</f>
        <v>74.416440586001087</v>
      </c>
      <c r="J42" s="12">
        <f>'MCH2'!J42/'MCH2'!J3</f>
        <v>2.4873830365227891</v>
      </c>
      <c r="K42" s="12">
        <f>'MCH2'!K42/'MCH2'!K3</f>
        <v>11.255990957045968</v>
      </c>
      <c r="L42" s="12">
        <f>'MCH2'!L42/'MCH2'!L3</f>
        <v>0</v>
      </c>
      <c r="M42" s="12">
        <f>'MCH2'!M42/'MCH2'!M3</f>
        <v>69.557816176470595</v>
      </c>
      <c r="N42" s="12">
        <f>'MCH2'!N42/'MCH2'!N3</f>
        <v>0</v>
      </c>
      <c r="O42" s="12">
        <f>'MCH2'!O42/'MCH2'!O3</f>
        <v>136.47902718950675</v>
      </c>
      <c r="P42" s="12">
        <f>'MCH2'!P42/'MCH2'!P3</f>
        <v>0</v>
      </c>
      <c r="Q42" s="12">
        <f>'MCH2'!Q42/'MCH2'!Q3</f>
        <v>0</v>
      </c>
      <c r="R42" s="12">
        <f>'MCH2'!R42/'MCH2'!R3</f>
        <v>0</v>
      </c>
      <c r="S42" s="12">
        <f>'MCH2'!S42/'MCH2'!S3</f>
        <v>0</v>
      </c>
      <c r="T42" s="12">
        <f>'MCH2'!T42/'MCH2'!T3</f>
        <v>0</v>
      </c>
      <c r="U42" s="12">
        <f>'MCH2'!U42/'MCH2'!U3</f>
        <v>0</v>
      </c>
      <c r="V42" s="12">
        <f>'MCH2'!V42/'MCH2'!V3</f>
        <v>0</v>
      </c>
      <c r="W42" s="12">
        <f>'MCH2'!W42/'MCH2'!W3</f>
        <v>0</v>
      </c>
      <c r="X42" s="12">
        <f>'MCH2'!X42/'MCH2'!X3</f>
        <v>93.880681818181813</v>
      </c>
      <c r="Y42" s="12">
        <f>'MCH2'!Y42/'MCH2'!Y3</f>
        <v>0.25687599364069952</v>
      </c>
      <c r="Z42" s="12">
        <f>'MCH2'!Z42/'MCH2'!Z3</f>
        <v>80.628608923884514</v>
      </c>
      <c r="AA42" s="12">
        <f>'MCH2'!AA42/'MCH2'!AA3</f>
        <v>141.17126436781609</v>
      </c>
      <c r="AB42" s="12">
        <f>'MCH2'!AB42/'MCH2'!AB3</f>
        <v>57.3</v>
      </c>
      <c r="AC42" s="12">
        <f>'MCH2'!AC42/'MCH2'!AC3</f>
        <v>24.419607843137253</v>
      </c>
      <c r="AD42" s="12">
        <f>'MCH2'!AD42/'MCH2'!AD3</f>
        <v>6.6652482269503546</v>
      </c>
      <c r="AE42" s="12">
        <f>'MCH2'!AE42/'MCH2'!AE3</f>
        <v>29.861179673321232</v>
      </c>
      <c r="AF42" s="12">
        <f>'MCH2'!AF42/'MCH2'!AF3</f>
        <v>0</v>
      </c>
      <c r="AG42" s="12">
        <f>'MCH2'!AG42/'MCH2'!AG3</f>
        <v>17.196687697160883</v>
      </c>
      <c r="AH42" s="12">
        <f>'MCH2'!AH42/'MCH2'!AH3</f>
        <v>32.253825242718449</v>
      </c>
      <c r="AI42" s="12">
        <f>'MCH2'!AI42/'MCH2'!AI3</f>
        <v>6.4971491228070173</v>
      </c>
      <c r="AJ42" s="12">
        <f>'MCH2'!AJ42/'MCH2'!AJ3</f>
        <v>25.423728813559322</v>
      </c>
      <c r="AK42" s="12">
        <f>'MCH2'!AK42/'MCH2'!AK3</f>
        <v>1.4325717321997875</v>
      </c>
      <c r="AL42" s="12">
        <f>'MCH2'!AL42/'MCH2'!AL3</f>
        <v>40.31101436265709</v>
      </c>
      <c r="AM42" s="12">
        <f>'MCH2'!AM42/'MCH2'!AM3</f>
        <v>6.9336647493837305</v>
      </c>
      <c r="AN42" s="12">
        <f>'MCH2'!AN42/'MCH2'!AN3</f>
        <v>0</v>
      </c>
      <c r="AO42" s="12">
        <f>'MCH2'!AO42/'MCH2'!AO3</f>
        <v>0</v>
      </c>
      <c r="AP42" s="12">
        <f>'MCH2'!AP42/'MCH2'!AP3</f>
        <v>1.6400000000000001E-2</v>
      </c>
      <c r="AQ42" s="12">
        <f>'MCH2'!AQ42/'MCH2'!AQ3</f>
        <v>2.7575277337559427</v>
      </c>
      <c r="AR42" s="12">
        <f>'MCH2'!AR42/'MCH2'!AR3</f>
        <v>196.4204705882353</v>
      </c>
      <c r="AS42" s="12">
        <f>'MCH2'!AS42/'MCH2'!AS3</f>
        <v>158.93857938718662</v>
      </c>
      <c r="AT42" s="12">
        <f>'MCH2'!AT42/'MCH2'!AT3</f>
        <v>231.11984282907662</v>
      </c>
      <c r="AU42" s="12">
        <f>'MCH2'!AU42/'MCH2'!AU3</f>
        <v>4.7882252559726961</v>
      </c>
      <c r="AV42" s="12">
        <f>'MCH2'!AV42/'MCH2'!AV3</f>
        <v>79.235375770020539</v>
      </c>
      <c r="AW42" s="12">
        <f>'MCH2'!AW42/'MCH2'!AW3</f>
        <v>21.577608142493638</v>
      </c>
      <c r="AX42" s="12">
        <f>'MCH2'!AX42/'MCH2'!AX3</f>
        <v>0.32527173913043478</v>
      </c>
      <c r="AY42" s="12">
        <f>'MCH2'!AY42/'MCH2'!AY3</f>
        <v>0</v>
      </c>
      <c r="AZ42" s="12">
        <f>'MCH2'!AZ42/'MCH2'!AZ3</f>
        <v>0.83136200716845876</v>
      </c>
      <c r="BA42" s="12">
        <f>'MCH2'!BA42/'MCH2'!BA3</f>
        <v>2.9269565217391307</v>
      </c>
      <c r="BB42" s="12">
        <f>'MCH2'!BB42/'MCH2'!BB3</f>
        <v>67.740674904942964</v>
      </c>
      <c r="BC42" s="12">
        <f>'MCH2'!BC42/'MCH2'!BC3</f>
        <v>2.3879032258064514</v>
      </c>
      <c r="BD42" s="12">
        <f>'MCH2'!BD42/'MCH2'!BD3</f>
        <v>2.1161946902654867</v>
      </c>
      <c r="BE42" s="12">
        <f>'MCH2'!BE42/'MCH2'!BE3</f>
        <v>19.2624358974359</v>
      </c>
      <c r="BF42" s="12">
        <f t="shared" si="22"/>
        <v>1761.4767537428206</v>
      </c>
      <c r="BG42" s="12">
        <f t="shared" si="23"/>
        <v>406.79981648217245</v>
      </c>
      <c r="BH42" s="12">
        <f t="shared" si="24"/>
        <v>515.55485772317763</v>
      </c>
      <c r="BI42" s="12">
        <f t="shared" si="25"/>
        <v>839.12207953747077</v>
      </c>
    </row>
    <row r="43" spans="2:61" x14ac:dyDescent="0.25">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row>
    <row r="44" spans="2:61" x14ac:dyDescent="0.25">
      <c r="B44" s="66">
        <v>36</v>
      </c>
      <c r="C44" s="66"/>
      <c r="D44" s="66" t="s">
        <v>109</v>
      </c>
      <c r="E44" s="67">
        <f>E45+E46+E47+E48+E49+E50+E51+E52</f>
        <v>2456.3330914826497</v>
      </c>
      <c r="F44" s="67">
        <f t="shared" ref="F44:BI44" si="26">F45+F46+F47+F48+F49+F50+F51+F52</f>
        <v>2773.6191860465119</v>
      </c>
      <c r="G44" s="67">
        <f t="shared" si="26"/>
        <v>2184.7991295116772</v>
      </c>
      <c r="H44" s="67">
        <f t="shared" si="26"/>
        <v>2355.1290022675739</v>
      </c>
      <c r="I44" s="67">
        <f t="shared" si="26"/>
        <v>2052.2771622354858</v>
      </c>
      <c r="J44" s="67">
        <f t="shared" si="26"/>
        <v>2005.7631964986417</v>
      </c>
      <c r="K44" s="67">
        <f t="shared" si="26"/>
        <v>2561.956277317257</v>
      </c>
      <c r="L44" s="67">
        <f t="shared" si="26"/>
        <v>3363.2774026590691</v>
      </c>
      <c r="M44" s="67">
        <f t="shared" si="26"/>
        <v>2719.680117647059</v>
      </c>
      <c r="N44" s="67">
        <f t="shared" si="26"/>
        <v>2020.6283035714287</v>
      </c>
      <c r="O44" s="67">
        <f t="shared" si="26"/>
        <v>2257.1463642574122</v>
      </c>
      <c r="P44" s="67">
        <f t="shared" si="26"/>
        <v>2229.1997509578546</v>
      </c>
      <c r="Q44" s="67">
        <f t="shared" si="26"/>
        <v>2252.2758490566039</v>
      </c>
      <c r="R44" s="67">
        <f t="shared" si="26"/>
        <v>1944.1683294117647</v>
      </c>
      <c r="S44" s="67">
        <f t="shared" si="26"/>
        <v>2085.7916857142854</v>
      </c>
      <c r="T44" s="67">
        <f t="shared" si="26"/>
        <v>2461.8102455661665</v>
      </c>
      <c r="U44" s="67">
        <f t="shared" si="26"/>
        <v>2304.3467777777773</v>
      </c>
      <c r="V44" s="67">
        <f t="shared" si="26"/>
        <v>2937.5644124700239</v>
      </c>
      <c r="W44" s="67">
        <f t="shared" si="26"/>
        <v>1909.3293485540337</v>
      </c>
      <c r="X44" s="67">
        <f t="shared" si="26"/>
        <v>2238.9914935064935</v>
      </c>
      <c r="Y44" s="67">
        <f t="shared" si="26"/>
        <v>2307.6686089030204</v>
      </c>
      <c r="Z44" s="67">
        <f t="shared" si="26"/>
        <v>4553.0232152230965</v>
      </c>
      <c r="AA44" s="67">
        <f t="shared" si="26"/>
        <v>2310.6740229885058</v>
      </c>
      <c r="AB44" s="67">
        <f t="shared" si="26"/>
        <v>2345.9279487179483</v>
      </c>
      <c r="AC44" s="67">
        <f t="shared" si="26"/>
        <v>2563.3703137254902</v>
      </c>
      <c r="AD44" s="67">
        <f t="shared" si="26"/>
        <v>2682.5261985815605</v>
      </c>
      <c r="AE44" s="67">
        <f t="shared" si="26"/>
        <v>2238.9097096188748</v>
      </c>
      <c r="AF44" s="67">
        <f t="shared" si="26"/>
        <v>2666.5638356164382</v>
      </c>
      <c r="AG44" s="67">
        <f t="shared" si="26"/>
        <v>2653.3969348054679</v>
      </c>
      <c r="AH44" s="67">
        <f t="shared" si="26"/>
        <v>2296.3012116504856</v>
      </c>
      <c r="AI44" s="67">
        <f t="shared" si="26"/>
        <v>2240.671447368421</v>
      </c>
      <c r="AJ44" s="67">
        <f t="shared" si="26"/>
        <v>2879.3606779661018</v>
      </c>
      <c r="AK44" s="67">
        <f t="shared" si="26"/>
        <v>2666.6077895855474</v>
      </c>
      <c r="AL44" s="67">
        <f t="shared" si="26"/>
        <v>2445.5114183123878</v>
      </c>
      <c r="AM44" s="67">
        <f t="shared" si="26"/>
        <v>2517.0303697617087</v>
      </c>
      <c r="AN44" s="67">
        <f t="shared" si="26"/>
        <v>2254.9777777777776</v>
      </c>
      <c r="AO44" s="67">
        <f t="shared" si="26"/>
        <v>3255.3058921161823</v>
      </c>
      <c r="AP44" s="67">
        <f t="shared" si="26"/>
        <v>3092.5993119999998</v>
      </c>
      <c r="AQ44" s="67">
        <f t="shared" si="26"/>
        <v>2428.2927733755942</v>
      </c>
      <c r="AR44" s="67">
        <f t="shared" si="26"/>
        <v>2429.2914274509803</v>
      </c>
      <c r="AS44" s="67">
        <f t="shared" si="26"/>
        <v>2689.5623259052923</v>
      </c>
      <c r="AT44" s="67">
        <f t="shared" si="26"/>
        <v>2543.8529960707269</v>
      </c>
      <c r="AU44" s="67">
        <f t="shared" si="26"/>
        <v>3778.8785665529008</v>
      </c>
      <c r="AV44" s="67">
        <f t="shared" si="26"/>
        <v>2680.6014989733058</v>
      </c>
      <c r="AW44" s="67">
        <f t="shared" si="26"/>
        <v>2239.5287913486004</v>
      </c>
      <c r="AX44" s="67">
        <f t="shared" si="26"/>
        <v>2782.3793478260868</v>
      </c>
      <c r="AY44" s="67">
        <f t="shared" si="26"/>
        <v>2186.8639639639637</v>
      </c>
      <c r="AZ44" s="67">
        <f t="shared" si="26"/>
        <v>2331.1557586618874</v>
      </c>
      <c r="BA44" s="67">
        <f t="shared" si="26"/>
        <v>2493.3615856777492</v>
      </c>
      <c r="BB44" s="67">
        <f t="shared" si="26"/>
        <v>2501.8809410646386</v>
      </c>
      <c r="BC44" s="67">
        <f t="shared" si="26"/>
        <v>2968.9577419354841</v>
      </c>
      <c r="BD44" s="67">
        <f t="shared" si="26"/>
        <v>3040.9701226517618</v>
      </c>
      <c r="BE44" s="67">
        <f t="shared" si="26"/>
        <v>2705.2492673992679</v>
      </c>
      <c r="BF44" s="67">
        <f t="shared" si="26"/>
        <v>134885.34092008701</v>
      </c>
      <c r="BG44" s="67">
        <f t="shared" si="26"/>
        <v>44875.095633003279</v>
      </c>
      <c r="BH44" s="67">
        <f t="shared" si="26"/>
        <v>33977.385618671906</v>
      </c>
      <c r="BI44" s="67">
        <f t="shared" si="26"/>
        <v>56032.859668411846</v>
      </c>
    </row>
    <row r="45" spans="2:61" x14ac:dyDescent="0.25">
      <c r="C45" s="7">
        <v>360</v>
      </c>
      <c r="D45" s="7" t="s">
        <v>110</v>
      </c>
      <c r="E45" s="12">
        <f>'MCH2'!E45/'MCH2'!E3</f>
        <v>6.1233964248159838</v>
      </c>
      <c r="F45" s="12">
        <f>'MCH2'!F45/'MCH2'!F3</f>
        <v>5.9689922480620154</v>
      </c>
      <c r="G45" s="12">
        <f>'MCH2'!G45/'MCH2'!G3</f>
        <v>3.1422505307855628</v>
      </c>
      <c r="H45" s="12">
        <f>'MCH2'!H45/'MCH2'!H3</f>
        <v>2.3129251700680271</v>
      </c>
      <c r="I45" s="12">
        <f>'MCH2'!I45/'MCH2'!I3</f>
        <v>4.8924986435160065</v>
      </c>
      <c r="J45" s="12">
        <f>'MCH2'!J45/'MCH2'!J3</f>
        <v>36.390084515544828</v>
      </c>
      <c r="K45" s="12">
        <f>'MCH2'!K45/'MCH2'!K3</f>
        <v>1.6654107008289374</v>
      </c>
      <c r="L45" s="12">
        <f>'MCH2'!L45/'MCH2'!L3</f>
        <v>2.3049817980373537</v>
      </c>
      <c r="M45" s="12">
        <f>'MCH2'!M45/'MCH2'!M3</f>
        <v>2</v>
      </c>
      <c r="N45" s="12">
        <f>'MCH2'!N45/'MCH2'!N3</f>
        <v>6.0714285714285712</v>
      </c>
      <c r="O45" s="12">
        <f>'MCH2'!O45/'MCH2'!O3</f>
        <v>12.72199754064763</v>
      </c>
      <c r="P45" s="12">
        <f>'MCH2'!P45/'MCH2'!P3</f>
        <v>2.5670498084291187</v>
      </c>
      <c r="Q45" s="12">
        <f>'MCH2'!Q45/'MCH2'!Q3</f>
        <v>2.0754716981132075</v>
      </c>
      <c r="R45" s="12">
        <f>'MCH2'!R45/'MCH2'!R3</f>
        <v>3.5764705882352943</v>
      </c>
      <c r="S45" s="12">
        <f>'MCH2'!S45/'MCH2'!S3</f>
        <v>2.9714285714285715</v>
      </c>
      <c r="T45" s="12">
        <f>'MCH2'!T45/'MCH2'!T3</f>
        <v>8.9070259208731244</v>
      </c>
      <c r="U45" s="12">
        <f>'MCH2'!U45/'MCH2'!U3</f>
        <v>3.4074074074074074</v>
      </c>
      <c r="V45" s="12">
        <f>'MCH2'!V45/'MCH2'!V3</f>
        <v>3.4532374100719423</v>
      </c>
      <c r="W45" s="12">
        <f>'MCH2'!W45/'MCH2'!W3</f>
        <v>2.2161339421613393</v>
      </c>
      <c r="X45" s="12">
        <f>'MCH2'!X45/'MCH2'!X3</f>
        <v>8.1493506493506498</v>
      </c>
      <c r="Y45" s="12">
        <f>'MCH2'!Y45/'MCH2'!Y3</f>
        <v>1.8319157392686807</v>
      </c>
      <c r="Z45" s="12">
        <f>'MCH2'!Z45/'MCH2'!Z3</f>
        <v>0</v>
      </c>
      <c r="AA45" s="12">
        <f>'MCH2'!AA45/'MCH2'!AA3</f>
        <v>9.2528735632183903</v>
      </c>
      <c r="AB45" s="12">
        <f>'MCH2'!AB45/'MCH2'!AB3</f>
        <v>13.490384615384615</v>
      </c>
      <c r="AC45" s="12">
        <f>'MCH2'!AC45/'MCH2'!AC3</f>
        <v>8.9509803921568629</v>
      </c>
      <c r="AD45" s="12">
        <f>'MCH2'!AD45/'MCH2'!AD3</f>
        <v>18.845602836879433</v>
      </c>
      <c r="AE45" s="12">
        <f>'MCH2'!AE45/'MCH2'!AE3</f>
        <v>7.6860254083484572</v>
      </c>
      <c r="AF45" s="12">
        <f>'MCH2'!AF45/'MCH2'!AF3</f>
        <v>9.9412915851272015</v>
      </c>
      <c r="AG45" s="12">
        <f>'MCH2'!AG45/'MCH2'!AG3</f>
        <v>9.8580441640378549</v>
      </c>
      <c r="AH45" s="12">
        <f>'MCH2'!AH45/'MCH2'!AH3</f>
        <v>9.0252427184466022</v>
      </c>
      <c r="AI45" s="12">
        <f>'MCH2'!AI45/'MCH2'!AI3</f>
        <v>9.9780701754385959</v>
      </c>
      <c r="AJ45" s="12">
        <f>'MCH2'!AJ45/'MCH2'!AJ3</f>
        <v>29.51906779661017</v>
      </c>
      <c r="AK45" s="12">
        <f>'MCH2'!AK45/'MCH2'!AK3</f>
        <v>2.4043570669500531</v>
      </c>
      <c r="AL45" s="12">
        <f>'MCH2'!AL45/'MCH2'!AL3</f>
        <v>3.9497307001795332</v>
      </c>
      <c r="AM45" s="12">
        <f>'MCH2'!AM45/'MCH2'!AM3</f>
        <v>3.8331963845521777</v>
      </c>
      <c r="AN45" s="12">
        <f>'MCH2'!AN45/'MCH2'!AN3</f>
        <v>8</v>
      </c>
      <c r="AO45" s="12">
        <f>'MCH2'!AO45/'MCH2'!AO3</f>
        <v>0.9294605809128631</v>
      </c>
      <c r="AP45" s="12">
        <f>'MCH2'!AP45/'MCH2'!AP3</f>
        <v>0.84</v>
      </c>
      <c r="AQ45" s="12">
        <f>'MCH2'!AQ45/'MCH2'!AQ3</f>
        <v>2.8526148969889067</v>
      </c>
      <c r="AR45" s="12">
        <f>'MCH2'!AR45/'MCH2'!AR3</f>
        <v>5.0784313725490193</v>
      </c>
      <c r="AS45" s="12">
        <f>'MCH2'!AS45/'MCH2'!AS3</f>
        <v>3.3565459610027855</v>
      </c>
      <c r="AT45" s="12">
        <f>'MCH2'!AT45/'MCH2'!AT3</f>
        <v>3.0648330058939095</v>
      </c>
      <c r="AU45" s="12">
        <f>'MCH2'!AU45/'MCH2'!AU3</f>
        <v>5.4095563139931739</v>
      </c>
      <c r="AV45" s="12">
        <f>'MCH2'!AV45/'MCH2'!AV3</f>
        <v>2.4640657084188913</v>
      </c>
      <c r="AW45" s="12">
        <f>'MCH2'!AW45/'MCH2'!AW3</f>
        <v>2.2391857506361323</v>
      </c>
      <c r="AX45" s="12">
        <f>'MCH2'!AX45/'MCH2'!AX3</f>
        <v>0</v>
      </c>
      <c r="AY45" s="12">
        <f>'MCH2'!AY45/'MCH2'!AY3</f>
        <v>0.21021021021021022</v>
      </c>
      <c r="AZ45" s="12">
        <f>'MCH2'!AZ45/'MCH2'!AZ3</f>
        <v>2.9540023894862606</v>
      </c>
      <c r="BA45" s="12">
        <f>'MCH2'!BA45/'MCH2'!BA3</f>
        <v>8.3759590792838878</v>
      </c>
      <c r="BB45" s="12">
        <f>'MCH2'!BB45/'MCH2'!BB3</f>
        <v>6.5446768060836504</v>
      </c>
      <c r="BC45" s="12">
        <f>'MCH2'!BC45/'MCH2'!BC3</f>
        <v>2.1607526881720429</v>
      </c>
      <c r="BD45" s="12">
        <f>'MCH2'!BD45/'MCH2'!BD3</f>
        <v>2.7216270765409099</v>
      </c>
      <c r="BE45" s="12">
        <f>'MCH2'!BE45/'MCH2'!BE3</f>
        <v>4.1025641025641022</v>
      </c>
      <c r="BF45" s="12">
        <f t="shared" ref="BF45:BF52" si="27">SUM(E45:BE45)</f>
        <v>320.78881122914089</v>
      </c>
      <c r="BG45" s="12">
        <f t="shared" ref="BG45:BG52" si="28">SUM(E45:W45)</f>
        <v>112.76819149045492</v>
      </c>
      <c r="BH45" s="12">
        <f t="shared" ref="BH45:BH52" si="29">SUM(X45:AJ45)</f>
        <v>136.5288496442675</v>
      </c>
      <c r="BI45" s="12">
        <f t="shared" ref="BI45:BI52" si="30">SUM(AK45:BE45)</f>
        <v>71.491770094418513</v>
      </c>
    </row>
    <row r="46" spans="2:61" x14ac:dyDescent="0.25">
      <c r="C46" s="7">
        <v>361</v>
      </c>
      <c r="D46" s="7" t="s">
        <v>111</v>
      </c>
      <c r="E46" s="12">
        <f>'MCH2'!E46/'MCH2'!E3</f>
        <v>1819.1413038906412</v>
      </c>
      <c r="F46" s="12">
        <f>'MCH2'!F46/'MCH2'!F3</f>
        <v>1846.7420542635659</v>
      </c>
      <c r="G46" s="12">
        <f>'MCH2'!G46/'MCH2'!G3</f>
        <v>1776.7663269639065</v>
      </c>
      <c r="H46" s="12">
        <f>'MCH2'!H46/'MCH2'!H3</f>
        <v>1686.273015873016</v>
      </c>
      <c r="I46" s="12">
        <f>'MCH2'!I46/'MCH2'!I3</f>
        <v>1281.6868502441673</v>
      </c>
      <c r="J46" s="12">
        <f>'MCH2'!J46/'MCH2'!J3</f>
        <v>1300.3524569876247</v>
      </c>
      <c r="K46" s="12">
        <f>'MCH2'!K46/'MCH2'!K3</f>
        <v>1821.7013602110023</v>
      </c>
      <c r="L46" s="12">
        <f>'MCH2'!L46/'MCH2'!L3</f>
        <v>1463.885856283634</v>
      </c>
      <c r="M46" s="12">
        <f>'MCH2'!M46/'MCH2'!M3</f>
        <v>1872.3910955882354</v>
      </c>
      <c r="N46" s="12">
        <f>'MCH2'!N46/'MCH2'!N3</f>
        <v>1260.2709821428573</v>
      </c>
      <c r="O46" s="12">
        <f>'MCH2'!O46/'MCH2'!O3</f>
        <v>1613.9111627271486</v>
      </c>
      <c r="P46" s="12">
        <f>'MCH2'!P46/'MCH2'!P3</f>
        <v>1664.9356704980844</v>
      </c>
      <c r="Q46" s="12">
        <f>'MCH2'!Q46/'MCH2'!Q3</f>
        <v>1794.9381132075473</v>
      </c>
      <c r="R46" s="12">
        <f>'MCH2'!R46/'MCH2'!R3</f>
        <v>1541.3742117647059</v>
      </c>
      <c r="S46" s="12">
        <f>'MCH2'!S46/'MCH2'!S3</f>
        <v>1558.1314</v>
      </c>
      <c r="T46" s="12">
        <f>'MCH2'!T46/'MCH2'!T3</f>
        <v>2035.1206821282401</v>
      </c>
      <c r="U46" s="12">
        <f>'MCH2'!U46/'MCH2'!U3</f>
        <v>1645.8655185185185</v>
      </c>
      <c r="V46" s="12">
        <f>'MCH2'!V46/'MCH2'!V3</f>
        <v>1824.2258513189449</v>
      </c>
      <c r="W46" s="12">
        <f>'MCH2'!W46/'MCH2'!W3</f>
        <v>1321.7043500761035</v>
      </c>
      <c r="X46" s="12">
        <f>'MCH2'!X46/'MCH2'!X3</f>
        <v>1512.5689935064936</v>
      </c>
      <c r="Y46" s="12">
        <f>'MCH2'!Y46/'MCH2'!Y3</f>
        <v>1639.1637599364069</v>
      </c>
      <c r="Z46" s="12">
        <f>'MCH2'!Z46/'MCH2'!Z3</f>
        <v>1554.9599081364829</v>
      </c>
      <c r="AA46" s="12">
        <f>'MCH2'!AA46/'MCH2'!AA3</f>
        <v>1842.3908045977012</v>
      </c>
      <c r="AB46" s="12">
        <f>'MCH2'!AB46/'MCH2'!AB3</f>
        <v>1670.1273076923076</v>
      </c>
      <c r="AC46" s="12">
        <f>'MCH2'!AC46/'MCH2'!AC3</f>
        <v>1893.8930392156863</v>
      </c>
      <c r="AD46" s="12">
        <f>'MCH2'!AD46/'MCH2'!AD3</f>
        <v>1993.6234326241135</v>
      </c>
      <c r="AE46" s="12">
        <f>'MCH2'!AE46/'MCH2'!AE3</f>
        <v>1448.2893829401089</v>
      </c>
      <c r="AF46" s="12">
        <f>'MCH2'!AF46/'MCH2'!AF3</f>
        <v>1945.8825831702543</v>
      </c>
      <c r="AG46" s="12">
        <f>'MCH2'!AG46/'MCH2'!AG3</f>
        <v>1768.7651577287068</v>
      </c>
      <c r="AH46" s="12">
        <f>'MCH2'!AH46/'MCH2'!AH3</f>
        <v>1234.4585126213592</v>
      </c>
      <c r="AI46" s="12">
        <f>'MCH2'!AI46/'MCH2'!AI3</f>
        <v>1741.5625438596492</v>
      </c>
      <c r="AJ46" s="12">
        <f>'MCH2'!AJ46/'MCH2'!AJ3</f>
        <v>1818.0262711864407</v>
      </c>
      <c r="AK46" s="12">
        <f>'MCH2'!AK46/'MCH2'!AK3</f>
        <v>2127.5949840595113</v>
      </c>
      <c r="AL46" s="12">
        <f>'MCH2'!AL46/'MCH2'!AL3</f>
        <v>1684.9202154398565</v>
      </c>
      <c r="AM46" s="12">
        <f>'MCH2'!AM46/'MCH2'!AM3</f>
        <v>1800.9381347576007</v>
      </c>
      <c r="AN46" s="12">
        <f>'MCH2'!AN46/'MCH2'!AN3</f>
        <v>1140.1786324786324</v>
      </c>
      <c r="AO46" s="12">
        <f>'MCH2'!AO46/'MCH2'!AO3</f>
        <v>1060.0364647302904</v>
      </c>
      <c r="AP46" s="12">
        <f>'MCH2'!AP46/'MCH2'!AP3</f>
        <v>2161.30296</v>
      </c>
      <c r="AQ46" s="12">
        <f>'MCH2'!AQ46/'MCH2'!AQ3</f>
        <v>1890.2773217115689</v>
      </c>
      <c r="AR46" s="12">
        <f>'MCH2'!AR46/'MCH2'!AR3</f>
        <v>1757.9359999999999</v>
      </c>
      <c r="AS46" s="12">
        <f>'MCH2'!AS46/'MCH2'!AS3</f>
        <v>2100.010097493036</v>
      </c>
      <c r="AT46" s="12">
        <f>'MCH2'!AT46/'MCH2'!AT3</f>
        <v>1800.8054715127701</v>
      </c>
      <c r="AU46" s="12">
        <f>'MCH2'!AU46/'MCH2'!AU3</f>
        <v>1937.3277133105803</v>
      </c>
      <c r="AV46" s="12">
        <f>'MCH2'!AV46/'MCH2'!AV3</f>
        <v>2140.7146817248458</v>
      </c>
      <c r="AW46" s="12">
        <f>'MCH2'!AW46/'MCH2'!AW3</f>
        <v>1746.8207760814248</v>
      </c>
      <c r="AX46" s="12">
        <f>'MCH2'!AX46/'MCH2'!AX3</f>
        <v>1732.3929347826086</v>
      </c>
      <c r="AY46" s="12">
        <f>'MCH2'!AY46/'MCH2'!AY3</f>
        <v>1613.4348348348349</v>
      </c>
      <c r="AZ46" s="12">
        <f>'MCH2'!AZ46/'MCH2'!AZ3</f>
        <v>1817.4624193548386</v>
      </c>
      <c r="BA46" s="12">
        <f>'MCH2'!BA46/'MCH2'!BA3</f>
        <v>1970.7810230179027</v>
      </c>
      <c r="BB46" s="12">
        <f>'MCH2'!BB46/'MCH2'!BB3</f>
        <v>1898.7755228136882</v>
      </c>
      <c r="BC46" s="12">
        <f>'MCH2'!BC46/'MCH2'!BC3</f>
        <v>2310.5187634408603</v>
      </c>
      <c r="BD46" s="12">
        <f>'MCH2'!BD46/'MCH2'!BD3</f>
        <v>1412.8679987579567</v>
      </c>
      <c r="BE46" s="12">
        <f>'MCH2'!BE46/'MCH2'!BE3</f>
        <v>1961.7917582417583</v>
      </c>
      <c r="BF46" s="12">
        <f t="shared" si="27"/>
        <v>91260.018668448189</v>
      </c>
      <c r="BG46" s="12">
        <f t="shared" si="28"/>
        <v>31129.418262687941</v>
      </c>
      <c r="BH46" s="12">
        <f t="shared" si="29"/>
        <v>22063.711697215716</v>
      </c>
      <c r="BI46" s="12">
        <f t="shared" si="30"/>
        <v>38066.888708544568</v>
      </c>
    </row>
    <row r="47" spans="2:61" x14ac:dyDescent="0.25">
      <c r="C47" s="7">
        <v>362</v>
      </c>
      <c r="D47" s="7" t="s">
        <v>112</v>
      </c>
      <c r="E47" s="12">
        <f>'MCH2'!E47/'MCH2'!E3</f>
        <v>40.520504731861202</v>
      </c>
      <c r="F47" s="12">
        <f>'MCH2'!F47/'MCH2'!F3</f>
        <v>24.802325581395348</v>
      </c>
      <c r="G47" s="12">
        <f>'MCH2'!G47/'MCH2'!G3</f>
        <v>0</v>
      </c>
      <c r="H47" s="12">
        <f>'MCH2'!H47/'MCH2'!H3</f>
        <v>0</v>
      </c>
      <c r="I47" s="12">
        <f>'MCH2'!I47/'MCH2'!I3</f>
        <v>39.107433532284318</v>
      </c>
      <c r="J47" s="12">
        <f>'MCH2'!J47/'MCH2'!J3</f>
        <v>39.949894355568972</v>
      </c>
      <c r="K47" s="12">
        <f>'MCH2'!K47/'MCH2'!K3</f>
        <v>80.235493594574223</v>
      </c>
      <c r="L47" s="12">
        <f>'MCH2'!L47/'MCH2'!L3</f>
        <v>33.776551123773345</v>
      </c>
      <c r="M47" s="12">
        <f>'MCH2'!M47/'MCH2'!M3</f>
        <v>40.385294117647057</v>
      </c>
      <c r="N47" s="12">
        <f>'MCH2'!N47/'MCH2'!N3</f>
        <v>5.3568750000000005</v>
      </c>
      <c r="O47" s="12">
        <f>'MCH2'!O47/'MCH2'!O3</f>
        <v>30.890695450198116</v>
      </c>
      <c r="P47" s="12">
        <f>'MCH2'!P47/'MCH2'!P3</f>
        <v>0</v>
      </c>
      <c r="Q47" s="12">
        <f>'MCH2'!Q47/'MCH2'!Q3</f>
        <v>32.198113207547166</v>
      </c>
      <c r="R47" s="12">
        <f>'MCH2'!R47/'MCH2'!R3</f>
        <v>0</v>
      </c>
      <c r="S47" s="12">
        <f>'MCH2'!S47/'MCH2'!S3</f>
        <v>0</v>
      </c>
      <c r="T47" s="12">
        <f>'MCH2'!T47/'MCH2'!T3</f>
        <v>37.601637107776263</v>
      </c>
      <c r="U47" s="12">
        <f>'MCH2'!U47/'MCH2'!U3</f>
        <v>14.951851851851853</v>
      </c>
      <c r="V47" s="12">
        <f>'MCH2'!V47/'MCH2'!V3</f>
        <v>41.947242206235011</v>
      </c>
      <c r="W47" s="12">
        <f>'MCH2'!W47/'MCH2'!W3</f>
        <v>0</v>
      </c>
      <c r="X47" s="12">
        <f>'MCH2'!X47/'MCH2'!X3</f>
        <v>0</v>
      </c>
      <c r="Y47" s="12">
        <f>'MCH2'!Y47/'MCH2'!Y3</f>
        <v>0</v>
      </c>
      <c r="Z47" s="12">
        <f>'MCH2'!Z47/'MCH2'!Z3</f>
        <v>2339.7414698162729</v>
      </c>
      <c r="AA47" s="12">
        <f>'MCH2'!AA47/'MCH2'!AA3</f>
        <v>0</v>
      </c>
      <c r="AB47" s="12">
        <f>'MCH2'!AB47/'MCH2'!AB3</f>
        <v>0</v>
      </c>
      <c r="AC47" s="12">
        <f>'MCH2'!AC47/'MCH2'!AC3</f>
        <v>0</v>
      </c>
      <c r="AD47" s="12">
        <f>'MCH2'!AD47/'MCH2'!AD3</f>
        <v>0</v>
      </c>
      <c r="AE47" s="12">
        <f>'MCH2'!AE47/'MCH2'!AE3</f>
        <v>0</v>
      </c>
      <c r="AF47" s="12">
        <f>'MCH2'!AF47/'MCH2'!AF3</f>
        <v>230.50880626223093</v>
      </c>
      <c r="AG47" s="12">
        <f>'MCH2'!AG47/'MCH2'!AG3</f>
        <v>165.17350157728706</v>
      </c>
      <c r="AH47" s="12">
        <f>'MCH2'!AH47/'MCH2'!AH3</f>
        <v>0</v>
      </c>
      <c r="AI47" s="12">
        <f>'MCH2'!AI47/'MCH2'!AI3</f>
        <v>0</v>
      </c>
      <c r="AJ47" s="12">
        <f>'MCH2'!AJ47/'MCH2'!AJ3</f>
        <v>0</v>
      </c>
      <c r="AK47" s="12">
        <f>'MCH2'!AK47/'MCH2'!AK3</f>
        <v>0</v>
      </c>
      <c r="AL47" s="12">
        <f>'MCH2'!AL47/'MCH2'!AL3</f>
        <v>99.210951526032318</v>
      </c>
      <c r="AM47" s="12">
        <f>'MCH2'!AM47/'MCH2'!AM3</f>
        <v>0</v>
      </c>
      <c r="AN47" s="12">
        <f>'MCH2'!AN47/'MCH2'!AN3</f>
        <v>0</v>
      </c>
      <c r="AO47" s="12">
        <f>'MCH2'!AO47/'MCH2'!AO3</f>
        <v>1196.9278008298754</v>
      </c>
      <c r="AP47" s="12">
        <f>'MCH2'!AP47/'MCH2'!AP3</f>
        <v>16.542400000000001</v>
      </c>
      <c r="AQ47" s="12">
        <f>'MCH2'!AQ47/'MCH2'!AQ3</f>
        <v>32.671949286846278</v>
      </c>
      <c r="AR47" s="12">
        <f>'MCH2'!AR47/'MCH2'!AR3</f>
        <v>0</v>
      </c>
      <c r="AS47" s="12">
        <f>'MCH2'!AS47/'MCH2'!AS3</f>
        <v>0</v>
      </c>
      <c r="AT47" s="12">
        <f>'MCH2'!AT47/'MCH2'!AT3</f>
        <v>0</v>
      </c>
      <c r="AU47" s="12">
        <f>'MCH2'!AU47/'MCH2'!AU3</f>
        <v>1166.1228668941978</v>
      </c>
      <c r="AV47" s="12">
        <f>'MCH2'!AV47/'MCH2'!AV3</f>
        <v>0</v>
      </c>
      <c r="AW47" s="12">
        <f>'MCH2'!AW47/'MCH2'!AW3</f>
        <v>0</v>
      </c>
      <c r="AX47" s="12">
        <f>'MCH2'!AX47/'MCH2'!AX3</f>
        <v>0</v>
      </c>
      <c r="AY47" s="12">
        <f>'MCH2'!AY47/'MCH2'!AY3</f>
        <v>0</v>
      </c>
      <c r="AZ47" s="12">
        <f>'MCH2'!AZ47/'MCH2'!AZ3</f>
        <v>32.260454002389487</v>
      </c>
      <c r="BA47" s="12">
        <f>'MCH2'!BA47/'MCH2'!BA3</f>
        <v>15.432225063938619</v>
      </c>
      <c r="BB47" s="12">
        <f>'MCH2'!BB47/'MCH2'!BB3</f>
        <v>7.6929657794676807</v>
      </c>
      <c r="BC47" s="12">
        <f>'MCH2'!BC47/'MCH2'!BC3</f>
        <v>0</v>
      </c>
      <c r="BD47" s="12">
        <f>'MCH2'!BD47/'MCH2'!BD3</f>
        <v>105.42307095171557</v>
      </c>
      <c r="BE47" s="12">
        <f>'MCH2'!BE47/'MCH2'!BE3</f>
        <v>0</v>
      </c>
      <c r="BF47" s="12">
        <f t="shared" si="27"/>
        <v>5869.4323738509675</v>
      </c>
      <c r="BG47" s="12">
        <f t="shared" si="28"/>
        <v>461.72391186071286</v>
      </c>
      <c r="BH47" s="12">
        <f t="shared" si="29"/>
        <v>2735.4237776557907</v>
      </c>
      <c r="BI47" s="12">
        <f t="shared" si="30"/>
        <v>2672.2846843344628</v>
      </c>
    </row>
    <row r="48" spans="2:61" x14ac:dyDescent="0.25">
      <c r="C48" s="7">
        <v>363</v>
      </c>
      <c r="D48" s="7" t="s">
        <v>113</v>
      </c>
      <c r="E48" s="12">
        <f>'MCH2'!E48/'MCH2'!E3</f>
        <v>582.23527865404833</v>
      </c>
      <c r="F48" s="12">
        <f>'MCH2'!F48/'MCH2'!F3</f>
        <v>888.98953488372092</v>
      </c>
      <c r="G48" s="12">
        <f>'MCH2'!G48/'MCH2'!G3</f>
        <v>404.89055201698517</v>
      </c>
      <c r="H48" s="12">
        <f>'MCH2'!H48/'MCH2'!H3</f>
        <v>576.75487528344672</v>
      </c>
      <c r="I48" s="12">
        <f>'MCH2'!I48/'MCH2'!I3</f>
        <v>726.11783505154631</v>
      </c>
      <c r="J48" s="12">
        <f>'MCH2'!J48/'MCH2'!J3</f>
        <v>629.07076063990337</v>
      </c>
      <c r="K48" s="12">
        <f>'MCH2'!K48/'MCH2'!K3</f>
        <v>603.84101356443102</v>
      </c>
      <c r="L48" s="12">
        <f>'MCH2'!L48/'MCH2'!L3</f>
        <v>1497.3936435580879</v>
      </c>
      <c r="M48" s="12">
        <f>'MCH2'!M48/'MCH2'!M3</f>
        <v>624.0583088235295</v>
      </c>
      <c r="N48" s="12">
        <f>'MCH2'!N48/'MCH2'!N3</f>
        <v>748.92901785714287</v>
      </c>
      <c r="O48" s="12">
        <f>'MCH2'!O48/'MCH2'!O3</f>
        <v>587.48076239923489</v>
      </c>
      <c r="P48" s="12">
        <f>'MCH2'!P48/'MCH2'!P3</f>
        <v>561.69703065134092</v>
      </c>
      <c r="Q48" s="12">
        <f>'MCH2'!Q48/'MCH2'!Q3</f>
        <v>423.06415094339627</v>
      </c>
      <c r="R48" s="12">
        <f>'MCH2'!R48/'MCH2'!R3</f>
        <v>390.64117647058822</v>
      </c>
      <c r="S48" s="12">
        <f>'MCH2'!S48/'MCH2'!S3</f>
        <v>524.68885714285716</v>
      </c>
      <c r="T48" s="12">
        <f>'MCH2'!T48/'MCH2'!T3</f>
        <v>380.18090040927689</v>
      </c>
      <c r="U48" s="12">
        <f>'MCH2'!U48/'MCH2'!U3</f>
        <v>599.91625925925928</v>
      </c>
      <c r="V48" s="12">
        <f>'MCH2'!V48/'MCH2'!V3</f>
        <v>1067.9380815347722</v>
      </c>
      <c r="W48" s="12">
        <f>'MCH2'!W48/'MCH2'!W3</f>
        <v>544.91327853881285</v>
      </c>
      <c r="X48" s="12">
        <f>'MCH2'!X48/'MCH2'!X3</f>
        <v>718.27314935064942</v>
      </c>
      <c r="Y48" s="12">
        <f>'MCH2'!Y48/'MCH2'!Y3</f>
        <v>660.5846979332274</v>
      </c>
      <c r="Z48" s="12">
        <f>'MCH2'!Z48/'MCH2'!Z3</f>
        <v>649.90057742782153</v>
      </c>
      <c r="AA48" s="12">
        <f>'MCH2'!AA48/'MCH2'!AA3</f>
        <v>459.03034482758619</v>
      </c>
      <c r="AB48" s="12">
        <f>'MCH2'!AB48/'MCH2'!AB3</f>
        <v>662.31025641025633</v>
      </c>
      <c r="AC48" s="12">
        <f>'MCH2'!AC48/'MCH2'!AC3</f>
        <v>660.52629411764701</v>
      </c>
      <c r="AD48" s="12">
        <f>'MCH2'!AD48/'MCH2'!AD3</f>
        <v>638.29255319148933</v>
      </c>
      <c r="AE48" s="12">
        <f>'MCH2'!AE48/'MCH2'!AE3</f>
        <v>776.05771324863883</v>
      </c>
      <c r="AF48" s="12">
        <f>'MCH2'!AF48/'MCH2'!AF3</f>
        <v>465.45131115459884</v>
      </c>
      <c r="AG48" s="12">
        <f>'MCH2'!AG48/'MCH2'!AG3</f>
        <v>701.6317770767613</v>
      </c>
      <c r="AH48" s="12">
        <f>'MCH2'!AH48/'MCH2'!AH3</f>
        <v>1044.5374563106798</v>
      </c>
      <c r="AI48" s="12">
        <f>'MCH2'!AI48/'MCH2'!AI3</f>
        <v>484.03872807017547</v>
      </c>
      <c r="AJ48" s="12">
        <f>'MCH2'!AJ48/'MCH2'!AJ3</f>
        <v>1031.8153389830509</v>
      </c>
      <c r="AK48" s="12">
        <f>'MCH2'!AK48/'MCH2'!AK3</f>
        <v>536.60844845908605</v>
      </c>
      <c r="AL48" s="12">
        <f>'MCH2'!AL48/'MCH2'!AL3</f>
        <v>657.43052064631956</v>
      </c>
      <c r="AM48" s="12">
        <f>'MCH2'!AM48/'MCH2'!AM3</f>
        <v>710.73562037797865</v>
      </c>
      <c r="AN48" s="12">
        <f>'MCH2'!AN48/'MCH2'!AN3</f>
        <v>1106.7991452991453</v>
      </c>
      <c r="AO48" s="12">
        <f>'MCH2'!AO48/'MCH2'!AO3</f>
        <v>997.41216597510368</v>
      </c>
      <c r="AP48" s="12">
        <f>'MCH2'!AP48/'MCH2'!AP3</f>
        <v>912.73635200000001</v>
      </c>
      <c r="AQ48" s="12">
        <f>'MCH2'!AQ48/'MCH2'!AQ3</f>
        <v>492.7349445324881</v>
      </c>
      <c r="AR48" s="12">
        <f>'MCH2'!AR48/'MCH2'!AR3</f>
        <v>660.74287843137256</v>
      </c>
      <c r="AS48" s="12">
        <f>'MCH2'!AS48/'MCH2'!AS3</f>
        <v>576.52855153203348</v>
      </c>
      <c r="AT48" s="12">
        <f>'MCH2'!AT48/'MCH2'!AT3</f>
        <v>739.98269155206287</v>
      </c>
      <c r="AU48" s="12">
        <f>'MCH2'!AU48/'MCH2'!AU3</f>
        <v>668.76245733788392</v>
      </c>
      <c r="AV48" s="12">
        <f>'MCH2'!AV48/'MCH2'!AV3</f>
        <v>537.42275154004108</v>
      </c>
      <c r="AW48" s="12">
        <f>'MCH2'!AW48/'MCH2'!AW3</f>
        <v>489.66348600508906</v>
      </c>
      <c r="AX48" s="12">
        <f>'MCH2'!AX48/'MCH2'!AX3</f>
        <v>1039.8614130434783</v>
      </c>
      <c r="AY48" s="12">
        <f>'MCH2'!AY48/'MCH2'!AY3</f>
        <v>563.7714714714715</v>
      </c>
      <c r="AZ48" s="12">
        <f>'MCH2'!AZ48/'MCH2'!AZ3</f>
        <v>469.7590501792115</v>
      </c>
      <c r="BA48" s="12">
        <f>'MCH2'!BA48/'MCH2'!BA3</f>
        <v>497.95652173913044</v>
      </c>
      <c r="BB48" s="12">
        <f>'MCH2'!BB48/'MCH2'!BB3</f>
        <v>587.83830798479084</v>
      </c>
      <c r="BC48" s="12">
        <f>'MCH2'!BC48/'MCH2'!BC3</f>
        <v>646.40188172043008</v>
      </c>
      <c r="BD48" s="12">
        <f>'MCH2'!BD48/'MCH2'!BD3</f>
        <v>1519.9574258655487</v>
      </c>
      <c r="BE48" s="12">
        <f>'MCH2'!BE48/'MCH2'!BE3</f>
        <v>730.27252747252749</v>
      </c>
      <c r="BF48" s="12">
        <f t="shared" si="27"/>
        <v>36458.630128950164</v>
      </c>
      <c r="BG48" s="12">
        <f t="shared" si="28"/>
        <v>12362.801317682384</v>
      </c>
      <c r="BH48" s="12">
        <f t="shared" si="29"/>
        <v>8952.4501981025805</v>
      </c>
      <c r="BI48" s="12">
        <f t="shared" si="30"/>
        <v>15143.37861316519</v>
      </c>
    </row>
    <row r="49" spans="2:61" x14ac:dyDescent="0.25">
      <c r="C49" s="7">
        <v>364</v>
      </c>
      <c r="D49" s="7" t="s">
        <v>114</v>
      </c>
      <c r="E49" s="12">
        <f>'MCH2'!E49/'MCH2'!E3</f>
        <v>0</v>
      </c>
      <c r="F49" s="12">
        <f>'MCH2'!F49/'MCH2'!F3</f>
        <v>0</v>
      </c>
      <c r="G49" s="12">
        <f>'MCH2'!G49/'MCH2'!G3</f>
        <v>0</v>
      </c>
      <c r="H49" s="12">
        <f>'MCH2'!H49/'MCH2'!H3</f>
        <v>0</v>
      </c>
      <c r="I49" s="12">
        <f>'MCH2'!I49/'MCH2'!I3</f>
        <v>0</v>
      </c>
      <c r="J49" s="12">
        <f>'MCH2'!J49/'MCH2'!J3</f>
        <v>0</v>
      </c>
      <c r="K49" s="12">
        <f>'MCH2'!K49/'MCH2'!K3</f>
        <v>0</v>
      </c>
      <c r="L49" s="12">
        <f>'MCH2'!L49/'MCH2'!L3</f>
        <v>0</v>
      </c>
      <c r="M49" s="12">
        <f>'MCH2'!M49/'MCH2'!M3</f>
        <v>0</v>
      </c>
      <c r="N49" s="12">
        <f>'MCH2'!N49/'MCH2'!N3</f>
        <v>0</v>
      </c>
      <c r="O49" s="12">
        <f>'MCH2'!O49/'MCH2'!O3</f>
        <v>0</v>
      </c>
      <c r="P49" s="12">
        <f>'MCH2'!P49/'MCH2'!P3</f>
        <v>0</v>
      </c>
      <c r="Q49" s="12">
        <f>'MCH2'!Q49/'MCH2'!Q3</f>
        <v>0</v>
      </c>
      <c r="R49" s="12">
        <f>'MCH2'!R49/'MCH2'!R3</f>
        <v>0</v>
      </c>
      <c r="S49" s="12">
        <f>'MCH2'!S49/'MCH2'!S3</f>
        <v>0</v>
      </c>
      <c r="T49" s="12">
        <f>'MCH2'!T49/'MCH2'!T3</f>
        <v>0</v>
      </c>
      <c r="U49" s="12">
        <f>'MCH2'!U49/'MCH2'!U3</f>
        <v>0</v>
      </c>
      <c r="V49" s="12">
        <f>'MCH2'!V49/'MCH2'!V3</f>
        <v>0</v>
      </c>
      <c r="W49" s="12">
        <f>'MCH2'!W49/'MCH2'!W3</f>
        <v>0</v>
      </c>
      <c r="X49" s="12">
        <f>'MCH2'!X49/'MCH2'!X3</f>
        <v>0</v>
      </c>
      <c r="Y49" s="12">
        <f>'MCH2'!Y49/'MCH2'!Y3</f>
        <v>0</v>
      </c>
      <c r="Z49" s="12">
        <f>'MCH2'!Z49/'MCH2'!Z3</f>
        <v>0</v>
      </c>
      <c r="AA49" s="12">
        <f>'MCH2'!AA49/'MCH2'!AA3</f>
        <v>0</v>
      </c>
      <c r="AB49" s="12">
        <f>'MCH2'!AB49/'MCH2'!AB3</f>
        <v>0</v>
      </c>
      <c r="AC49" s="12">
        <f>'MCH2'!AC49/'MCH2'!AC3</f>
        <v>0</v>
      </c>
      <c r="AD49" s="12">
        <f>'MCH2'!AD49/'MCH2'!AD3</f>
        <v>0</v>
      </c>
      <c r="AE49" s="12">
        <f>'MCH2'!AE49/'MCH2'!AE3</f>
        <v>0</v>
      </c>
      <c r="AF49" s="12">
        <f>'MCH2'!AF49/'MCH2'!AF3</f>
        <v>0</v>
      </c>
      <c r="AG49" s="12">
        <f>'MCH2'!AG49/'MCH2'!AG3</f>
        <v>0</v>
      </c>
      <c r="AH49" s="12">
        <f>'MCH2'!AH49/'MCH2'!AH3</f>
        <v>0</v>
      </c>
      <c r="AI49" s="12">
        <f>'MCH2'!AI49/'MCH2'!AI3</f>
        <v>0</v>
      </c>
      <c r="AJ49" s="12">
        <f>'MCH2'!AJ49/'MCH2'!AJ3</f>
        <v>0</v>
      </c>
      <c r="AK49" s="12">
        <f>'MCH2'!AK49/'MCH2'!AK3</f>
        <v>0</v>
      </c>
      <c r="AL49" s="12">
        <f>'MCH2'!AL49/'MCH2'!AL3</f>
        <v>0</v>
      </c>
      <c r="AM49" s="12">
        <f>'MCH2'!AM49/'MCH2'!AM3</f>
        <v>0</v>
      </c>
      <c r="AN49" s="12">
        <f>'MCH2'!AN49/'MCH2'!AN3</f>
        <v>0</v>
      </c>
      <c r="AO49" s="12">
        <f>'MCH2'!AO49/'MCH2'!AO3</f>
        <v>0</v>
      </c>
      <c r="AP49" s="12">
        <f>'MCH2'!AP49/'MCH2'!AP3</f>
        <v>0</v>
      </c>
      <c r="AQ49" s="12">
        <f>'MCH2'!AQ49/'MCH2'!AQ3</f>
        <v>0</v>
      </c>
      <c r="AR49" s="12">
        <f>'MCH2'!AR49/'MCH2'!AR3</f>
        <v>0</v>
      </c>
      <c r="AS49" s="12">
        <f>'MCH2'!AS49/'MCH2'!AS3</f>
        <v>0</v>
      </c>
      <c r="AT49" s="12">
        <f>'MCH2'!AT49/'MCH2'!AT3</f>
        <v>0</v>
      </c>
      <c r="AU49" s="12">
        <f>'MCH2'!AU49/'MCH2'!AU3</f>
        <v>0</v>
      </c>
      <c r="AV49" s="12">
        <f>'MCH2'!AV49/'MCH2'!AV3</f>
        <v>0</v>
      </c>
      <c r="AW49" s="12">
        <f>'MCH2'!AW49/'MCH2'!AW3</f>
        <v>0</v>
      </c>
      <c r="AX49" s="12">
        <f>'MCH2'!AX49/'MCH2'!AX3</f>
        <v>0</v>
      </c>
      <c r="AY49" s="12">
        <f>'MCH2'!AY49/'MCH2'!AY3</f>
        <v>0</v>
      </c>
      <c r="AZ49" s="12">
        <f>'MCH2'!AZ49/'MCH2'!AZ3</f>
        <v>0</v>
      </c>
      <c r="BA49" s="12">
        <f>'MCH2'!BA49/'MCH2'!BA3</f>
        <v>0</v>
      </c>
      <c r="BB49" s="12">
        <f>'MCH2'!BB49/'MCH2'!BB3</f>
        <v>0</v>
      </c>
      <c r="BC49" s="12">
        <f>'MCH2'!BC49/'MCH2'!BC3</f>
        <v>0</v>
      </c>
      <c r="BD49" s="12">
        <f>'MCH2'!BD49/'MCH2'!BD3</f>
        <v>0</v>
      </c>
      <c r="BE49" s="12">
        <f>'MCH2'!BE49/'MCH2'!BE3</f>
        <v>0</v>
      </c>
      <c r="BF49" s="12">
        <f t="shared" si="27"/>
        <v>0</v>
      </c>
      <c r="BG49" s="12">
        <f t="shared" si="28"/>
        <v>0</v>
      </c>
      <c r="BH49" s="12">
        <f t="shared" si="29"/>
        <v>0</v>
      </c>
      <c r="BI49" s="12">
        <f t="shared" si="30"/>
        <v>0</v>
      </c>
    </row>
    <row r="50" spans="2:61" x14ac:dyDescent="0.25">
      <c r="C50" s="7">
        <v>365</v>
      </c>
      <c r="D50" s="7" t="s">
        <v>115</v>
      </c>
      <c r="E50" s="12">
        <f>'MCH2'!E50/'MCH2'!E3</f>
        <v>0</v>
      </c>
      <c r="F50" s="12">
        <f>'MCH2'!F50/'MCH2'!F3</f>
        <v>0</v>
      </c>
      <c r="G50" s="12">
        <f>'MCH2'!G50/'MCH2'!G3</f>
        <v>0</v>
      </c>
      <c r="H50" s="12">
        <f>'MCH2'!H50/'MCH2'!H3</f>
        <v>0</v>
      </c>
      <c r="I50" s="12">
        <f>'MCH2'!I50/'MCH2'!I3</f>
        <v>0</v>
      </c>
      <c r="J50" s="12">
        <f>'MCH2'!J50/'MCH2'!J3</f>
        <v>0</v>
      </c>
      <c r="K50" s="12">
        <f>'MCH2'!K50/'MCH2'!K3</f>
        <v>0</v>
      </c>
      <c r="L50" s="12">
        <f>'MCH2'!L50/'MCH2'!L3</f>
        <v>0</v>
      </c>
      <c r="M50" s="12">
        <f>'MCH2'!M50/'MCH2'!M3</f>
        <v>0</v>
      </c>
      <c r="N50" s="12">
        <f>'MCH2'!N50/'MCH2'!N3</f>
        <v>0</v>
      </c>
      <c r="O50" s="12">
        <f>'MCH2'!O50/'MCH2'!O3</f>
        <v>0</v>
      </c>
      <c r="P50" s="12">
        <f>'MCH2'!P50/'MCH2'!P3</f>
        <v>0</v>
      </c>
      <c r="Q50" s="12">
        <f>'MCH2'!Q50/'MCH2'!Q3</f>
        <v>0</v>
      </c>
      <c r="R50" s="12">
        <f>'MCH2'!R50/'MCH2'!R3</f>
        <v>0</v>
      </c>
      <c r="S50" s="12">
        <f>'MCH2'!S50/'MCH2'!S3</f>
        <v>0</v>
      </c>
      <c r="T50" s="12">
        <f>'MCH2'!T50/'MCH2'!T3</f>
        <v>0</v>
      </c>
      <c r="U50" s="12">
        <f>'MCH2'!U50/'MCH2'!U3</f>
        <v>30</v>
      </c>
      <c r="V50" s="12">
        <f>'MCH2'!V50/'MCH2'!V3</f>
        <v>0</v>
      </c>
      <c r="W50" s="12">
        <f>'MCH2'!W50/'MCH2'!W3</f>
        <v>0</v>
      </c>
      <c r="X50" s="12">
        <f>'MCH2'!X50/'MCH2'!X3</f>
        <v>0</v>
      </c>
      <c r="Y50" s="12">
        <f>'MCH2'!Y50/'MCH2'!Y3</f>
        <v>0</v>
      </c>
      <c r="Z50" s="12">
        <f>'MCH2'!Z50/'MCH2'!Z3</f>
        <v>0</v>
      </c>
      <c r="AA50" s="12">
        <f>'MCH2'!AA50/'MCH2'!AA3</f>
        <v>0</v>
      </c>
      <c r="AB50" s="12">
        <f>'MCH2'!AB50/'MCH2'!AB3</f>
        <v>0</v>
      </c>
      <c r="AC50" s="12">
        <f>'MCH2'!AC50/'MCH2'!AC3</f>
        <v>0</v>
      </c>
      <c r="AD50" s="12">
        <f>'MCH2'!AD50/'MCH2'!AD3</f>
        <v>0</v>
      </c>
      <c r="AE50" s="12">
        <f>'MCH2'!AE50/'MCH2'!AE3</f>
        <v>0</v>
      </c>
      <c r="AF50" s="12">
        <f>'MCH2'!AF50/'MCH2'!AF3</f>
        <v>0</v>
      </c>
      <c r="AG50" s="12">
        <f>'MCH2'!AG50/'MCH2'!AG3</f>
        <v>0</v>
      </c>
      <c r="AH50" s="12">
        <f>'MCH2'!AH50/'MCH2'!AH3</f>
        <v>0</v>
      </c>
      <c r="AI50" s="12">
        <f>'MCH2'!AI50/'MCH2'!AI3</f>
        <v>0</v>
      </c>
      <c r="AJ50" s="12">
        <f>'MCH2'!AJ50/'MCH2'!AJ3</f>
        <v>0</v>
      </c>
      <c r="AK50" s="12">
        <f>'MCH2'!AK50/'MCH2'!AK3</f>
        <v>0</v>
      </c>
      <c r="AL50" s="12">
        <f>'MCH2'!AL50/'MCH2'!AL3</f>
        <v>0</v>
      </c>
      <c r="AM50" s="12">
        <f>'MCH2'!AM50/'MCH2'!AM3</f>
        <v>0</v>
      </c>
      <c r="AN50" s="12">
        <f>'MCH2'!AN50/'MCH2'!AN3</f>
        <v>0</v>
      </c>
      <c r="AO50" s="12">
        <f>'MCH2'!AO50/'MCH2'!AO3</f>
        <v>0</v>
      </c>
      <c r="AP50" s="12">
        <f>'MCH2'!AP50/'MCH2'!AP3</f>
        <v>0</v>
      </c>
      <c r="AQ50" s="12">
        <f>'MCH2'!AQ50/'MCH2'!AQ3</f>
        <v>0</v>
      </c>
      <c r="AR50" s="12">
        <f>'MCH2'!AR50/'MCH2'!AR3</f>
        <v>0</v>
      </c>
      <c r="AS50" s="12">
        <f>'MCH2'!AS50/'MCH2'!AS3</f>
        <v>0</v>
      </c>
      <c r="AT50" s="12">
        <f>'MCH2'!AT50/'MCH2'!AT3</f>
        <v>0</v>
      </c>
      <c r="AU50" s="12">
        <f>'MCH2'!AU50/'MCH2'!AU3</f>
        <v>0</v>
      </c>
      <c r="AV50" s="12">
        <f>'MCH2'!AV50/'MCH2'!AV3</f>
        <v>0</v>
      </c>
      <c r="AW50" s="12">
        <f>'MCH2'!AW50/'MCH2'!AW3</f>
        <v>0</v>
      </c>
      <c r="AX50" s="12">
        <f>'MCH2'!AX50/'MCH2'!AX3</f>
        <v>0</v>
      </c>
      <c r="AY50" s="12">
        <f>'MCH2'!AY50/'MCH2'!AY3</f>
        <v>0</v>
      </c>
      <c r="AZ50" s="12">
        <f>'MCH2'!AZ50/'MCH2'!AZ3</f>
        <v>7.7658303464755081</v>
      </c>
      <c r="BA50" s="12">
        <f>'MCH2'!BA50/'MCH2'!BA3</f>
        <v>0</v>
      </c>
      <c r="BB50" s="12">
        <f>'MCH2'!BB50/'MCH2'!BB3</f>
        <v>0</v>
      </c>
      <c r="BC50" s="12">
        <f>'MCH2'!BC50/'MCH2'!BC3</f>
        <v>0</v>
      </c>
      <c r="BD50" s="12">
        <f>'MCH2'!BD50/'MCH2'!BD3</f>
        <v>0</v>
      </c>
      <c r="BE50" s="12">
        <f>'MCH2'!BE50/'MCH2'!BE3</f>
        <v>0</v>
      </c>
      <c r="BF50" s="12">
        <f t="shared" si="27"/>
        <v>37.765830346475511</v>
      </c>
      <c r="BG50" s="12">
        <f t="shared" si="28"/>
        <v>30</v>
      </c>
      <c r="BH50" s="12">
        <f t="shared" si="29"/>
        <v>0</v>
      </c>
      <c r="BI50" s="12">
        <f t="shared" si="30"/>
        <v>7.7658303464755081</v>
      </c>
    </row>
    <row r="51" spans="2:61" x14ac:dyDescent="0.25">
      <c r="C51" s="7">
        <v>366</v>
      </c>
      <c r="D51" s="7" t="s">
        <v>116</v>
      </c>
      <c r="E51" s="12">
        <f>'MCH2'!E51/'MCH2'!E3</f>
        <v>8.3126077812828605</v>
      </c>
      <c r="F51" s="12">
        <f>'MCH2'!F51/'MCH2'!F3</f>
        <v>0</v>
      </c>
      <c r="G51" s="12">
        <f>'MCH2'!G51/'MCH2'!G3</f>
        <v>0</v>
      </c>
      <c r="H51" s="12">
        <f>'MCH2'!H51/'MCH2'!H3</f>
        <v>0</v>
      </c>
      <c r="I51" s="12">
        <f>'MCH2'!I51/'MCH2'!I3</f>
        <v>0.47254476397178513</v>
      </c>
      <c r="J51" s="12">
        <f>'MCH2'!J51/'MCH2'!J3</f>
        <v>0</v>
      </c>
      <c r="K51" s="12">
        <f>'MCH2'!K51/'MCH2'!K3</f>
        <v>54.512999246420499</v>
      </c>
      <c r="L51" s="12">
        <f>'MCH2'!L51/'MCH2'!L3</f>
        <v>0</v>
      </c>
      <c r="M51" s="12">
        <f>'MCH2'!M51/'MCH2'!M3</f>
        <v>7.867647058823529</v>
      </c>
      <c r="N51" s="12">
        <f>'MCH2'!N51/'MCH2'!N3</f>
        <v>0</v>
      </c>
      <c r="O51" s="12">
        <f>'MCH2'!O51/'MCH2'!O3</f>
        <v>9.7010848476567837</v>
      </c>
      <c r="P51" s="12">
        <f>'MCH2'!P51/'MCH2'!P3</f>
        <v>0</v>
      </c>
      <c r="Q51" s="12">
        <f>'MCH2'!Q51/'MCH2'!Q3</f>
        <v>0</v>
      </c>
      <c r="R51" s="12">
        <f>'MCH2'!R51/'MCH2'!R3</f>
        <v>0</v>
      </c>
      <c r="S51" s="12">
        <f>'MCH2'!S51/'MCH2'!S3</f>
        <v>0</v>
      </c>
      <c r="T51" s="12">
        <f>'MCH2'!T51/'MCH2'!T3</f>
        <v>0</v>
      </c>
      <c r="U51" s="12">
        <f>'MCH2'!U51/'MCH2'!U3</f>
        <v>2.4724074074074074</v>
      </c>
      <c r="V51" s="12">
        <f>'MCH2'!V51/'MCH2'!V3</f>
        <v>0</v>
      </c>
      <c r="W51" s="12">
        <f>'MCH2'!W51/'MCH2'!W3</f>
        <v>40.49558599695586</v>
      </c>
      <c r="X51" s="12">
        <f>'MCH2'!X51/'MCH2'!X3</f>
        <v>0</v>
      </c>
      <c r="Y51" s="12">
        <f>'MCH2'!Y51/'MCH2'!Y3</f>
        <v>0</v>
      </c>
      <c r="Z51" s="12">
        <f>'MCH2'!Z51/'MCH2'!Z3</f>
        <v>0</v>
      </c>
      <c r="AA51" s="12">
        <f>'MCH2'!AA51/'MCH2'!AA3</f>
        <v>0</v>
      </c>
      <c r="AB51" s="12">
        <f>'MCH2'!AB51/'MCH2'!AB3</f>
        <v>0</v>
      </c>
      <c r="AC51" s="12">
        <f>'MCH2'!AC51/'MCH2'!AC3</f>
        <v>0</v>
      </c>
      <c r="AD51" s="12">
        <f>'MCH2'!AD51/'MCH2'!AD3</f>
        <v>0</v>
      </c>
      <c r="AE51" s="12">
        <f>'MCH2'!AE51/'MCH2'!AE3</f>
        <v>0</v>
      </c>
      <c r="AF51" s="12">
        <f>'MCH2'!AF51/'MCH2'!AF3</f>
        <v>0</v>
      </c>
      <c r="AG51" s="12">
        <f>'MCH2'!AG51/'MCH2'!AG3</f>
        <v>0</v>
      </c>
      <c r="AH51" s="12">
        <f>'MCH2'!AH51/'MCH2'!AH3</f>
        <v>0</v>
      </c>
      <c r="AI51" s="12">
        <f>'MCH2'!AI51/'MCH2'!AI3</f>
        <v>0</v>
      </c>
      <c r="AJ51" s="12">
        <f>'MCH2'!AJ51/'MCH2'!AJ3</f>
        <v>0</v>
      </c>
      <c r="AK51" s="12">
        <f>'MCH2'!AK51/'MCH2'!AK3</f>
        <v>0</v>
      </c>
      <c r="AL51" s="12">
        <f>'MCH2'!AL51/'MCH2'!AL3</f>
        <v>0</v>
      </c>
      <c r="AM51" s="12">
        <f>'MCH2'!AM51/'MCH2'!AM3</f>
        <v>0</v>
      </c>
      <c r="AN51" s="12">
        <f>'MCH2'!AN51/'MCH2'!AN3</f>
        <v>0</v>
      </c>
      <c r="AO51" s="12">
        <f>'MCH2'!AO51/'MCH2'!AO3</f>
        <v>0</v>
      </c>
      <c r="AP51" s="12">
        <f>'MCH2'!AP51/'MCH2'!AP3</f>
        <v>1.1776</v>
      </c>
      <c r="AQ51" s="12">
        <f>'MCH2'!AQ51/'MCH2'!AQ3</f>
        <v>0.89857369255150554</v>
      </c>
      <c r="AR51" s="12">
        <f>'MCH2'!AR51/'MCH2'!AR3</f>
        <v>0</v>
      </c>
      <c r="AS51" s="12">
        <f>'MCH2'!AS51/'MCH2'!AS3</f>
        <v>0.58774373259052926</v>
      </c>
      <c r="AT51" s="12">
        <f>'MCH2'!AT51/'MCH2'!AT3</f>
        <v>0</v>
      </c>
      <c r="AU51" s="12">
        <f>'MCH2'!AU51/'MCH2'!AU3</f>
        <v>1.1535836177474403</v>
      </c>
      <c r="AV51" s="12">
        <f>'MCH2'!AV51/'MCH2'!AV3</f>
        <v>0</v>
      </c>
      <c r="AW51" s="12">
        <f>'MCH2'!AW51/'MCH2'!AW3</f>
        <v>0.80534351145038163</v>
      </c>
      <c r="AX51" s="12">
        <f>'MCH2'!AX51/'MCH2'!AX3</f>
        <v>1.125</v>
      </c>
      <c r="AY51" s="12">
        <f>'MCH2'!AY51/'MCH2'!AY3</f>
        <v>0.93393393393393398</v>
      </c>
      <c r="AZ51" s="12">
        <f>'MCH2'!AZ51/'MCH2'!AZ3</f>
        <v>0.95400238948626048</v>
      </c>
      <c r="BA51" s="12">
        <f>'MCH2'!BA51/'MCH2'!BA3</f>
        <v>0.81585677749360619</v>
      </c>
      <c r="BB51" s="12">
        <f>'MCH2'!BB51/'MCH2'!BB3</f>
        <v>1.0294676806083649</v>
      </c>
      <c r="BC51" s="12">
        <f>'MCH2'!BC51/'MCH2'!BC3</f>
        <v>1.2634408602150538</v>
      </c>
      <c r="BD51" s="12">
        <f>'MCH2'!BD51/'MCH2'!BD3</f>
        <v>0</v>
      </c>
      <c r="BE51" s="12">
        <f>'MCH2'!BE51/'MCH2'!BE3</f>
        <v>0</v>
      </c>
      <c r="BF51" s="12">
        <f t="shared" si="27"/>
        <v>134.57942329859577</v>
      </c>
      <c r="BG51" s="12">
        <f t="shared" si="28"/>
        <v>123.83487710251873</v>
      </c>
      <c r="BH51" s="12">
        <f t="shared" si="29"/>
        <v>0</v>
      </c>
      <c r="BI51" s="12">
        <f t="shared" si="30"/>
        <v>10.744546196077076</v>
      </c>
    </row>
    <row r="52" spans="2:61" x14ac:dyDescent="0.25">
      <c r="C52" s="7">
        <v>369</v>
      </c>
      <c r="D52" s="7" t="s">
        <v>117</v>
      </c>
      <c r="E52" s="12">
        <f>'MCH2'!E52/'MCH2'!E3</f>
        <v>0</v>
      </c>
      <c r="F52" s="12">
        <f>'MCH2'!F52/'MCH2'!F3</f>
        <v>7.1162790697674421</v>
      </c>
      <c r="G52" s="12">
        <f>'MCH2'!G52/'MCH2'!G3</f>
        <v>0</v>
      </c>
      <c r="H52" s="12">
        <f>'MCH2'!H52/'MCH2'!H3</f>
        <v>89.788185941043082</v>
      </c>
      <c r="I52" s="12">
        <f>'MCH2'!I52/'MCH2'!I3</f>
        <v>0</v>
      </c>
      <c r="J52" s="12">
        <f>'MCH2'!J52/'MCH2'!J3</f>
        <v>0</v>
      </c>
      <c r="K52" s="12">
        <f>'MCH2'!K52/'MCH2'!K3</f>
        <v>0</v>
      </c>
      <c r="L52" s="12">
        <f>'MCH2'!L52/'MCH2'!L3</f>
        <v>365.91636989553655</v>
      </c>
      <c r="M52" s="12">
        <f>'MCH2'!M52/'MCH2'!M3</f>
        <v>172.97777205882352</v>
      </c>
      <c r="N52" s="12">
        <f>'MCH2'!N52/'MCH2'!N3</f>
        <v>0</v>
      </c>
      <c r="O52" s="12">
        <f>'MCH2'!O52/'MCH2'!O3</f>
        <v>2.4406612925263014</v>
      </c>
      <c r="P52" s="12">
        <f>'MCH2'!P52/'MCH2'!P3</f>
        <v>0</v>
      </c>
      <c r="Q52" s="12">
        <f>'MCH2'!Q52/'MCH2'!Q3</f>
        <v>0</v>
      </c>
      <c r="R52" s="12">
        <f>'MCH2'!R52/'MCH2'!R3</f>
        <v>8.5764705882352938</v>
      </c>
      <c r="S52" s="12">
        <f>'MCH2'!S52/'MCH2'!S3</f>
        <v>0</v>
      </c>
      <c r="T52" s="12">
        <f>'MCH2'!T52/'MCH2'!T3</f>
        <v>0</v>
      </c>
      <c r="U52" s="12">
        <f>'MCH2'!U52/'MCH2'!U3</f>
        <v>7.7333333333333334</v>
      </c>
      <c r="V52" s="12">
        <f>'MCH2'!V52/'MCH2'!V3</f>
        <v>0</v>
      </c>
      <c r="W52" s="12">
        <f>'MCH2'!W52/'MCH2'!W3</f>
        <v>0</v>
      </c>
      <c r="X52" s="12">
        <f>'MCH2'!X52/'MCH2'!X3</f>
        <v>0</v>
      </c>
      <c r="Y52" s="12">
        <f>'MCH2'!Y52/'MCH2'!Y3</f>
        <v>6.0882352941176467</v>
      </c>
      <c r="Z52" s="12">
        <f>'MCH2'!Z52/'MCH2'!Z3</f>
        <v>8.4212598425196852</v>
      </c>
      <c r="AA52" s="12">
        <f>'MCH2'!AA52/'MCH2'!AA3</f>
        <v>0</v>
      </c>
      <c r="AB52" s="12">
        <f>'MCH2'!AB52/'MCH2'!AB3</f>
        <v>0</v>
      </c>
      <c r="AC52" s="12">
        <f>'MCH2'!AC52/'MCH2'!AC3</f>
        <v>0</v>
      </c>
      <c r="AD52" s="12">
        <f>'MCH2'!AD52/'MCH2'!AD3</f>
        <v>31.764609929078013</v>
      </c>
      <c r="AE52" s="12">
        <f>'MCH2'!AE52/'MCH2'!AE3</f>
        <v>6.8765880217785842</v>
      </c>
      <c r="AF52" s="12">
        <f>'MCH2'!AF52/'MCH2'!AF3</f>
        <v>14.779843444227005</v>
      </c>
      <c r="AG52" s="12">
        <f>'MCH2'!AG52/'MCH2'!AG3</f>
        <v>7.9684542586750791</v>
      </c>
      <c r="AH52" s="12">
        <f>'MCH2'!AH52/'MCH2'!AH3</f>
        <v>8.2799999999999994</v>
      </c>
      <c r="AI52" s="12">
        <f>'MCH2'!AI52/'MCH2'!AI3</f>
        <v>5.0921052631578947</v>
      </c>
      <c r="AJ52" s="12">
        <f>'MCH2'!AJ52/'MCH2'!AJ3</f>
        <v>0</v>
      </c>
      <c r="AK52" s="12">
        <f>'MCH2'!AK52/'MCH2'!AK3</f>
        <v>0</v>
      </c>
      <c r="AL52" s="12">
        <f>'MCH2'!AL52/'MCH2'!AL3</f>
        <v>0</v>
      </c>
      <c r="AM52" s="12">
        <f>'MCH2'!AM52/'MCH2'!AM3</f>
        <v>1.52341824157765</v>
      </c>
      <c r="AN52" s="12">
        <f>'MCH2'!AN52/'MCH2'!AN3</f>
        <v>0</v>
      </c>
      <c r="AO52" s="12">
        <f>'MCH2'!AO52/'MCH2'!AO3</f>
        <v>0</v>
      </c>
      <c r="AP52" s="12">
        <f>'MCH2'!AP52/'MCH2'!AP3</f>
        <v>0</v>
      </c>
      <c r="AQ52" s="12">
        <f>'MCH2'!AQ52/'MCH2'!AQ3</f>
        <v>8.8573692551505552</v>
      </c>
      <c r="AR52" s="12">
        <f>'MCH2'!AR52/'MCH2'!AR3</f>
        <v>5.5341176470588236</v>
      </c>
      <c r="AS52" s="12">
        <f>'MCH2'!AS52/'MCH2'!AS3</f>
        <v>9.0793871866295266</v>
      </c>
      <c r="AT52" s="12">
        <f>'MCH2'!AT52/'MCH2'!AT3</f>
        <v>0</v>
      </c>
      <c r="AU52" s="12">
        <f>'MCH2'!AU52/'MCH2'!AU3</f>
        <v>0.10238907849829351</v>
      </c>
      <c r="AV52" s="12">
        <f>'MCH2'!AV52/'MCH2'!AV3</f>
        <v>0</v>
      </c>
      <c r="AW52" s="12">
        <f>'MCH2'!AW52/'MCH2'!AW3</f>
        <v>0</v>
      </c>
      <c r="AX52" s="12">
        <f>'MCH2'!AX52/'MCH2'!AX3</f>
        <v>9</v>
      </c>
      <c r="AY52" s="12">
        <f>'MCH2'!AY52/'MCH2'!AY3</f>
        <v>8.513513513513514</v>
      </c>
      <c r="AZ52" s="12">
        <f>'MCH2'!AZ52/'MCH2'!AZ3</f>
        <v>0</v>
      </c>
      <c r="BA52" s="12">
        <f>'MCH2'!BA52/'MCH2'!BA3</f>
        <v>0</v>
      </c>
      <c r="BB52" s="12">
        <f>'MCH2'!BB52/'MCH2'!BB3</f>
        <v>0</v>
      </c>
      <c r="BC52" s="12">
        <f>'MCH2'!BC52/'MCH2'!BC3</f>
        <v>8.612903225806452</v>
      </c>
      <c r="BD52" s="12">
        <f>'MCH2'!BD52/'MCH2'!BD3</f>
        <v>0</v>
      </c>
      <c r="BE52" s="12">
        <f>'MCH2'!BE52/'MCH2'!BE3</f>
        <v>9.0824175824175821</v>
      </c>
      <c r="BF52" s="12">
        <f t="shared" si="27"/>
        <v>804.12568396347206</v>
      </c>
      <c r="BG52" s="12">
        <f t="shared" si="28"/>
        <v>654.54907217926564</v>
      </c>
      <c r="BH52" s="12">
        <f t="shared" si="29"/>
        <v>89.271096053553919</v>
      </c>
      <c r="BI52" s="12">
        <f t="shared" si="30"/>
        <v>60.305515730652395</v>
      </c>
    </row>
    <row r="53" spans="2:61" x14ac:dyDescent="0.25">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row>
    <row r="54" spans="2:61" x14ac:dyDescent="0.25">
      <c r="B54" s="66">
        <v>37</v>
      </c>
      <c r="C54" s="66"/>
      <c r="D54" s="66" t="s">
        <v>118</v>
      </c>
      <c r="E54" s="67">
        <f>E55</f>
        <v>0</v>
      </c>
      <c r="F54" s="67">
        <f t="shared" ref="F54:BI54" si="31">F55</f>
        <v>0</v>
      </c>
      <c r="G54" s="67">
        <f t="shared" si="31"/>
        <v>0</v>
      </c>
      <c r="H54" s="67">
        <f t="shared" si="31"/>
        <v>0</v>
      </c>
      <c r="I54" s="67">
        <f t="shared" si="31"/>
        <v>0</v>
      </c>
      <c r="J54" s="67">
        <f t="shared" si="31"/>
        <v>0</v>
      </c>
      <c r="K54" s="67">
        <f t="shared" si="31"/>
        <v>0</v>
      </c>
      <c r="L54" s="67">
        <f t="shared" si="31"/>
        <v>0</v>
      </c>
      <c r="M54" s="67">
        <f t="shared" si="31"/>
        <v>0</v>
      </c>
      <c r="N54" s="67">
        <f t="shared" si="31"/>
        <v>0</v>
      </c>
      <c r="O54" s="67">
        <f t="shared" si="31"/>
        <v>0</v>
      </c>
      <c r="P54" s="67">
        <f t="shared" si="31"/>
        <v>0</v>
      </c>
      <c r="Q54" s="67">
        <f t="shared" si="31"/>
        <v>0</v>
      </c>
      <c r="R54" s="67">
        <f t="shared" si="31"/>
        <v>0</v>
      </c>
      <c r="S54" s="67">
        <f t="shared" si="31"/>
        <v>0</v>
      </c>
      <c r="T54" s="67">
        <f t="shared" si="31"/>
        <v>0</v>
      </c>
      <c r="U54" s="67">
        <f t="shared" si="31"/>
        <v>0</v>
      </c>
      <c r="V54" s="67">
        <f t="shared" si="31"/>
        <v>0</v>
      </c>
      <c r="W54" s="67">
        <f t="shared" si="31"/>
        <v>0</v>
      </c>
      <c r="X54" s="67">
        <f t="shared" si="31"/>
        <v>1395.3306818181818</v>
      </c>
      <c r="Y54" s="67">
        <f t="shared" si="31"/>
        <v>0</v>
      </c>
      <c r="Z54" s="67">
        <f t="shared" si="31"/>
        <v>281.4882217847769</v>
      </c>
      <c r="AA54" s="67">
        <f t="shared" si="31"/>
        <v>1836.7988505747126</v>
      </c>
      <c r="AB54" s="67">
        <f t="shared" si="31"/>
        <v>1137.1118589743589</v>
      </c>
      <c r="AC54" s="67">
        <f t="shared" si="31"/>
        <v>308.22470588235296</v>
      </c>
      <c r="AD54" s="67">
        <f t="shared" si="31"/>
        <v>0</v>
      </c>
      <c r="AE54" s="67">
        <f t="shared" si="31"/>
        <v>434.03901996370234</v>
      </c>
      <c r="AF54" s="67">
        <f t="shared" si="31"/>
        <v>1162.0900195694717</v>
      </c>
      <c r="AG54" s="67">
        <f t="shared" si="31"/>
        <v>203.99965825446895</v>
      </c>
      <c r="AH54" s="67">
        <f t="shared" si="31"/>
        <v>0</v>
      </c>
      <c r="AI54" s="67">
        <f t="shared" si="31"/>
        <v>18.34407894736842</v>
      </c>
      <c r="AJ54" s="67">
        <f t="shared" si="31"/>
        <v>0</v>
      </c>
      <c r="AK54" s="67">
        <f t="shared" si="31"/>
        <v>0</v>
      </c>
      <c r="AL54" s="67">
        <f t="shared" si="31"/>
        <v>0</v>
      </c>
      <c r="AM54" s="67">
        <f t="shared" si="31"/>
        <v>0</v>
      </c>
      <c r="AN54" s="67">
        <f t="shared" si="31"/>
        <v>0</v>
      </c>
      <c r="AO54" s="67">
        <f t="shared" si="31"/>
        <v>0</v>
      </c>
      <c r="AP54" s="67">
        <f t="shared" si="31"/>
        <v>2.1496</v>
      </c>
      <c r="AQ54" s="67">
        <f t="shared" si="31"/>
        <v>0</v>
      </c>
      <c r="AR54" s="67">
        <f t="shared" si="31"/>
        <v>44.399215686274509</v>
      </c>
      <c r="AS54" s="67">
        <f t="shared" si="31"/>
        <v>0</v>
      </c>
      <c r="AT54" s="67">
        <f t="shared" si="31"/>
        <v>0</v>
      </c>
      <c r="AU54" s="67">
        <f t="shared" si="31"/>
        <v>0</v>
      </c>
      <c r="AV54" s="67">
        <f t="shared" si="31"/>
        <v>17.405770020533883</v>
      </c>
      <c r="AW54" s="67">
        <f t="shared" si="31"/>
        <v>12.290076335877863</v>
      </c>
      <c r="AX54" s="67">
        <f t="shared" si="31"/>
        <v>0</v>
      </c>
      <c r="AY54" s="67">
        <f t="shared" si="31"/>
        <v>0</v>
      </c>
      <c r="AZ54" s="67">
        <f t="shared" si="31"/>
        <v>0</v>
      </c>
      <c r="BA54" s="67">
        <f t="shared" si="31"/>
        <v>0</v>
      </c>
      <c r="BB54" s="67">
        <f t="shared" si="31"/>
        <v>0</v>
      </c>
      <c r="BC54" s="67">
        <f t="shared" si="31"/>
        <v>0</v>
      </c>
      <c r="BD54" s="67">
        <f t="shared" si="31"/>
        <v>0</v>
      </c>
      <c r="BE54" s="67">
        <f t="shared" si="31"/>
        <v>0</v>
      </c>
      <c r="BF54" s="67">
        <f t="shared" si="31"/>
        <v>6853.6717578120806</v>
      </c>
      <c r="BG54" s="67">
        <f t="shared" si="31"/>
        <v>0</v>
      </c>
      <c r="BH54" s="67">
        <f t="shared" si="31"/>
        <v>6777.4270957693952</v>
      </c>
      <c r="BI54" s="67">
        <f t="shared" si="31"/>
        <v>76.244662042686258</v>
      </c>
    </row>
    <row r="55" spans="2:61" x14ac:dyDescent="0.25">
      <c r="C55" s="7">
        <v>370</v>
      </c>
      <c r="D55" s="7" t="s">
        <v>119</v>
      </c>
      <c r="E55" s="12">
        <f>'MCH2'!E55/'MCH2'!E3</f>
        <v>0</v>
      </c>
      <c r="F55" s="12">
        <f>'MCH2'!F55/'MCH2'!F3</f>
        <v>0</v>
      </c>
      <c r="G55" s="12">
        <f>'MCH2'!G55/'MCH2'!G3</f>
        <v>0</v>
      </c>
      <c r="H55" s="12">
        <f>'MCH2'!H55/'MCH2'!H3</f>
        <v>0</v>
      </c>
      <c r="I55" s="12">
        <f>'MCH2'!I55/'MCH2'!I3</f>
        <v>0</v>
      </c>
      <c r="J55" s="12">
        <f>'MCH2'!J55/'MCH2'!J3</f>
        <v>0</v>
      </c>
      <c r="K55" s="12">
        <f>'MCH2'!K55/'MCH2'!K3</f>
        <v>0</v>
      </c>
      <c r="L55" s="12">
        <f>'MCH2'!L55/'MCH2'!L3</f>
        <v>0</v>
      </c>
      <c r="M55" s="12">
        <f>'MCH2'!M55/'MCH2'!M3</f>
        <v>0</v>
      </c>
      <c r="N55" s="12">
        <f>'MCH2'!N55/'MCH2'!N3</f>
        <v>0</v>
      </c>
      <c r="O55" s="12">
        <f>'MCH2'!O55/'MCH2'!O3</f>
        <v>0</v>
      </c>
      <c r="P55" s="12">
        <f>'MCH2'!P55/'MCH2'!P3</f>
        <v>0</v>
      </c>
      <c r="Q55" s="12">
        <f>'MCH2'!Q55/'MCH2'!Q3</f>
        <v>0</v>
      </c>
      <c r="R55" s="12">
        <f>'MCH2'!R55/'MCH2'!R3</f>
        <v>0</v>
      </c>
      <c r="S55" s="12">
        <f>'MCH2'!S55/'MCH2'!S3</f>
        <v>0</v>
      </c>
      <c r="T55" s="12">
        <f>'MCH2'!T55/'MCH2'!T3</f>
        <v>0</v>
      </c>
      <c r="U55" s="12">
        <f>'MCH2'!U55/'MCH2'!U3</f>
        <v>0</v>
      </c>
      <c r="V55" s="12">
        <f>'MCH2'!V55/'MCH2'!V3</f>
        <v>0</v>
      </c>
      <c r="W55" s="12">
        <f>'MCH2'!W55/'MCH2'!W3</f>
        <v>0</v>
      </c>
      <c r="X55" s="12">
        <f>'MCH2'!X55/'MCH2'!X3</f>
        <v>1395.3306818181818</v>
      </c>
      <c r="Y55" s="12">
        <f>'MCH2'!Y55/'MCH2'!Y3</f>
        <v>0</v>
      </c>
      <c r="Z55" s="12">
        <f>'MCH2'!Z55/'MCH2'!Z3</f>
        <v>281.4882217847769</v>
      </c>
      <c r="AA55" s="12">
        <f>'MCH2'!AA55/'MCH2'!AA3</f>
        <v>1836.7988505747126</v>
      </c>
      <c r="AB55" s="12">
        <f>'MCH2'!AB55/'MCH2'!AB3</f>
        <v>1137.1118589743589</v>
      </c>
      <c r="AC55" s="12">
        <f>'MCH2'!AC55/'MCH2'!AC3</f>
        <v>308.22470588235296</v>
      </c>
      <c r="AD55" s="12">
        <f>'MCH2'!AD55/'MCH2'!AD3</f>
        <v>0</v>
      </c>
      <c r="AE55" s="12">
        <f>'MCH2'!AE55/'MCH2'!AE3</f>
        <v>434.03901996370234</v>
      </c>
      <c r="AF55" s="12">
        <f>'MCH2'!AF55/'MCH2'!AF3</f>
        <v>1162.0900195694717</v>
      </c>
      <c r="AG55" s="12">
        <f>'MCH2'!AG55/'MCH2'!AG3</f>
        <v>203.99965825446895</v>
      </c>
      <c r="AH55" s="12">
        <f>'MCH2'!AH55/'MCH2'!AH3</f>
        <v>0</v>
      </c>
      <c r="AI55" s="12">
        <f>'MCH2'!AI55/'MCH2'!AI3</f>
        <v>18.34407894736842</v>
      </c>
      <c r="AJ55" s="12">
        <f>'MCH2'!AJ55/'MCH2'!AJ3</f>
        <v>0</v>
      </c>
      <c r="AK55" s="12">
        <f>'MCH2'!AK55/'MCH2'!AK3</f>
        <v>0</v>
      </c>
      <c r="AL55" s="12">
        <f>'MCH2'!AL55/'MCH2'!AL3</f>
        <v>0</v>
      </c>
      <c r="AM55" s="12">
        <f>'MCH2'!AM55/'MCH2'!AM3</f>
        <v>0</v>
      </c>
      <c r="AN55" s="12">
        <f>'MCH2'!AN55/'MCH2'!AN3</f>
        <v>0</v>
      </c>
      <c r="AO55" s="12">
        <f>'MCH2'!AO55/'MCH2'!AO3</f>
        <v>0</v>
      </c>
      <c r="AP55" s="12">
        <f>'MCH2'!AP55/'MCH2'!AP3</f>
        <v>2.1496</v>
      </c>
      <c r="AQ55" s="12">
        <f>'MCH2'!AQ55/'MCH2'!AQ3</f>
        <v>0</v>
      </c>
      <c r="AR55" s="12">
        <f>'MCH2'!AR55/'MCH2'!AR3</f>
        <v>44.399215686274509</v>
      </c>
      <c r="AS55" s="12">
        <f>'MCH2'!AS55/'MCH2'!AS3</f>
        <v>0</v>
      </c>
      <c r="AT55" s="12">
        <f>'MCH2'!AT55/'MCH2'!AT3</f>
        <v>0</v>
      </c>
      <c r="AU55" s="12">
        <f>'MCH2'!AU55/'MCH2'!AU3</f>
        <v>0</v>
      </c>
      <c r="AV55" s="12">
        <f>'MCH2'!AV55/'MCH2'!AV3</f>
        <v>17.405770020533883</v>
      </c>
      <c r="AW55" s="12">
        <f>'MCH2'!AW55/'MCH2'!AW3</f>
        <v>12.290076335877863</v>
      </c>
      <c r="AX55" s="12">
        <f>'MCH2'!AX55/'MCH2'!AX3</f>
        <v>0</v>
      </c>
      <c r="AY55" s="12">
        <f>'MCH2'!AY55/'MCH2'!AY3</f>
        <v>0</v>
      </c>
      <c r="AZ55" s="12">
        <f>'MCH2'!AZ55/'MCH2'!AZ3</f>
        <v>0</v>
      </c>
      <c r="BA55" s="12">
        <f>'MCH2'!BA55/'MCH2'!BA3</f>
        <v>0</v>
      </c>
      <c r="BB55" s="12">
        <f>'MCH2'!BB55/'MCH2'!BB3</f>
        <v>0</v>
      </c>
      <c r="BC55" s="12">
        <f>'MCH2'!BC55/'MCH2'!BC3</f>
        <v>0</v>
      </c>
      <c r="BD55" s="12">
        <f>'MCH2'!BD55/'MCH2'!BD3</f>
        <v>0</v>
      </c>
      <c r="BE55" s="12">
        <f>'MCH2'!BE55/'MCH2'!BE3</f>
        <v>0</v>
      </c>
      <c r="BF55" s="12">
        <f t="shared" ref="BF55" si="32">SUM(E55:BE55)</f>
        <v>6853.6717578120806</v>
      </c>
      <c r="BG55" s="12">
        <f t="shared" ref="BG55" si="33">SUM(E55:W55)</f>
        <v>0</v>
      </c>
      <c r="BH55" s="12">
        <f t="shared" ref="BH55" si="34">SUM(X55:AJ55)</f>
        <v>6777.4270957693952</v>
      </c>
      <c r="BI55" s="12">
        <f t="shared" ref="BI55" si="35">SUM(AK55:BE55)</f>
        <v>76.244662042686258</v>
      </c>
    </row>
    <row r="56" spans="2:61" x14ac:dyDescent="0.25">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row>
    <row r="57" spans="2:61" x14ac:dyDescent="0.25">
      <c r="B57" s="66">
        <v>38</v>
      </c>
      <c r="C57" s="66"/>
      <c r="D57" s="66" t="s">
        <v>120</v>
      </c>
      <c r="E57" s="67">
        <f>E58+E59+E60+E61+E62+E63</f>
        <v>0</v>
      </c>
      <c r="F57" s="67">
        <f t="shared" ref="F57:BI57" si="36">F58+F59+F60+F61+F62+F63</f>
        <v>0</v>
      </c>
      <c r="G57" s="67">
        <f t="shared" si="36"/>
        <v>0</v>
      </c>
      <c r="H57" s="67">
        <f t="shared" si="36"/>
        <v>0.76984126984126988</v>
      </c>
      <c r="I57" s="67">
        <f t="shared" si="36"/>
        <v>81.313092783505155</v>
      </c>
      <c r="J57" s="67">
        <f t="shared" si="36"/>
        <v>2.2155146392997285</v>
      </c>
      <c r="K57" s="67">
        <f t="shared" si="36"/>
        <v>244.91333835719669</v>
      </c>
      <c r="L57" s="67">
        <f t="shared" si="36"/>
        <v>0</v>
      </c>
      <c r="M57" s="67">
        <f t="shared" si="36"/>
        <v>0</v>
      </c>
      <c r="N57" s="67">
        <f t="shared" si="36"/>
        <v>0</v>
      </c>
      <c r="O57" s="67">
        <f t="shared" si="36"/>
        <v>52.390278726601991</v>
      </c>
      <c r="P57" s="67">
        <f t="shared" si="36"/>
        <v>0.6457854406130269</v>
      </c>
      <c r="Q57" s="67">
        <f t="shared" si="36"/>
        <v>8.9301886792452834</v>
      </c>
      <c r="R57" s="67">
        <f t="shared" si="36"/>
        <v>0</v>
      </c>
      <c r="S57" s="67">
        <f t="shared" si="36"/>
        <v>0</v>
      </c>
      <c r="T57" s="67">
        <f t="shared" si="36"/>
        <v>129.6043656207367</v>
      </c>
      <c r="U57" s="67">
        <f t="shared" si="36"/>
        <v>0</v>
      </c>
      <c r="V57" s="67">
        <f t="shared" si="36"/>
        <v>0</v>
      </c>
      <c r="W57" s="67">
        <f t="shared" si="36"/>
        <v>182.64840182648402</v>
      </c>
      <c r="X57" s="67">
        <f t="shared" si="36"/>
        <v>0</v>
      </c>
      <c r="Y57" s="67">
        <f t="shared" si="36"/>
        <v>7.9491255961844198E-2</v>
      </c>
      <c r="Z57" s="67">
        <f t="shared" si="36"/>
        <v>656.16797900262463</v>
      </c>
      <c r="AA57" s="67">
        <f t="shared" si="36"/>
        <v>0</v>
      </c>
      <c r="AB57" s="67">
        <f t="shared" si="36"/>
        <v>224.35897435897436</v>
      </c>
      <c r="AC57" s="67">
        <f t="shared" si="36"/>
        <v>0</v>
      </c>
      <c r="AD57" s="67">
        <f t="shared" si="36"/>
        <v>3.2198581560283688</v>
      </c>
      <c r="AE57" s="67">
        <f t="shared" si="36"/>
        <v>0</v>
      </c>
      <c r="AF57" s="67">
        <f t="shared" si="36"/>
        <v>0</v>
      </c>
      <c r="AG57" s="67">
        <f t="shared" si="36"/>
        <v>0</v>
      </c>
      <c r="AH57" s="67">
        <f t="shared" si="36"/>
        <v>135.92233009708738</v>
      </c>
      <c r="AI57" s="67">
        <f t="shared" si="36"/>
        <v>219.2982456140351</v>
      </c>
      <c r="AJ57" s="67">
        <f t="shared" si="36"/>
        <v>1440.6779661016949</v>
      </c>
      <c r="AK57" s="67">
        <f t="shared" si="36"/>
        <v>195.20032943676941</v>
      </c>
      <c r="AL57" s="67">
        <f t="shared" si="36"/>
        <v>146.62809694793538</v>
      </c>
      <c r="AM57" s="67">
        <f t="shared" si="36"/>
        <v>0</v>
      </c>
      <c r="AN57" s="67">
        <f t="shared" si="36"/>
        <v>111.99974358974359</v>
      </c>
      <c r="AO57" s="67">
        <f t="shared" si="36"/>
        <v>1576.7634854771784</v>
      </c>
      <c r="AP57" s="67">
        <f t="shared" si="36"/>
        <v>0</v>
      </c>
      <c r="AQ57" s="67">
        <f t="shared" si="36"/>
        <v>0</v>
      </c>
      <c r="AR57" s="67">
        <f t="shared" si="36"/>
        <v>15.686274509803921</v>
      </c>
      <c r="AS57" s="67">
        <f t="shared" si="36"/>
        <v>0</v>
      </c>
      <c r="AT57" s="67">
        <f t="shared" si="36"/>
        <v>0</v>
      </c>
      <c r="AU57" s="67">
        <f t="shared" si="36"/>
        <v>0</v>
      </c>
      <c r="AV57" s="67">
        <f t="shared" si="36"/>
        <v>41.067761806981522</v>
      </c>
      <c r="AW57" s="67">
        <f t="shared" si="36"/>
        <v>254.45292620865141</v>
      </c>
      <c r="AX57" s="67">
        <f t="shared" si="36"/>
        <v>9.3366847826086961</v>
      </c>
      <c r="AY57" s="67">
        <f t="shared" si="36"/>
        <v>0</v>
      </c>
      <c r="AZ57" s="67">
        <f t="shared" si="36"/>
        <v>0</v>
      </c>
      <c r="BA57" s="67">
        <f t="shared" si="36"/>
        <v>2.3529411764705883</v>
      </c>
      <c r="BB57" s="67">
        <f t="shared" si="36"/>
        <v>237.88350760456274</v>
      </c>
      <c r="BC57" s="67">
        <f t="shared" si="36"/>
        <v>0</v>
      </c>
      <c r="BD57" s="67">
        <f t="shared" si="36"/>
        <v>0</v>
      </c>
      <c r="BE57" s="67">
        <f t="shared" si="36"/>
        <v>0</v>
      </c>
      <c r="BF57" s="67">
        <f t="shared" si="36"/>
        <v>5974.5274034706354</v>
      </c>
      <c r="BG57" s="67">
        <f t="shared" si="36"/>
        <v>703.43080734352384</v>
      </c>
      <c r="BH57" s="67">
        <f t="shared" si="36"/>
        <v>2679.7248445864066</v>
      </c>
      <c r="BI57" s="67">
        <f t="shared" si="36"/>
        <v>2591.3717515407056</v>
      </c>
    </row>
    <row r="58" spans="2:61" x14ac:dyDescent="0.25">
      <c r="C58" s="7">
        <v>380</v>
      </c>
      <c r="D58" s="7" t="s">
        <v>121</v>
      </c>
      <c r="E58" s="12">
        <f>'MCH2'!E58/'MCH2'!E3</f>
        <v>0</v>
      </c>
      <c r="F58" s="12">
        <f>'MCH2'!F58/'MCH2'!F3</f>
        <v>0</v>
      </c>
      <c r="G58" s="12">
        <f>'MCH2'!G58/'MCH2'!G3</f>
        <v>0</v>
      </c>
      <c r="H58" s="12">
        <f>'MCH2'!H58/'MCH2'!H3</f>
        <v>0</v>
      </c>
      <c r="I58" s="12">
        <f>'MCH2'!I58/'MCH2'!I3</f>
        <v>0</v>
      </c>
      <c r="J58" s="12">
        <f>'MCH2'!J58/'MCH2'!J3</f>
        <v>0</v>
      </c>
      <c r="K58" s="12">
        <f>'MCH2'!K58/'MCH2'!K3</f>
        <v>0</v>
      </c>
      <c r="L58" s="12">
        <f>'MCH2'!L58/'MCH2'!L3</f>
        <v>0</v>
      </c>
      <c r="M58" s="12">
        <f>'MCH2'!M58/'MCH2'!M3</f>
        <v>0</v>
      </c>
      <c r="N58" s="12">
        <f>'MCH2'!N58/'MCH2'!N3</f>
        <v>0</v>
      </c>
      <c r="O58" s="12">
        <f>'MCH2'!O58/'MCH2'!O3</f>
        <v>0</v>
      </c>
      <c r="P58" s="12">
        <f>'MCH2'!P58/'MCH2'!P3</f>
        <v>0</v>
      </c>
      <c r="Q58" s="12">
        <f>'MCH2'!Q58/'MCH2'!Q3</f>
        <v>0</v>
      </c>
      <c r="R58" s="12">
        <f>'MCH2'!R58/'MCH2'!R3</f>
        <v>0</v>
      </c>
      <c r="S58" s="12">
        <f>'MCH2'!S58/'MCH2'!S3</f>
        <v>0</v>
      </c>
      <c r="T58" s="12">
        <f>'MCH2'!T58/'MCH2'!T3</f>
        <v>0</v>
      </c>
      <c r="U58" s="12">
        <f>'MCH2'!U58/'MCH2'!U3</f>
        <v>0</v>
      </c>
      <c r="V58" s="12">
        <f>'MCH2'!V58/'MCH2'!V3</f>
        <v>0</v>
      </c>
      <c r="W58" s="12">
        <f>'MCH2'!W58/'MCH2'!W3</f>
        <v>0</v>
      </c>
      <c r="X58" s="12">
        <f>'MCH2'!X58/'MCH2'!X3</f>
        <v>0</v>
      </c>
      <c r="Y58" s="12">
        <f>'MCH2'!Y58/'MCH2'!Y3</f>
        <v>0</v>
      </c>
      <c r="Z58" s="12">
        <f>'MCH2'!Z58/'MCH2'!Z3</f>
        <v>0</v>
      </c>
      <c r="AA58" s="12">
        <f>'MCH2'!AA58/'MCH2'!AA3</f>
        <v>0</v>
      </c>
      <c r="AB58" s="12">
        <f>'MCH2'!AB58/'MCH2'!AB3</f>
        <v>0</v>
      </c>
      <c r="AC58" s="12">
        <f>'MCH2'!AC58/'MCH2'!AC3</f>
        <v>0</v>
      </c>
      <c r="AD58" s="12">
        <f>'MCH2'!AD58/'MCH2'!AD3</f>
        <v>0</v>
      </c>
      <c r="AE58" s="12">
        <f>'MCH2'!AE58/'MCH2'!AE3</f>
        <v>0</v>
      </c>
      <c r="AF58" s="12">
        <f>'MCH2'!AF58/'MCH2'!AF3</f>
        <v>0</v>
      </c>
      <c r="AG58" s="12">
        <f>'MCH2'!AG58/'MCH2'!AG3</f>
        <v>0</v>
      </c>
      <c r="AH58" s="12">
        <f>'MCH2'!AH58/'MCH2'!AH3</f>
        <v>0</v>
      </c>
      <c r="AI58" s="12">
        <f>'MCH2'!AI58/'MCH2'!AI3</f>
        <v>0</v>
      </c>
      <c r="AJ58" s="12">
        <f>'MCH2'!AJ58/'MCH2'!AJ3</f>
        <v>0</v>
      </c>
      <c r="AK58" s="12">
        <f>'MCH2'!AK58/'MCH2'!AK3</f>
        <v>0</v>
      </c>
      <c r="AL58" s="12">
        <f>'MCH2'!AL58/'MCH2'!AL3</f>
        <v>0</v>
      </c>
      <c r="AM58" s="12">
        <f>'MCH2'!AM58/'MCH2'!AM3</f>
        <v>0</v>
      </c>
      <c r="AN58" s="12">
        <f>'MCH2'!AN58/'MCH2'!AN3</f>
        <v>0</v>
      </c>
      <c r="AO58" s="12">
        <f>'MCH2'!AO58/'MCH2'!AO3</f>
        <v>0</v>
      </c>
      <c r="AP58" s="12">
        <f>'MCH2'!AP58/'MCH2'!AP3</f>
        <v>0</v>
      </c>
      <c r="AQ58" s="12">
        <f>'MCH2'!AQ58/'MCH2'!AQ3</f>
        <v>0</v>
      </c>
      <c r="AR58" s="12">
        <f>'MCH2'!AR58/'MCH2'!AR3</f>
        <v>0</v>
      </c>
      <c r="AS58" s="12">
        <f>'MCH2'!AS58/'MCH2'!AS3</f>
        <v>0</v>
      </c>
      <c r="AT58" s="12">
        <f>'MCH2'!AT58/'MCH2'!AT3</f>
        <v>0</v>
      </c>
      <c r="AU58" s="12">
        <f>'MCH2'!AU58/'MCH2'!AU3</f>
        <v>0</v>
      </c>
      <c r="AV58" s="12">
        <f>'MCH2'!AV58/'MCH2'!AV3</f>
        <v>0</v>
      </c>
      <c r="AW58" s="12">
        <f>'MCH2'!AW58/'MCH2'!AW3</f>
        <v>0</v>
      </c>
      <c r="AX58" s="12">
        <f>'MCH2'!AX58/'MCH2'!AX3</f>
        <v>0</v>
      </c>
      <c r="AY58" s="12">
        <f>'MCH2'!AY58/'MCH2'!AY3</f>
        <v>0</v>
      </c>
      <c r="AZ58" s="12">
        <f>'MCH2'!AZ58/'MCH2'!AZ3</f>
        <v>0</v>
      </c>
      <c r="BA58" s="12">
        <f>'MCH2'!BA58/'MCH2'!BA3</f>
        <v>0</v>
      </c>
      <c r="BB58" s="12">
        <f>'MCH2'!BB58/'MCH2'!BB3</f>
        <v>0</v>
      </c>
      <c r="BC58" s="12">
        <f>'MCH2'!BC58/'MCH2'!BC3</f>
        <v>0</v>
      </c>
      <c r="BD58" s="12">
        <f>'MCH2'!BD58/'MCH2'!BD3</f>
        <v>0</v>
      </c>
      <c r="BE58" s="12">
        <f>'MCH2'!BE58/'MCH2'!BE3</f>
        <v>0</v>
      </c>
      <c r="BF58" s="12">
        <f t="shared" ref="BF58:BF63" si="37">SUM(E58:BE58)</f>
        <v>0</v>
      </c>
      <c r="BG58" s="12">
        <f t="shared" ref="BG58:BG63" si="38">SUM(E58:W58)</f>
        <v>0</v>
      </c>
      <c r="BH58" s="12">
        <f t="shared" ref="BH58:BH63" si="39">SUM(X58:AJ58)</f>
        <v>0</v>
      </c>
      <c r="BI58" s="12">
        <f t="shared" ref="BI58:BI63" si="40">SUM(AK58:BE58)</f>
        <v>0</v>
      </c>
    </row>
    <row r="59" spans="2:61" x14ac:dyDescent="0.25">
      <c r="C59" s="7">
        <v>381</v>
      </c>
      <c r="D59" s="7" t="s">
        <v>122</v>
      </c>
      <c r="E59" s="12">
        <f>'MCH2'!E59/'MCH2'!E3</f>
        <v>0</v>
      </c>
      <c r="F59" s="12">
        <f>'MCH2'!F59/'MCH2'!F3</f>
        <v>0</v>
      </c>
      <c r="G59" s="12">
        <f>'MCH2'!G59/'MCH2'!G3</f>
        <v>0</v>
      </c>
      <c r="H59" s="12">
        <f>'MCH2'!H59/'MCH2'!H3</f>
        <v>0.76984126984126988</v>
      </c>
      <c r="I59" s="12">
        <f>'MCH2'!I59/'MCH2'!I3</f>
        <v>0</v>
      </c>
      <c r="J59" s="12">
        <f>'MCH2'!J59/'MCH2'!J3</f>
        <v>2.2155146392997285</v>
      </c>
      <c r="K59" s="12">
        <f>'MCH2'!K59/'MCH2'!K3</f>
        <v>0</v>
      </c>
      <c r="L59" s="12">
        <f>'MCH2'!L59/'MCH2'!L3</f>
        <v>0</v>
      </c>
      <c r="M59" s="12">
        <f>'MCH2'!M59/'MCH2'!M3</f>
        <v>0</v>
      </c>
      <c r="N59" s="12">
        <f>'MCH2'!N59/'MCH2'!N3</f>
        <v>0</v>
      </c>
      <c r="O59" s="12">
        <f>'MCH2'!O59/'MCH2'!O3</f>
        <v>1.973630277360295E-2</v>
      </c>
      <c r="P59" s="12">
        <f>'MCH2'!P59/'MCH2'!P3</f>
        <v>0</v>
      </c>
      <c r="Q59" s="12">
        <f>'MCH2'!Q59/'MCH2'!Q3</f>
        <v>8.9301886792452834</v>
      </c>
      <c r="R59" s="12">
        <f>'MCH2'!R59/'MCH2'!R3</f>
        <v>0</v>
      </c>
      <c r="S59" s="12">
        <f>'MCH2'!S59/'MCH2'!S3</f>
        <v>0</v>
      </c>
      <c r="T59" s="12">
        <f>'MCH2'!T59/'MCH2'!T3</f>
        <v>0</v>
      </c>
      <c r="U59" s="12">
        <f>'MCH2'!U59/'MCH2'!U3</f>
        <v>0</v>
      </c>
      <c r="V59" s="12">
        <f>'MCH2'!V59/'MCH2'!V3</f>
        <v>0</v>
      </c>
      <c r="W59" s="12">
        <f>'MCH2'!W59/'MCH2'!W3</f>
        <v>0</v>
      </c>
      <c r="X59" s="12">
        <f>'MCH2'!X59/'MCH2'!X3</f>
        <v>0</v>
      </c>
      <c r="Y59" s="12">
        <f>'MCH2'!Y59/'MCH2'!Y3</f>
        <v>0</v>
      </c>
      <c r="Z59" s="12">
        <f>'MCH2'!Z59/'MCH2'!Z3</f>
        <v>0</v>
      </c>
      <c r="AA59" s="12">
        <f>'MCH2'!AA59/'MCH2'!AA3</f>
        <v>0</v>
      </c>
      <c r="AB59" s="12">
        <f>'MCH2'!AB59/'MCH2'!AB3</f>
        <v>0</v>
      </c>
      <c r="AC59" s="12">
        <f>'MCH2'!AC59/'MCH2'!AC3</f>
        <v>0</v>
      </c>
      <c r="AD59" s="12">
        <f>'MCH2'!AD59/'MCH2'!AD3</f>
        <v>0</v>
      </c>
      <c r="AE59" s="12">
        <f>'MCH2'!AE59/'MCH2'!AE3</f>
        <v>0</v>
      </c>
      <c r="AF59" s="12">
        <f>'MCH2'!AF59/'MCH2'!AF3</f>
        <v>0</v>
      </c>
      <c r="AG59" s="12">
        <f>'MCH2'!AG59/'MCH2'!AG3</f>
        <v>0</v>
      </c>
      <c r="AH59" s="12">
        <f>'MCH2'!AH59/'MCH2'!AH3</f>
        <v>0</v>
      </c>
      <c r="AI59" s="12">
        <f>'MCH2'!AI59/'MCH2'!AI3</f>
        <v>0</v>
      </c>
      <c r="AJ59" s="12">
        <f>'MCH2'!AJ59/'MCH2'!AJ3</f>
        <v>0</v>
      </c>
      <c r="AK59" s="12">
        <f>'MCH2'!AK59/'MCH2'!AK3</f>
        <v>0</v>
      </c>
      <c r="AL59" s="12">
        <f>'MCH2'!AL59/'MCH2'!AL3</f>
        <v>0</v>
      </c>
      <c r="AM59" s="12">
        <f>'MCH2'!AM59/'MCH2'!AM3</f>
        <v>0</v>
      </c>
      <c r="AN59" s="12">
        <f>'MCH2'!AN59/'MCH2'!AN3</f>
        <v>0</v>
      </c>
      <c r="AO59" s="12">
        <f>'MCH2'!AO59/'MCH2'!AO3</f>
        <v>0</v>
      </c>
      <c r="AP59" s="12">
        <f>'MCH2'!AP59/'MCH2'!AP3</f>
        <v>0</v>
      </c>
      <c r="AQ59" s="12">
        <f>'MCH2'!AQ59/'MCH2'!AQ3</f>
        <v>0</v>
      </c>
      <c r="AR59" s="12">
        <f>'MCH2'!AR59/'MCH2'!AR3</f>
        <v>0</v>
      </c>
      <c r="AS59" s="12">
        <f>'MCH2'!AS59/'MCH2'!AS3</f>
        <v>0</v>
      </c>
      <c r="AT59" s="12">
        <f>'MCH2'!AT59/'MCH2'!AT3</f>
        <v>0</v>
      </c>
      <c r="AU59" s="12">
        <f>'MCH2'!AU59/'MCH2'!AU3</f>
        <v>0</v>
      </c>
      <c r="AV59" s="12">
        <f>'MCH2'!AV59/'MCH2'!AV3</f>
        <v>0</v>
      </c>
      <c r="AW59" s="12">
        <f>'MCH2'!AW59/'MCH2'!AW3</f>
        <v>0</v>
      </c>
      <c r="AX59" s="12">
        <f>'MCH2'!AX59/'MCH2'!AX3</f>
        <v>0</v>
      </c>
      <c r="AY59" s="12">
        <f>'MCH2'!AY59/'MCH2'!AY3</f>
        <v>0</v>
      </c>
      <c r="AZ59" s="12">
        <f>'MCH2'!AZ59/'MCH2'!AZ3</f>
        <v>0</v>
      </c>
      <c r="BA59" s="12">
        <f>'MCH2'!BA59/'MCH2'!BA3</f>
        <v>0</v>
      </c>
      <c r="BB59" s="12">
        <f>'MCH2'!BB59/'MCH2'!BB3</f>
        <v>0</v>
      </c>
      <c r="BC59" s="12">
        <f>'MCH2'!BC59/'MCH2'!BC3</f>
        <v>0</v>
      </c>
      <c r="BD59" s="12">
        <f>'MCH2'!BD59/'MCH2'!BD3</f>
        <v>0</v>
      </c>
      <c r="BE59" s="12">
        <f>'MCH2'!BE59/'MCH2'!BE3</f>
        <v>0</v>
      </c>
      <c r="BF59" s="12">
        <f t="shared" si="37"/>
        <v>11.935280891159884</v>
      </c>
      <c r="BG59" s="12">
        <f t="shared" si="38"/>
        <v>11.935280891159884</v>
      </c>
      <c r="BH59" s="12">
        <f t="shared" si="39"/>
        <v>0</v>
      </c>
      <c r="BI59" s="12">
        <f t="shared" si="40"/>
        <v>0</v>
      </c>
    </row>
    <row r="60" spans="2:61" x14ac:dyDescent="0.25">
      <c r="C60" s="7">
        <v>384</v>
      </c>
      <c r="D60" s="7" t="s">
        <v>123</v>
      </c>
      <c r="E60" s="12">
        <f>'MCH2'!E60/'MCH2'!E3</f>
        <v>0</v>
      </c>
      <c r="F60" s="12">
        <f>'MCH2'!F60/'MCH2'!F3</f>
        <v>0</v>
      </c>
      <c r="G60" s="12">
        <f>'MCH2'!G60/'MCH2'!G3</f>
        <v>0</v>
      </c>
      <c r="H60" s="12">
        <f>'MCH2'!H60/'MCH2'!H3</f>
        <v>0</v>
      </c>
      <c r="I60" s="12">
        <f>'MCH2'!I60/'MCH2'!I3</f>
        <v>-7.5946825827455239E-2</v>
      </c>
      <c r="J60" s="12">
        <f>'MCH2'!J60/'MCH2'!J3</f>
        <v>0</v>
      </c>
      <c r="K60" s="12">
        <f>'MCH2'!K60/'MCH2'!K3</f>
        <v>0</v>
      </c>
      <c r="L60" s="12">
        <f>'MCH2'!L60/'MCH2'!L3</f>
        <v>0</v>
      </c>
      <c r="M60" s="12">
        <f>'MCH2'!M60/'MCH2'!M3</f>
        <v>0</v>
      </c>
      <c r="N60" s="12">
        <f>'MCH2'!N60/'MCH2'!N3</f>
        <v>0</v>
      </c>
      <c r="O60" s="12">
        <f>'MCH2'!O60/'MCH2'!O3</f>
        <v>0</v>
      </c>
      <c r="P60" s="12">
        <f>'MCH2'!P60/'MCH2'!P3</f>
        <v>0</v>
      </c>
      <c r="Q60" s="12">
        <f>'MCH2'!Q60/'MCH2'!Q3</f>
        <v>0</v>
      </c>
      <c r="R60" s="12">
        <f>'MCH2'!R60/'MCH2'!R3</f>
        <v>0</v>
      </c>
      <c r="S60" s="12">
        <f>'MCH2'!S60/'MCH2'!S3</f>
        <v>0</v>
      </c>
      <c r="T60" s="12">
        <f>'MCH2'!T60/'MCH2'!T3</f>
        <v>0</v>
      </c>
      <c r="U60" s="12">
        <f>'MCH2'!U60/'MCH2'!U3</f>
        <v>0</v>
      </c>
      <c r="V60" s="12">
        <f>'MCH2'!V60/'MCH2'!V3</f>
        <v>0</v>
      </c>
      <c r="W60" s="12">
        <f>'MCH2'!W60/'MCH2'!W3</f>
        <v>0</v>
      </c>
      <c r="X60" s="12">
        <f>'MCH2'!X60/'MCH2'!X3</f>
        <v>0</v>
      </c>
      <c r="Y60" s="12">
        <f>'MCH2'!Y60/'MCH2'!Y3</f>
        <v>7.9491255961844198E-2</v>
      </c>
      <c r="Z60" s="12">
        <f>'MCH2'!Z60/'MCH2'!Z3</f>
        <v>0</v>
      </c>
      <c r="AA60" s="12">
        <f>'MCH2'!AA60/'MCH2'!AA3</f>
        <v>0</v>
      </c>
      <c r="AB60" s="12">
        <f>'MCH2'!AB60/'MCH2'!AB3</f>
        <v>0</v>
      </c>
      <c r="AC60" s="12">
        <f>'MCH2'!AC60/'MCH2'!AC3</f>
        <v>0</v>
      </c>
      <c r="AD60" s="12">
        <f>'MCH2'!AD60/'MCH2'!AD3</f>
        <v>0</v>
      </c>
      <c r="AE60" s="12">
        <f>'MCH2'!AE60/'MCH2'!AE3</f>
        <v>0</v>
      </c>
      <c r="AF60" s="12">
        <f>'MCH2'!AF60/'MCH2'!AF3</f>
        <v>0</v>
      </c>
      <c r="AG60" s="12">
        <f>'MCH2'!AG60/'MCH2'!AG3</f>
        <v>0</v>
      </c>
      <c r="AH60" s="12">
        <f>'MCH2'!AH60/'MCH2'!AH3</f>
        <v>0</v>
      </c>
      <c r="AI60" s="12">
        <f>'MCH2'!AI60/'MCH2'!AI3</f>
        <v>0</v>
      </c>
      <c r="AJ60" s="12">
        <f>'MCH2'!AJ60/'MCH2'!AJ3</f>
        <v>0</v>
      </c>
      <c r="AK60" s="12">
        <f>'MCH2'!AK60/'MCH2'!AK3</f>
        <v>0</v>
      </c>
      <c r="AL60" s="12">
        <f>'MCH2'!AL60/'MCH2'!AL3</f>
        <v>0</v>
      </c>
      <c r="AM60" s="12">
        <f>'MCH2'!AM60/'MCH2'!AM3</f>
        <v>0</v>
      </c>
      <c r="AN60" s="12">
        <f>'MCH2'!AN60/'MCH2'!AN3</f>
        <v>6.3758119658119661</v>
      </c>
      <c r="AO60" s="12">
        <f>'MCH2'!AO60/'MCH2'!AO3</f>
        <v>0</v>
      </c>
      <c r="AP60" s="12">
        <f>'MCH2'!AP60/'MCH2'!AP3</f>
        <v>0</v>
      </c>
      <c r="AQ60" s="12">
        <f>'MCH2'!AQ60/'MCH2'!AQ3</f>
        <v>0</v>
      </c>
      <c r="AR60" s="12">
        <f>'MCH2'!AR60/'MCH2'!AR3</f>
        <v>0</v>
      </c>
      <c r="AS60" s="12">
        <f>'MCH2'!AS60/'MCH2'!AS3</f>
        <v>0</v>
      </c>
      <c r="AT60" s="12">
        <f>'MCH2'!AT60/'MCH2'!AT3</f>
        <v>0</v>
      </c>
      <c r="AU60" s="12">
        <f>'MCH2'!AU60/'MCH2'!AU3</f>
        <v>0</v>
      </c>
      <c r="AV60" s="12">
        <f>'MCH2'!AV60/'MCH2'!AV3</f>
        <v>0</v>
      </c>
      <c r="AW60" s="12">
        <f>'MCH2'!AW60/'MCH2'!AW3</f>
        <v>0</v>
      </c>
      <c r="AX60" s="12">
        <f>'MCH2'!AX60/'MCH2'!AX3</f>
        <v>0</v>
      </c>
      <c r="AY60" s="12">
        <f>'MCH2'!AY60/'MCH2'!AY3</f>
        <v>0</v>
      </c>
      <c r="AZ60" s="12">
        <f>'MCH2'!AZ60/'MCH2'!AZ3</f>
        <v>0</v>
      </c>
      <c r="BA60" s="12">
        <f>'MCH2'!BA60/'MCH2'!BA3</f>
        <v>0</v>
      </c>
      <c r="BB60" s="12">
        <f>'MCH2'!BB60/'MCH2'!BB3</f>
        <v>0</v>
      </c>
      <c r="BC60" s="12">
        <f>'MCH2'!BC60/'MCH2'!BC3</f>
        <v>0</v>
      </c>
      <c r="BD60" s="12">
        <f>'MCH2'!BD60/'MCH2'!BD3</f>
        <v>0</v>
      </c>
      <c r="BE60" s="12">
        <f>'MCH2'!BE60/'MCH2'!BE3</f>
        <v>0</v>
      </c>
      <c r="BF60" s="12">
        <f t="shared" si="37"/>
        <v>6.3793563959463553</v>
      </c>
      <c r="BG60" s="12">
        <f t="shared" si="38"/>
        <v>-7.5946825827455239E-2</v>
      </c>
      <c r="BH60" s="12">
        <f t="shared" si="39"/>
        <v>7.9491255961844198E-2</v>
      </c>
      <c r="BI60" s="12">
        <f t="shared" si="40"/>
        <v>6.3758119658119661</v>
      </c>
    </row>
    <row r="61" spans="2:61" x14ac:dyDescent="0.25">
      <c r="C61" s="7">
        <v>385</v>
      </c>
      <c r="D61" s="7" t="s">
        <v>124</v>
      </c>
      <c r="E61" s="12">
        <f>'MCH2'!E61/'MCH2'!E3</f>
        <v>0</v>
      </c>
      <c r="F61" s="12">
        <f>'MCH2'!F61/'MCH2'!F3</f>
        <v>0</v>
      </c>
      <c r="G61" s="12">
        <f>'MCH2'!G61/'MCH2'!G3</f>
        <v>0</v>
      </c>
      <c r="H61" s="12">
        <f>'MCH2'!H61/'MCH2'!H3</f>
        <v>0</v>
      </c>
      <c r="I61" s="12">
        <f>'MCH2'!I61/'MCH2'!I3</f>
        <v>0</v>
      </c>
      <c r="J61" s="12">
        <f>'MCH2'!J61/'MCH2'!J3</f>
        <v>0</v>
      </c>
      <c r="K61" s="12">
        <f>'MCH2'!K61/'MCH2'!K3</f>
        <v>0</v>
      </c>
      <c r="L61" s="12">
        <f>'MCH2'!L61/'MCH2'!L3</f>
        <v>0</v>
      </c>
      <c r="M61" s="12">
        <f>'MCH2'!M61/'MCH2'!M3</f>
        <v>0</v>
      </c>
      <c r="N61" s="12">
        <f>'MCH2'!N61/'MCH2'!N3</f>
        <v>0</v>
      </c>
      <c r="O61" s="12">
        <f>'MCH2'!O61/'MCH2'!O3</f>
        <v>0</v>
      </c>
      <c r="P61" s="12">
        <f>'MCH2'!P61/'MCH2'!P3</f>
        <v>0</v>
      </c>
      <c r="Q61" s="12">
        <f>'MCH2'!Q61/'MCH2'!Q3</f>
        <v>0</v>
      </c>
      <c r="R61" s="12">
        <f>'MCH2'!R61/'MCH2'!R3</f>
        <v>0</v>
      </c>
      <c r="S61" s="12">
        <f>'MCH2'!S61/'MCH2'!S3</f>
        <v>0</v>
      </c>
      <c r="T61" s="12">
        <f>'MCH2'!T61/'MCH2'!T3</f>
        <v>0</v>
      </c>
      <c r="U61" s="12">
        <f>'MCH2'!U61/'MCH2'!U3</f>
        <v>0</v>
      </c>
      <c r="V61" s="12">
        <f>'MCH2'!V61/'MCH2'!V3</f>
        <v>0</v>
      </c>
      <c r="W61" s="12">
        <f>'MCH2'!W61/'MCH2'!W3</f>
        <v>0</v>
      </c>
      <c r="X61" s="12">
        <f>'MCH2'!X61/'MCH2'!X3</f>
        <v>0</v>
      </c>
      <c r="Y61" s="12">
        <f>'MCH2'!Y61/'MCH2'!Y3</f>
        <v>0</v>
      </c>
      <c r="Z61" s="12">
        <f>'MCH2'!Z61/'MCH2'!Z3</f>
        <v>0</v>
      </c>
      <c r="AA61" s="12">
        <f>'MCH2'!AA61/'MCH2'!AA3</f>
        <v>0</v>
      </c>
      <c r="AB61" s="12">
        <f>'MCH2'!AB61/'MCH2'!AB3</f>
        <v>0</v>
      </c>
      <c r="AC61" s="12">
        <f>'MCH2'!AC61/'MCH2'!AC3</f>
        <v>0</v>
      </c>
      <c r="AD61" s="12">
        <f>'MCH2'!AD61/'MCH2'!AD3</f>
        <v>0</v>
      </c>
      <c r="AE61" s="12">
        <f>'MCH2'!AE61/'MCH2'!AE3</f>
        <v>0</v>
      </c>
      <c r="AF61" s="12">
        <f>'MCH2'!AF61/'MCH2'!AF3</f>
        <v>0</v>
      </c>
      <c r="AG61" s="12">
        <f>'MCH2'!AG61/'MCH2'!AG3</f>
        <v>0</v>
      </c>
      <c r="AH61" s="12">
        <f>'MCH2'!AH61/'MCH2'!AH3</f>
        <v>0</v>
      </c>
      <c r="AI61" s="12">
        <f>'MCH2'!AI61/'MCH2'!AI3</f>
        <v>0</v>
      </c>
      <c r="AJ61" s="12">
        <f>'MCH2'!AJ61/'MCH2'!AJ3</f>
        <v>0</v>
      </c>
      <c r="AK61" s="12">
        <f>'MCH2'!AK61/'MCH2'!AK3</f>
        <v>0</v>
      </c>
      <c r="AL61" s="12">
        <f>'MCH2'!AL61/'MCH2'!AL3</f>
        <v>0</v>
      </c>
      <c r="AM61" s="12">
        <f>'MCH2'!AM61/'MCH2'!AM3</f>
        <v>0</v>
      </c>
      <c r="AN61" s="12">
        <f>'MCH2'!AN61/'MCH2'!AN3</f>
        <v>0</v>
      </c>
      <c r="AO61" s="12">
        <f>'MCH2'!AO61/'MCH2'!AO3</f>
        <v>0</v>
      </c>
      <c r="AP61" s="12">
        <f>'MCH2'!AP61/'MCH2'!AP3</f>
        <v>0</v>
      </c>
      <c r="AQ61" s="12">
        <f>'MCH2'!AQ61/'MCH2'!AQ3</f>
        <v>0</v>
      </c>
      <c r="AR61" s="12">
        <f>'MCH2'!AR61/'MCH2'!AR3</f>
        <v>0</v>
      </c>
      <c r="AS61" s="12">
        <f>'MCH2'!AS61/'MCH2'!AS3</f>
        <v>0</v>
      </c>
      <c r="AT61" s="12">
        <f>'MCH2'!AT61/'MCH2'!AT3</f>
        <v>0</v>
      </c>
      <c r="AU61" s="12">
        <f>'MCH2'!AU61/'MCH2'!AU3</f>
        <v>0</v>
      </c>
      <c r="AV61" s="12">
        <f>'MCH2'!AV61/'MCH2'!AV3</f>
        <v>0</v>
      </c>
      <c r="AW61" s="12">
        <f>'MCH2'!AW61/'MCH2'!AW3</f>
        <v>0</v>
      </c>
      <c r="AX61" s="12">
        <f>'MCH2'!AX61/'MCH2'!AX3</f>
        <v>0</v>
      </c>
      <c r="AY61" s="12">
        <f>'MCH2'!AY61/'MCH2'!AY3</f>
        <v>0</v>
      </c>
      <c r="AZ61" s="12">
        <f>'MCH2'!AZ61/'MCH2'!AZ3</f>
        <v>0</v>
      </c>
      <c r="BA61" s="12">
        <f>'MCH2'!BA61/'MCH2'!BA3</f>
        <v>0</v>
      </c>
      <c r="BB61" s="12">
        <f>'MCH2'!BB61/'MCH2'!BB3</f>
        <v>0</v>
      </c>
      <c r="BC61" s="12">
        <f>'MCH2'!BC61/'MCH2'!BC3</f>
        <v>0</v>
      </c>
      <c r="BD61" s="12">
        <f>'MCH2'!BD61/'MCH2'!BD3</f>
        <v>0</v>
      </c>
      <c r="BE61" s="12">
        <f>'MCH2'!BE61/'MCH2'!BE3</f>
        <v>0</v>
      </c>
      <c r="BF61" s="12">
        <f t="shared" si="37"/>
        <v>0</v>
      </c>
      <c r="BG61" s="12">
        <f t="shared" si="38"/>
        <v>0</v>
      </c>
      <c r="BH61" s="12">
        <f t="shared" si="39"/>
        <v>0</v>
      </c>
      <c r="BI61" s="12">
        <f t="shared" si="40"/>
        <v>0</v>
      </c>
    </row>
    <row r="62" spans="2:61" x14ac:dyDescent="0.25">
      <c r="C62" s="7">
        <v>386</v>
      </c>
      <c r="D62" s="7" t="s">
        <v>125</v>
      </c>
      <c r="E62" s="12">
        <f>'MCH2'!E62/'MCH2'!E3</f>
        <v>0</v>
      </c>
      <c r="F62" s="12">
        <f>'MCH2'!F62/'MCH2'!F3</f>
        <v>0</v>
      </c>
      <c r="G62" s="12">
        <f>'MCH2'!G62/'MCH2'!G3</f>
        <v>0</v>
      </c>
      <c r="H62" s="12">
        <f>'MCH2'!H62/'MCH2'!H3</f>
        <v>0</v>
      </c>
      <c r="I62" s="12">
        <f>'MCH2'!I62/'MCH2'!I3</f>
        <v>0</v>
      </c>
      <c r="J62" s="12">
        <f>'MCH2'!J62/'MCH2'!J3</f>
        <v>0</v>
      </c>
      <c r="K62" s="12">
        <f>'MCH2'!K62/'MCH2'!K3</f>
        <v>0</v>
      </c>
      <c r="L62" s="12">
        <f>'MCH2'!L62/'MCH2'!L3</f>
        <v>0</v>
      </c>
      <c r="M62" s="12">
        <f>'MCH2'!M62/'MCH2'!M3</f>
        <v>0</v>
      </c>
      <c r="N62" s="12">
        <f>'MCH2'!N62/'MCH2'!N3</f>
        <v>0</v>
      </c>
      <c r="O62" s="12">
        <f>'MCH2'!O62/'MCH2'!O3</f>
        <v>0</v>
      </c>
      <c r="P62" s="12">
        <f>'MCH2'!P62/'MCH2'!P3</f>
        <v>0</v>
      </c>
      <c r="Q62" s="12">
        <f>'MCH2'!Q62/'MCH2'!Q3</f>
        <v>0</v>
      </c>
      <c r="R62" s="12">
        <f>'MCH2'!R62/'MCH2'!R3</f>
        <v>0</v>
      </c>
      <c r="S62" s="12">
        <f>'MCH2'!S62/'MCH2'!S3</f>
        <v>0</v>
      </c>
      <c r="T62" s="12">
        <f>'MCH2'!T62/'MCH2'!T3</f>
        <v>0</v>
      </c>
      <c r="U62" s="12">
        <f>'MCH2'!U62/'MCH2'!U3</f>
        <v>0</v>
      </c>
      <c r="V62" s="12">
        <f>'MCH2'!V62/'MCH2'!V3</f>
        <v>0</v>
      </c>
      <c r="W62" s="12">
        <f>'MCH2'!W62/'MCH2'!W3</f>
        <v>0</v>
      </c>
      <c r="X62" s="12">
        <f>'MCH2'!X62/'MCH2'!X3</f>
        <v>0</v>
      </c>
      <c r="Y62" s="12">
        <f>'MCH2'!Y62/'MCH2'!Y3</f>
        <v>0</v>
      </c>
      <c r="Z62" s="12">
        <f>'MCH2'!Z62/'MCH2'!Z3</f>
        <v>0</v>
      </c>
      <c r="AA62" s="12">
        <f>'MCH2'!AA62/'MCH2'!AA3</f>
        <v>0</v>
      </c>
      <c r="AB62" s="12">
        <f>'MCH2'!AB62/'MCH2'!AB3</f>
        <v>0</v>
      </c>
      <c r="AC62" s="12">
        <f>'MCH2'!AC62/'MCH2'!AC3</f>
        <v>0</v>
      </c>
      <c r="AD62" s="12">
        <f>'MCH2'!AD62/'MCH2'!AD3</f>
        <v>3.2198581560283688</v>
      </c>
      <c r="AE62" s="12">
        <f>'MCH2'!AE62/'MCH2'!AE3</f>
        <v>0</v>
      </c>
      <c r="AF62" s="12">
        <f>'MCH2'!AF62/'MCH2'!AF3</f>
        <v>0</v>
      </c>
      <c r="AG62" s="12">
        <f>'MCH2'!AG62/'MCH2'!AG3</f>
        <v>0</v>
      </c>
      <c r="AH62" s="12">
        <f>'MCH2'!AH62/'MCH2'!AH3</f>
        <v>0</v>
      </c>
      <c r="AI62" s="12">
        <f>'MCH2'!AI62/'MCH2'!AI3</f>
        <v>0</v>
      </c>
      <c r="AJ62" s="12">
        <f>'MCH2'!AJ62/'MCH2'!AJ3</f>
        <v>0</v>
      </c>
      <c r="AK62" s="12">
        <f>'MCH2'!AK62/'MCH2'!AK3</f>
        <v>0</v>
      </c>
      <c r="AL62" s="12">
        <f>'MCH2'!AL62/'MCH2'!AL3</f>
        <v>0</v>
      </c>
      <c r="AM62" s="12">
        <f>'MCH2'!AM62/'MCH2'!AM3</f>
        <v>0</v>
      </c>
      <c r="AN62" s="12">
        <f>'MCH2'!AN62/'MCH2'!AN3</f>
        <v>0</v>
      </c>
      <c r="AO62" s="12">
        <f>'MCH2'!AO62/'MCH2'!AO3</f>
        <v>0</v>
      </c>
      <c r="AP62" s="12">
        <f>'MCH2'!AP62/'MCH2'!AP3</f>
        <v>0</v>
      </c>
      <c r="AQ62" s="12">
        <f>'MCH2'!AQ62/'MCH2'!AQ3</f>
        <v>0</v>
      </c>
      <c r="AR62" s="12">
        <f>'MCH2'!AR62/'MCH2'!AR3</f>
        <v>0</v>
      </c>
      <c r="AS62" s="12">
        <f>'MCH2'!AS62/'MCH2'!AS3</f>
        <v>0</v>
      </c>
      <c r="AT62" s="12">
        <f>'MCH2'!AT62/'MCH2'!AT3</f>
        <v>0</v>
      </c>
      <c r="AU62" s="12">
        <f>'MCH2'!AU62/'MCH2'!AU3</f>
        <v>0</v>
      </c>
      <c r="AV62" s="12">
        <f>'MCH2'!AV62/'MCH2'!AV3</f>
        <v>0</v>
      </c>
      <c r="AW62" s="12">
        <f>'MCH2'!AW62/'MCH2'!AW3</f>
        <v>0</v>
      </c>
      <c r="AX62" s="12">
        <f>'MCH2'!AX62/'MCH2'!AX3</f>
        <v>0</v>
      </c>
      <c r="AY62" s="12">
        <f>'MCH2'!AY62/'MCH2'!AY3</f>
        <v>0</v>
      </c>
      <c r="AZ62" s="12">
        <f>'MCH2'!AZ62/'MCH2'!AZ3</f>
        <v>0</v>
      </c>
      <c r="BA62" s="12">
        <f>'MCH2'!BA62/'MCH2'!BA3</f>
        <v>0</v>
      </c>
      <c r="BB62" s="12">
        <f>'MCH2'!BB62/'MCH2'!BB3</f>
        <v>0</v>
      </c>
      <c r="BC62" s="12">
        <f>'MCH2'!BC62/'MCH2'!BC3</f>
        <v>0</v>
      </c>
      <c r="BD62" s="12">
        <f>'MCH2'!BD62/'MCH2'!BD3</f>
        <v>0</v>
      </c>
      <c r="BE62" s="12">
        <f>'MCH2'!BE62/'MCH2'!BE3</f>
        <v>0</v>
      </c>
      <c r="BF62" s="12">
        <f t="shared" si="37"/>
        <v>3.2198581560283688</v>
      </c>
      <c r="BG62" s="12">
        <f t="shared" si="38"/>
        <v>0</v>
      </c>
      <c r="BH62" s="12">
        <f t="shared" si="39"/>
        <v>3.2198581560283688</v>
      </c>
      <c r="BI62" s="12">
        <f t="shared" si="40"/>
        <v>0</v>
      </c>
    </row>
    <row r="63" spans="2:61" x14ac:dyDescent="0.25">
      <c r="C63" s="7">
        <v>389</v>
      </c>
      <c r="D63" s="7" t="s">
        <v>126</v>
      </c>
      <c r="E63" s="12">
        <f>'MCH2'!E63/'MCH2'!E3</f>
        <v>0</v>
      </c>
      <c r="F63" s="12">
        <f>'MCH2'!F63/'MCH2'!F3</f>
        <v>0</v>
      </c>
      <c r="G63" s="12">
        <f>'MCH2'!G63/'MCH2'!G3</f>
        <v>0</v>
      </c>
      <c r="H63" s="12">
        <f>'MCH2'!H63/'MCH2'!H3</f>
        <v>0</v>
      </c>
      <c r="I63" s="12">
        <f>'MCH2'!I63/'MCH2'!I3</f>
        <v>81.389039609332613</v>
      </c>
      <c r="J63" s="12">
        <f>'MCH2'!J63/'MCH2'!J3</f>
        <v>0</v>
      </c>
      <c r="K63" s="12">
        <f>'MCH2'!K63/'MCH2'!K3</f>
        <v>244.91333835719669</v>
      </c>
      <c r="L63" s="12">
        <f>'MCH2'!L63/'MCH2'!L3</f>
        <v>0</v>
      </c>
      <c r="M63" s="12">
        <f>'MCH2'!M63/'MCH2'!M3</f>
        <v>0</v>
      </c>
      <c r="N63" s="12">
        <f>'MCH2'!N63/'MCH2'!N3</f>
        <v>0</v>
      </c>
      <c r="O63" s="12">
        <f>'MCH2'!O63/'MCH2'!O3</f>
        <v>52.37054242382839</v>
      </c>
      <c r="P63" s="12">
        <f>'MCH2'!P63/'MCH2'!P3</f>
        <v>0.6457854406130269</v>
      </c>
      <c r="Q63" s="12">
        <f>'MCH2'!Q63/'MCH2'!Q3</f>
        <v>0</v>
      </c>
      <c r="R63" s="12">
        <f>'MCH2'!R63/'MCH2'!R3</f>
        <v>0</v>
      </c>
      <c r="S63" s="12">
        <f>'MCH2'!S63/'MCH2'!S3</f>
        <v>0</v>
      </c>
      <c r="T63" s="12">
        <f>'MCH2'!T63/'MCH2'!T3</f>
        <v>129.6043656207367</v>
      </c>
      <c r="U63" s="12">
        <f>'MCH2'!U63/'MCH2'!U3</f>
        <v>0</v>
      </c>
      <c r="V63" s="12">
        <f>'MCH2'!V63/'MCH2'!V3</f>
        <v>0</v>
      </c>
      <c r="W63" s="12">
        <f>'MCH2'!W63/'MCH2'!W3</f>
        <v>182.64840182648402</v>
      </c>
      <c r="X63" s="12">
        <f>'MCH2'!X63/'MCH2'!X3</f>
        <v>0</v>
      </c>
      <c r="Y63" s="12">
        <f>'MCH2'!Y63/'MCH2'!Y3</f>
        <v>0</v>
      </c>
      <c r="Z63" s="12">
        <f>'MCH2'!Z63/'MCH2'!Z3</f>
        <v>656.16797900262463</v>
      </c>
      <c r="AA63" s="12">
        <f>'MCH2'!AA63/'MCH2'!AA3</f>
        <v>0</v>
      </c>
      <c r="AB63" s="12">
        <f>'MCH2'!AB63/'MCH2'!AB3</f>
        <v>224.35897435897436</v>
      </c>
      <c r="AC63" s="12">
        <f>'MCH2'!AC63/'MCH2'!AC3</f>
        <v>0</v>
      </c>
      <c r="AD63" s="12">
        <f>'MCH2'!AD63/'MCH2'!AD3</f>
        <v>0</v>
      </c>
      <c r="AE63" s="12">
        <f>'MCH2'!AE63/'MCH2'!AE3</f>
        <v>0</v>
      </c>
      <c r="AF63" s="12">
        <f>'MCH2'!AF63/'MCH2'!AF3</f>
        <v>0</v>
      </c>
      <c r="AG63" s="12">
        <f>'MCH2'!AG63/'MCH2'!AG3</f>
        <v>0</v>
      </c>
      <c r="AH63" s="12">
        <f>'MCH2'!AH63/'MCH2'!AH3</f>
        <v>135.92233009708738</v>
      </c>
      <c r="AI63" s="12">
        <f>'MCH2'!AI63/'MCH2'!AI3</f>
        <v>219.2982456140351</v>
      </c>
      <c r="AJ63" s="12">
        <f>'MCH2'!AJ63/'MCH2'!AJ3</f>
        <v>1440.6779661016949</v>
      </c>
      <c r="AK63" s="12">
        <f>'MCH2'!AK63/'MCH2'!AK3</f>
        <v>195.20032943676941</v>
      </c>
      <c r="AL63" s="12">
        <f>'MCH2'!AL63/'MCH2'!AL3</f>
        <v>146.62809694793538</v>
      </c>
      <c r="AM63" s="12">
        <f>'MCH2'!AM63/'MCH2'!AM3</f>
        <v>0</v>
      </c>
      <c r="AN63" s="12">
        <f>'MCH2'!AN63/'MCH2'!AN3</f>
        <v>105.62393162393163</v>
      </c>
      <c r="AO63" s="12">
        <f>'MCH2'!AO63/'MCH2'!AO3</f>
        <v>1576.7634854771784</v>
      </c>
      <c r="AP63" s="12">
        <f>'MCH2'!AP63/'MCH2'!AP3</f>
        <v>0</v>
      </c>
      <c r="AQ63" s="12">
        <f>'MCH2'!AQ63/'MCH2'!AQ3</f>
        <v>0</v>
      </c>
      <c r="AR63" s="12">
        <f>'MCH2'!AR63/'MCH2'!AR3</f>
        <v>15.686274509803921</v>
      </c>
      <c r="AS63" s="12">
        <f>'MCH2'!AS63/'MCH2'!AS3</f>
        <v>0</v>
      </c>
      <c r="AT63" s="12">
        <f>'MCH2'!AT63/'MCH2'!AT3</f>
        <v>0</v>
      </c>
      <c r="AU63" s="12">
        <f>'MCH2'!AU63/'MCH2'!AU3</f>
        <v>0</v>
      </c>
      <c r="AV63" s="12">
        <f>'MCH2'!AV63/'MCH2'!AV3</f>
        <v>41.067761806981522</v>
      </c>
      <c r="AW63" s="12">
        <f>'MCH2'!AW63/'MCH2'!AW3</f>
        <v>254.45292620865141</v>
      </c>
      <c r="AX63" s="12">
        <f>'MCH2'!AX63/'MCH2'!AX3</f>
        <v>9.3366847826086961</v>
      </c>
      <c r="AY63" s="12">
        <f>'MCH2'!AY63/'MCH2'!AY3</f>
        <v>0</v>
      </c>
      <c r="AZ63" s="12">
        <f>'MCH2'!AZ63/'MCH2'!AZ3</f>
        <v>0</v>
      </c>
      <c r="BA63" s="12">
        <f>'MCH2'!BA63/'MCH2'!BA3</f>
        <v>2.3529411764705883</v>
      </c>
      <c r="BB63" s="12">
        <f>'MCH2'!BB63/'MCH2'!BB3</f>
        <v>237.88350760456274</v>
      </c>
      <c r="BC63" s="12">
        <f>'MCH2'!BC63/'MCH2'!BC3</f>
        <v>0</v>
      </c>
      <c r="BD63" s="12">
        <f>'MCH2'!BD63/'MCH2'!BD3</f>
        <v>0</v>
      </c>
      <c r="BE63" s="12">
        <f>'MCH2'!BE63/'MCH2'!BE3</f>
        <v>0</v>
      </c>
      <c r="BF63" s="12">
        <f t="shared" si="37"/>
        <v>5952.9929080275006</v>
      </c>
      <c r="BG63" s="12">
        <f t="shared" si="38"/>
        <v>691.57147327819143</v>
      </c>
      <c r="BH63" s="12">
        <f t="shared" si="39"/>
        <v>2676.4254951744165</v>
      </c>
      <c r="BI63" s="12">
        <f t="shared" si="40"/>
        <v>2584.9959395748938</v>
      </c>
    </row>
    <row r="64" spans="2:61" x14ac:dyDescent="0.25">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row>
    <row r="65" spans="1:61" x14ac:dyDescent="0.25">
      <c r="B65" s="66">
        <v>39</v>
      </c>
      <c r="C65" s="66"/>
      <c r="D65" s="66" t="s">
        <v>127</v>
      </c>
      <c r="E65" s="67">
        <f>E66+E67+E68+E69+E70+E71+E72+E73</f>
        <v>0</v>
      </c>
      <c r="F65" s="67">
        <f t="shared" ref="F65:BI65" si="41">F66+F67+F68+F69+F70+F71+F72+F73</f>
        <v>93.004961240310081</v>
      </c>
      <c r="G65" s="67">
        <f t="shared" si="41"/>
        <v>23.270063694267517</v>
      </c>
      <c r="H65" s="67">
        <f t="shared" si="41"/>
        <v>91.736961451247168</v>
      </c>
      <c r="I65" s="67">
        <f t="shared" si="41"/>
        <v>84.454693434617468</v>
      </c>
      <c r="J65" s="67">
        <f t="shared" si="41"/>
        <v>19.761545427105343</v>
      </c>
      <c r="K65" s="67">
        <f t="shared" si="41"/>
        <v>70.067539562923884</v>
      </c>
      <c r="L65" s="67">
        <f t="shared" si="41"/>
        <v>353.92843937955053</v>
      </c>
      <c r="M65" s="67">
        <f t="shared" si="41"/>
        <v>65.175470588235299</v>
      </c>
      <c r="N65" s="67">
        <f t="shared" si="41"/>
        <v>0</v>
      </c>
      <c r="O65" s="67">
        <f t="shared" si="41"/>
        <v>25.535045771280231</v>
      </c>
      <c r="P65" s="67">
        <f t="shared" si="41"/>
        <v>56.140900383141762</v>
      </c>
      <c r="Q65" s="67">
        <f t="shared" si="41"/>
        <v>0</v>
      </c>
      <c r="R65" s="67">
        <f t="shared" si="41"/>
        <v>135.21788235294116</v>
      </c>
      <c r="S65" s="67">
        <f t="shared" si="41"/>
        <v>0</v>
      </c>
      <c r="T65" s="67">
        <f t="shared" si="41"/>
        <v>0</v>
      </c>
      <c r="U65" s="67">
        <f t="shared" si="41"/>
        <v>0</v>
      </c>
      <c r="V65" s="67">
        <f t="shared" si="41"/>
        <v>141.96642685851319</v>
      </c>
      <c r="W65" s="67">
        <f t="shared" si="41"/>
        <v>33.881278538812786</v>
      </c>
      <c r="X65" s="67">
        <f t="shared" si="41"/>
        <v>0</v>
      </c>
      <c r="Y65" s="67">
        <f t="shared" si="41"/>
        <v>0</v>
      </c>
      <c r="Z65" s="67">
        <f t="shared" si="41"/>
        <v>55.118110236220474</v>
      </c>
      <c r="AA65" s="67">
        <f t="shared" si="41"/>
        <v>172.41379310344828</v>
      </c>
      <c r="AB65" s="67">
        <f t="shared" si="41"/>
        <v>0</v>
      </c>
      <c r="AC65" s="67">
        <f t="shared" si="41"/>
        <v>0</v>
      </c>
      <c r="AD65" s="67">
        <f t="shared" si="41"/>
        <v>69.896936170212769</v>
      </c>
      <c r="AE65" s="67">
        <f t="shared" si="41"/>
        <v>77.58620689655173</v>
      </c>
      <c r="AF65" s="67">
        <f t="shared" si="41"/>
        <v>215.01624266144816</v>
      </c>
      <c r="AG65" s="67">
        <f t="shared" si="41"/>
        <v>3.8247371188222923</v>
      </c>
      <c r="AH65" s="67">
        <f t="shared" si="41"/>
        <v>12.151708737864078</v>
      </c>
      <c r="AI65" s="67">
        <f t="shared" si="41"/>
        <v>0</v>
      </c>
      <c r="AJ65" s="67">
        <f t="shared" si="41"/>
        <v>0</v>
      </c>
      <c r="AK65" s="67">
        <f t="shared" si="41"/>
        <v>49.415515409139211</v>
      </c>
      <c r="AL65" s="67">
        <f t="shared" si="41"/>
        <v>54.188420107719928</v>
      </c>
      <c r="AM65" s="67">
        <f t="shared" si="41"/>
        <v>2.8923582580115035</v>
      </c>
      <c r="AN65" s="67">
        <f t="shared" si="41"/>
        <v>2.0512820512820511</v>
      </c>
      <c r="AO65" s="67">
        <f t="shared" si="41"/>
        <v>56.925767634854772</v>
      </c>
      <c r="AP65" s="67">
        <f t="shared" si="41"/>
        <v>162.82687999999999</v>
      </c>
      <c r="AQ65" s="67">
        <f t="shared" si="41"/>
        <v>0</v>
      </c>
      <c r="AR65" s="67">
        <f t="shared" si="41"/>
        <v>0</v>
      </c>
      <c r="AS65" s="67">
        <f t="shared" si="41"/>
        <v>169.42026462395543</v>
      </c>
      <c r="AT65" s="67">
        <f t="shared" si="41"/>
        <v>38.985707269155206</v>
      </c>
      <c r="AU65" s="67">
        <f t="shared" si="41"/>
        <v>6.8259385665529013</v>
      </c>
      <c r="AV65" s="67">
        <f t="shared" si="41"/>
        <v>23.487577002053388</v>
      </c>
      <c r="AW65" s="67">
        <f t="shared" si="41"/>
        <v>0</v>
      </c>
      <c r="AX65" s="67">
        <f t="shared" si="41"/>
        <v>38.252717391304351</v>
      </c>
      <c r="AY65" s="67">
        <f t="shared" si="41"/>
        <v>0</v>
      </c>
      <c r="AZ65" s="67">
        <f t="shared" si="41"/>
        <v>63.133064516129032</v>
      </c>
      <c r="BA65" s="67">
        <f t="shared" si="41"/>
        <v>0</v>
      </c>
      <c r="BB65" s="67">
        <f t="shared" si="41"/>
        <v>43.997937262357418</v>
      </c>
      <c r="BC65" s="67">
        <f t="shared" si="41"/>
        <v>8.8811827956989244</v>
      </c>
      <c r="BD65" s="67">
        <f t="shared" si="41"/>
        <v>0</v>
      </c>
      <c r="BE65" s="67">
        <f t="shared" si="41"/>
        <v>28.388278388278387</v>
      </c>
      <c r="BF65" s="67">
        <f t="shared" si="41"/>
        <v>2549.8218348840051</v>
      </c>
      <c r="BG65" s="67">
        <f t="shared" si="41"/>
        <v>1194.1412086829462</v>
      </c>
      <c r="BH65" s="67">
        <f t="shared" si="41"/>
        <v>606.00773492456779</v>
      </c>
      <c r="BI65" s="67">
        <f t="shared" si="41"/>
        <v>749.67289127649258</v>
      </c>
    </row>
    <row r="66" spans="1:61" x14ac:dyDescent="0.25">
      <c r="C66" s="7">
        <v>390</v>
      </c>
      <c r="D66" s="7" t="s">
        <v>128</v>
      </c>
      <c r="E66" s="12">
        <f>'MCH2'!E66/'MCH2'!E3</f>
        <v>0</v>
      </c>
      <c r="F66" s="12">
        <f>'MCH2'!F66/'MCH2'!F3</f>
        <v>0.77519379844961245</v>
      </c>
      <c r="G66" s="12">
        <f>'MCH2'!G66/'MCH2'!G3</f>
        <v>0</v>
      </c>
      <c r="H66" s="12">
        <f>'MCH2'!H66/'MCH2'!H3</f>
        <v>0</v>
      </c>
      <c r="I66" s="12">
        <f>'MCH2'!I66/'MCH2'!I3</f>
        <v>0</v>
      </c>
      <c r="J66" s="12">
        <f>'MCH2'!J66/'MCH2'!J3</f>
        <v>0</v>
      </c>
      <c r="K66" s="12">
        <f>'MCH2'!K66/'MCH2'!K3</f>
        <v>0</v>
      </c>
      <c r="L66" s="12">
        <f>'MCH2'!L66/'MCH2'!L3</f>
        <v>3.9569484013928458</v>
      </c>
      <c r="M66" s="12">
        <f>'MCH2'!M66/'MCH2'!M3</f>
        <v>0.88235294117647056</v>
      </c>
      <c r="N66" s="12">
        <f>'MCH2'!N66/'MCH2'!N3</f>
        <v>0</v>
      </c>
      <c r="O66" s="12">
        <f>'MCH2'!O66/'MCH2'!O3</f>
        <v>0</v>
      </c>
      <c r="P66" s="12">
        <f>'MCH2'!P66/'MCH2'!P3</f>
        <v>0</v>
      </c>
      <c r="Q66" s="12">
        <f>'MCH2'!Q66/'MCH2'!Q3</f>
        <v>0</v>
      </c>
      <c r="R66" s="12">
        <f>'MCH2'!R66/'MCH2'!R3</f>
        <v>0</v>
      </c>
      <c r="S66" s="12">
        <f>'MCH2'!S66/'MCH2'!S3</f>
        <v>0</v>
      </c>
      <c r="T66" s="12">
        <f>'MCH2'!T66/'MCH2'!T3</f>
        <v>0</v>
      </c>
      <c r="U66" s="12">
        <f>'MCH2'!U66/'MCH2'!U3</f>
        <v>0</v>
      </c>
      <c r="V66" s="12">
        <f>'MCH2'!V66/'MCH2'!V3</f>
        <v>0</v>
      </c>
      <c r="W66" s="12">
        <f>'MCH2'!W66/'MCH2'!W3</f>
        <v>3.9573820395738202</v>
      </c>
      <c r="X66" s="12">
        <f>'MCH2'!X66/'MCH2'!X3</f>
        <v>0</v>
      </c>
      <c r="Y66" s="12">
        <f>'MCH2'!Y66/'MCH2'!Y3</f>
        <v>0</v>
      </c>
      <c r="Z66" s="12">
        <f>'MCH2'!Z66/'MCH2'!Z3</f>
        <v>0</v>
      </c>
      <c r="AA66" s="12">
        <f>'MCH2'!AA66/'MCH2'!AA3</f>
        <v>0</v>
      </c>
      <c r="AB66" s="12">
        <f>'MCH2'!AB66/'MCH2'!AB3</f>
        <v>0</v>
      </c>
      <c r="AC66" s="12">
        <f>'MCH2'!AC66/'MCH2'!AC3</f>
        <v>0</v>
      </c>
      <c r="AD66" s="12">
        <f>'MCH2'!AD66/'MCH2'!AD3</f>
        <v>1.9148936170212767</v>
      </c>
      <c r="AE66" s="12">
        <f>'MCH2'!AE66/'MCH2'!AE3</f>
        <v>0</v>
      </c>
      <c r="AF66" s="12">
        <f>'MCH2'!AF66/'MCH2'!AF3</f>
        <v>0</v>
      </c>
      <c r="AG66" s="12">
        <f>'MCH2'!AG66/'MCH2'!AG3</f>
        <v>2.4270241850683489</v>
      </c>
      <c r="AH66" s="12">
        <f>'MCH2'!AH66/'MCH2'!AH3</f>
        <v>1.0837475728155339</v>
      </c>
      <c r="AI66" s="12">
        <f>'MCH2'!AI66/'MCH2'!AI3</f>
        <v>0</v>
      </c>
      <c r="AJ66" s="12">
        <f>'MCH2'!AJ66/'MCH2'!AJ3</f>
        <v>0</v>
      </c>
      <c r="AK66" s="12">
        <f>'MCH2'!AK66/'MCH2'!AK3</f>
        <v>0</v>
      </c>
      <c r="AL66" s="12">
        <f>'MCH2'!AL66/'MCH2'!AL3</f>
        <v>0</v>
      </c>
      <c r="AM66" s="12">
        <f>'MCH2'!AM66/'MCH2'!AM3</f>
        <v>0</v>
      </c>
      <c r="AN66" s="12">
        <f>'MCH2'!AN66/'MCH2'!AN3</f>
        <v>0</v>
      </c>
      <c r="AO66" s="12">
        <f>'MCH2'!AO66/'MCH2'!AO3</f>
        <v>0</v>
      </c>
      <c r="AP66" s="12">
        <f>'MCH2'!AP66/'MCH2'!AP3</f>
        <v>1.28</v>
      </c>
      <c r="AQ66" s="12">
        <f>'MCH2'!AQ66/'MCH2'!AQ3</f>
        <v>0</v>
      </c>
      <c r="AR66" s="12">
        <f>'MCH2'!AR66/'MCH2'!AR3</f>
        <v>0</v>
      </c>
      <c r="AS66" s="12">
        <f>'MCH2'!AS66/'MCH2'!AS3</f>
        <v>0</v>
      </c>
      <c r="AT66" s="12">
        <f>'MCH2'!AT66/'MCH2'!AT3</f>
        <v>0</v>
      </c>
      <c r="AU66" s="12">
        <f>'MCH2'!AU66/'MCH2'!AU3</f>
        <v>0</v>
      </c>
      <c r="AV66" s="12">
        <f>'MCH2'!AV66/'MCH2'!AV3</f>
        <v>0</v>
      </c>
      <c r="AW66" s="12">
        <f>'MCH2'!AW66/'MCH2'!AW3</f>
        <v>0</v>
      </c>
      <c r="AX66" s="12">
        <f>'MCH2'!AX66/'MCH2'!AX3</f>
        <v>0</v>
      </c>
      <c r="AY66" s="12">
        <f>'MCH2'!AY66/'MCH2'!AY3</f>
        <v>0</v>
      </c>
      <c r="AZ66" s="12">
        <f>'MCH2'!AZ66/'MCH2'!AZ3</f>
        <v>0</v>
      </c>
      <c r="BA66" s="12">
        <f>'MCH2'!BA66/'MCH2'!BA3</f>
        <v>0</v>
      </c>
      <c r="BB66" s="12">
        <f>'MCH2'!BB66/'MCH2'!BB3</f>
        <v>0</v>
      </c>
      <c r="BC66" s="12">
        <f>'MCH2'!BC66/'MCH2'!BC3</f>
        <v>0</v>
      </c>
      <c r="BD66" s="12">
        <f>'MCH2'!BD66/'MCH2'!BD3</f>
        <v>0</v>
      </c>
      <c r="BE66" s="12">
        <f>'MCH2'!BE66/'MCH2'!BE3</f>
        <v>0</v>
      </c>
      <c r="BF66" s="12">
        <f t="shared" ref="BF66:BF74" si="42">SUM(E66:BE66)</f>
        <v>16.277542555497909</v>
      </c>
      <c r="BG66" s="12">
        <f t="shared" ref="BG66:BG74" si="43">SUM(E66:W66)</f>
        <v>9.5718771805927503</v>
      </c>
      <c r="BH66" s="12">
        <f t="shared" ref="BH66:BH74" si="44">SUM(X66:AJ66)</f>
        <v>5.4256653749051598</v>
      </c>
      <c r="BI66" s="12">
        <f t="shared" ref="BI66:BI74" si="45">SUM(AK66:BE66)</f>
        <v>1.28</v>
      </c>
    </row>
    <row r="67" spans="1:61" x14ac:dyDescent="0.25">
      <c r="C67" s="7">
        <v>391</v>
      </c>
      <c r="D67" s="7" t="s">
        <v>129</v>
      </c>
      <c r="E67" s="12">
        <f>'MCH2'!E67/'MCH2'!E3</f>
        <v>0</v>
      </c>
      <c r="F67" s="12">
        <f>'MCH2'!F67/'MCH2'!F3</f>
        <v>15.18139534883721</v>
      </c>
      <c r="G67" s="12">
        <f>'MCH2'!G67/'MCH2'!G3</f>
        <v>9.939702760084927</v>
      </c>
      <c r="H67" s="12">
        <f>'MCH2'!H67/'MCH2'!H3</f>
        <v>90.929705215419503</v>
      </c>
      <c r="I67" s="12">
        <f>'MCH2'!I67/'MCH2'!I3</f>
        <v>2.3060227889310907</v>
      </c>
      <c r="J67" s="12">
        <f>'MCH2'!J67/'MCH2'!J3</f>
        <v>19.761545427105343</v>
      </c>
      <c r="K67" s="12">
        <f>'MCH2'!K67/'MCH2'!K3</f>
        <v>41.942351168048226</v>
      </c>
      <c r="L67" s="12">
        <f>'MCH2'!L67/'MCH2'!L3</f>
        <v>116.34448084836974</v>
      </c>
      <c r="M67" s="12">
        <f>'MCH2'!M67/'MCH2'!M3</f>
        <v>40.545955882352942</v>
      </c>
      <c r="N67" s="12">
        <f>'MCH2'!N67/'MCH2'!N3</f>
        <v>0</v>
      </c>
      <c r="O67" s="12">
        <f>'MCH2'!O67/'MCH2'!O3</f>
        <v>25.535045771280231</v>
      </c>
      <c r="P67" s="12">
        <f>'MCH2'!P67/'MCH2'!P3</f>
        <v>56.140900383141762</v>
      </c>
      <c r="Q67" s="12">
        <f>'MCH2'!Q67/'MCH2'!Q3</f>
        <v>0</v>
      </c>
      <c r="R67" s="12">
        <f>'MCH2'!R67/'MCH2'!R3</f>
        <v>135.21788235294116</v>
      </c>
      <c r="S67" s="12">
        <f>'MCH2'!S67/'MCH2'!S3</f>
        <v>0</v>
      </c>
      <c r="T67" s="12">
        <f>'MCH2'!T67/'MCH2'!T3</f>
        <v>0</v>
      </c>
      <c r="U67" s="12">
        <f>'MCH2'!U67/'MCH2'!U3</f>
        <v>0</v>
      </c>
      <c r="V67" s="12">
        <f>'MCH2'!V67/'MCH2'!V3</f>
        <v>141.96642685851319</v>
      </c>
      <c r="W67" s="12">
        <f>'MCH2'!W67/'MCH2'!W3</f>
        <v>26.666666666666668</v>
      </c>
      <c r="X67" s="12">
        <f>'MCH2'!X67/'MCH2'!X3</f>
        <v>0</v>
      </c>
      <c r="Y67" s="12">
        <f>'MCH2'!Y67/'MCH2'!Y3</f>
        <v>0</v>
      </c>
      <c r="Z67" s="12">
        <f>'MCH2'!Z67/'MCH2'!Z3</f>
        <v>0</v>
      </c>
      <c r="AA67" s="12">
        <f>'MCH2'!AA67/'MCH2'!AA3</f>
        <v>172.41379310344828</v>
      </c>
      <c r="AB67" s="12">
        <f>'MCH2'!AB67/'MCH2'!AB3</f>
        <v>0</v>
      </c>
      <c r="AC67" s="12">
        <f>'MCH2'!AC67/'MCH2'!AC3</f>
        <v>0</v>
      </c>
      <c r="AD67" s="12">
        <f>'MCH2'!AD67/'MCH2'!AD3</f>
        <v>67.982042553191491</v>
      </c>
      <c r="AE67" s="12">
        <f>'MCH2'!AE67/'MCH2'!AE3</f>
        <v>77.58620689655173</v>
      </c>
      <c r="AF67" s="12">
        <f>'MCH2'!AF67/'MCH2'!AF3</f>
        <v>215.01624266144816</v>
      </c>
      <c r="AG67" s="12">
        <f>'MCH2'!AG67/'MCH2'!AG3</f>
        <v>1.3977129337539431</v>
      </c>
      <c r="AH67" s="12">
        <f>'MCH2'!AH67/'MCH2'!AH3</f>
        <v>11.067961165048544</v>
      </c>
      <c r="AI67" s="12">
        <f>'MCH2'!AI67/'MCH2'!AI3</f>
        <v>0</v>
      </c>
      <c r="AJ67" s="12">
        <f>'MCH2'!AJ67/'MCH2'!AJ3</f>
        <v>0</v>
      </c>
      <c r="AK67" s="12">
        <f>'MCH2'!AK67/'MCH2'!AK3</f>
        <v>49.415515409139211</v>
      </c>
      <c r="AL67" s="12">
        <f>'MCH2'!AL67/'MCH2'!AL3</f>
        <v>0</v>
      </c>
      <c r="AM67" s="12">
        <f>'MCH2'!AM67/'MCH2'!AM3</f>
        <v>2.8923582580115035</v>
      </c>
      <c r="AN67" s="12">
        <f>'MCH2'!AN67/'MCH2'!AN3</f>
        <v>2.0512820512820511</v>
      </c>
      <c r="AO67" s="12">
        <f>'MCH2'!AO67/'MCH2'!AO3</f>
        <v>56.925767634854772</v>
      </c>
      <c r="AP67" s="12">
        <f>'MCH2'!AP67/'MCH2'!AP3</f>
        <v>109.80752</v>
      </c>
      <c r="AQ67" s="12">
        <f>'MCH2'!AQ67/'MCH2'!AQ3</f>
        <v>0</v>
      </c>
      <c r="AR67" s="12">
        <f>'MCH2'!AR67/'MCH2'!AR3</f>
        <v>0</v>
      </c>
      <c r="AS67" s="12">
        <f>'MCH2'!AS67/'MCH2'!AS3</f>
        <v>67.841922005571035</v>
      </c>
      <c r="AT67" s="12">
        <f>'MCH2'!AT67/'MCH2'!AT3</f>
        <v>38.985707269155206</v>
      </c>
      <c r="AU67" s="12">
        <f>'MCH2'!AU67/'MCH2'!AU3</f>
        <v>6.8259385665529013</v>
      </c>
      <c r="AV67" s="12">
        <f>'MCH2'!AV67/'MCH2'!AV3</f>
        <v>23.487577002053388</v>
      </c>
      <c r="AW67" s="12">
        <f>'MCH2'!AW67/'MCH2'!AW3</f>
        <v>0</v>
      </c>
      <c r="AX67" s="12">
        <f>'MCH2'!AX67/'MCH2'!AX3</f>
        <v>0</v>
      </c>
      <c r="AY67" s="12">
        <f>'MCH2'!AY67/'MCH2'!AY3</f>
        <v>0</v>
      </c>
      <c r="AZ67" s="12">
        <f>'MCH2'!AZ67/'MCH2'!AZ3</f>
        <v>61.042264038231778</v>
      </c>
      <c r="BA67" s="12">
        <f>'MCH2'!BA67/'MCH2'!BA3</f>
        <v>0</v>
      </c>
      <c r="BB67" s="12">
        <f>'MCH2'!BB67/'MCH2'!BB3</f>
        <v>43.997937262357418</v>
      </c>
      <c r="BC67" s="12">
        <f>'MCH2'!BC67/'MCH2'!BC3</f>
        <v>0</v>
      </c>
      <c r="BD67" s="12">
        <f>'MCH2'!BD67/'MCH2'!BD3</f>
        <v>0</v>
      </c>
      <c r="BE67" s="12">
        <f>'MCH2'!BE67/'MCH2'!BE3</f>
        <v>28.388278388278387</v>
      </c>
      <c r="BF67" s="12">
        <f t="shared" si="42"/>
        <v>1759.6041086706211</v>
      </c>
      <c r="BG67" s="12">
        <f t="shared" si="43"/>
        <v>722.47808147169189</v>
      </c>
      <c r="BH67" s="12">
        <f t="shared" si="44"/>
        <v>545.46395931344216</v>
      </c>
      <c r="BI67" s="12">
        <f t="shared" si="45"/>
        <v>491.66206788548772</v>
      </c>
    </row>
    <row r="68" spans="1:61" x14ac:dyDescent="0.25">
      <c r="C68" s="7">
        <v>392</v>
      </c>
      <c r="D68" s="7" t="s">
        <v>130</v>
      </c>
      <c r="E68" s="12">
        <f>'MCH2'!E68/'MCH2'!E3</f>
        <v>0</v>
      </c>
      <c r="F68" s="12">
        <f>'MCH2'!F68/'MCH2'!F3</f>
        <v>0</v>
      </c>
      <c r="G68" s="12">
        <f>'MCH2'!G68/'MCH2'!G3</f>
        <v>0</v>
      </c>
      <c r="H68" s="12">
        <f>'MCH2'!H68/'MCH2'!H3</f>
        <v>0</v>
      </c>
      <c r="I68" s="12">
        <f>'MCH2'!I68/'MCH2'!I3</f>
        <v>0</v>
      </c>
      <c r="J68" s="12">
        <f>'MCH2'!J68/'MCH2'!J3</f>
        <v>0</v>
      </c>
      <c r="K68" s="12">
        <f>'MCH2'!K68/'MCH2'!K3</f>
        <v>0</v>
      </c>
      <c r="L68" s="12">
        <f>'MCH2'!L68/'MCH2'!L3</f>
        <v>4.7483380816714149</v>
      </c>
      <c r="M68" s="12">
        <f>'MCH2'!M68/'MCH2'!M3</f>
        <v>0</v>
      </c>
      <c r="N68" s="12">
        <f>'MCH2'!N68/'MCH2'!N3</f>
        <v>0</v>
      </c>
      <c r="O68" s="12">
        <f>'MCH2'!O68/'MCH2'!O3</f>
        <v>0</v>
      </c>
      <c r="P68" s="12">
        <f>'MCH2'!P68/'MCH2'!P3</f>
        <v>0</v>
      </c>
      <c r="Q68" s="12">
        <f>'MCH2'!Q68/'MCH2'!Q3</f>
        <v>0</v>
      </c>
      <c r="R68" s="12">
        <f>'MCH2'!R68/'MCH2'!R3</f>
        <v>0</v>
      </c>
      <c r="S68" s="12">
        <f>'MCH2'!S68/'MCH2'!S3</f>
        <v>0</v>
      </c>
      <c r="T68" s="12">
        <f>'MCH2'!T68/'MCH2'!T3</f>
        <v>0</v>
      </c>
      <c r="U68" s="12">
        <f>'MCH2'!U68/'MCH2'!U3</f>
        <v>0</v>
      </c>
      <c r="V68" s="12">
        <f>'MCH2'!V68/'MCH2'!V3</f>
        <v>0</v>
      </c>
      <c r="W68" s="12">
        <f>'MCH2'!W68/'MCH2'!W3</f>
        <v>0</v>
      </c>
      <c r="X68" s="12">
        <f>'MCH2'!X68/'MCH2'!X3</f>
        <v>0</v>
      </c>
      <c r="Y68" s="12">
        <f>'MCH2'!Y68/'MCH2'!Y3</f>
        <v>0</v>
      </c>
      <c r="Z68" s="12">
        <f>'MCH2'!Z68/'MCH2'!Z3</f>
        <v>55.118110236220474</v>
      </c>
      <c r="AA68" s="12">
        <f>'MCH2'!AA68/'MCH2'!AA3</f>
        <v>0</v>
      </c>
      <c r="AB68" s="12">
        <f>'MCH2'!AB68/'MCH2'!AB3</f>
        <v>0</v>
      </c>
      <c r="AC68" s="12">
        <f>'MCH2'!AC68/'MCH2'!AC3</f>
        <v>0</v>
      </c>
      <c r="AD68" s="12">
        <f>'MCH2'!AD68/'MCH2'!AD3</f>
        <v>0</v>
      </c>
      <c r="AE68" s="12">
        <f>'MCH2'!AE68/'MCH2'!AE3</f>
        <v>0</v>
      </c>
      <c r="AF68" s="12">
        <f>'MCH2'!AF68/'MCH2'!AF3</f>
        <v>0</v>
      </c>
      <c r="AG68" s="12">
        <f>'MCH2'!AG68/'MCH2'!AG3</f>
        <v>0</v>
      </c>
      <c r="AH68" s="12">
        <f>'MCH2'!AH68/'MCH2'!AH3</f>
        <v>0</v>
      </c>
      <c r="AI68" s="12">
        <f>'MCH2'!AI68/'MCH2'!AI3</f>
        <v>0</v>
      </c>
      <c r="AJ68" s="12">
        <f>'MCH2'!AJ68/'MCH2'!AJ3</f>
        <v>0</v>
      </c>
      <c r="AK68" s="12">
        <f>'MCH2'!AK68/'MCH2'!AK3</f>
        <v>0</v>
      </c>
      <c r="AL68" s="12">
        <f>'MCH2'!AL68/'MCH2'!AL3</f>
        <v>0</v>
      </c>
      <c r="AM68" s="12">
        <f>'MCH2'!AM68/'MCH2'!AM3</f>
        <v>0</v>
      </c>
      <c r="AN68" s="12">
        <f>'MCH2'!AN68/'MCH2'!AN3</f>
        <v>0</v>
      </c>
      <c r="AO68" s="12">
        <f>'MCH2'!AO68/'MCH2'!AO3</f>
        <v>0</v>
      </c>
      <c r="AP68" s="12">
        <f>'MCH2'!AP68/'MCH2'!AP3</f>
        <v>0</v>
      </c>
      <c r="AQ68" s="12">
        <f>'MCH2'!AQ68/'MCH2'!AQ3</f>
        <v>0</v>
      </c>
      <c r="AR68" s="12">
        <f>'MCH2'!AR68/'MCH2'!AR3</f>
        <v>0</v>
      </c>
      <c r="AS68" s="12">
        <f>'MCH2'!AS68/'MCH2'!AS3</f>
        <v>0</v>
      </c>
      <c r="AT68" s="12">
        <f>'MCH2'!AT68/'MCH2'!AT3</f>
        <v>0</v>
      </c>
      <c r="AU68" s="12">
        <f>'MCH2'!AU68/'MCH2'!AU3</f>
        <v>0</v>
      </c>
      <c r="AV68" s="12">
        <f>'MCH2'!AV68/'MCH2'!AV3</f>
        <v>0</v>
      </c>
      <c r="AW68" s="12">
        <f>'MCH2'!AW68/'MCH2'!AW3</f>
        <v>0</v>
      </c>
      <c r="AX68" s="12">
        <f>'MCH2'!AX68/'MCH2'!AX3</f>
        <v>0</v>
      </c>
      <c r="AY68" s="12">
        <f>'MCH2'!AY68/'MCH2'!AY3</f>
        <v>0</v>
      </c>
      <c r="AZ68" s="12">
        <f>'MCH2'!AZ68/'MCH2'!AZ3</f>
        <v>0</v>
      </c>
      <c r="BA68" s="12">
        <f>'MCH2'!BA68/'MCH2'!BA3</f>
        <v>0</v>
      </c>
      <c r="BB68" s="12">
        <f>'MCH2'!BB68/'MCH2'!BB3</f>
        <v>0</v>
      </c>
      <c r="BC68" s="12">
        <f>'MCH2'!BC68/'MCH2'!BC3</f>
        <v>0</v>
      </c>
      <c r="BD68" s="12">
        <f>'MCH2'!BD68/'MCH2'!BD3</f>
        <v>0</v>
      </c>
      <c r="BE68" s="12">
        <f>'MCH2'!BE68/'MCH2'!BE3</f>
        <v>0</v>
      </c>
      <c r="BF68" s="12">
        <f t="shared" si="42"/>
        <v>59.866448317891887</v>
      </c>
      <c r="BG68" s="12">
        <f t="shared" si="43"/>
        <v>4.7483380816714149</v>
      </c>
      <c r="BH68" s="12">
        <f t="shared" si="44"/>
        <v>55.118110236220474</v>
      </c>
      <c r="BI68" s="12">
        <f t="shared" si="45"/>
        <v>0</v>
      </c>
    </row>
    <row r="69" spans="1:61" x14ac:dyDescent="0.25">
      <c r="C69" s="7">
        <v>393</v>
      </c>
      <c r="D69" s="7" t="s">
        <v>131</v>
      </c>
      <c r="E69" s="12">
        <f>'MCH2'!E69/'MCH2'!E3</f>
        <v>0</v>
      </c>
      <c r="F69" s="12">
        <f>'MCH2'!F69/'MCH2'!F3</f>
        <v>0</v>
      </c>
      <c r="G69" s="12">
        <f>'MCH2'!G69/'MCH2'!G3</f>
        <v>6.4469214437367306</v>
      </c>
      <c r="H69" s="12">
        <f>'MCH2'!H69/'MCH2'!H3</f>
        <v>0</v>
      </c>
      <c r="I69" s="12">
        <f>'MCH2'!I69/'MCH2'!I3</f>
        <v>0</v>
      </c>
      <c r="J69" s="12">
        <f>'MCH2'!J69/'MCH2'!J3</f>
        <v>0</v>
      </c>
      <c r="K69" s="12">
        <f>'MCH2'!K69/'MCH2'!K3</f>
        <v>5.6868877166541072</v>
      </c>
      <c r="L69" s="12">
        <f>'MCH2'!L69/'MCH2'!L3</f>
        <v>0</v>
      </c>
      <c r="M69" s="12">
        <f>'MCH2'!M69/'MCH2'!M3</f>
        <v>0</v>
      </c>
      <c r="N69" s="12">
        <f>'MCH2'!N69/'MCH2'!N3</f>
        <v>0</v>
      </c>
      <c r="O69" s="12">
        <f>'MCH2'!O69/'MCH2'!O3</f>
        <v>0</v>
      </c>
      <c r="P69" s="12">
        <f>'MCH2'!P69/'MCH2'!P3</f>
        <v>0</v>
      </c>
      <c r="Q69" s="12">
        <f>'MCH2'!Q69/'MCH2'!Q3</f>
        <v>0</v>
      </c>
      <c r="R69" s="12">
        <f>'MCH2'!R69/'MCH2'!R3</f>
        <v>0</v>
      </c>
      <c r="S69" s="12">
        <f>'MCH2'!S69/'MCH2'!S3</f>
        <v>0</v>
      </c>
      <c r="T69" s="12">
        <f>'MCH2'!T69/'MCH2'!T3</f>
        <v>0</v>
      </c>
      <c r="U69" s="12">
        <f>'MCH2'!U69/'MCH2'!U3</f>
        <v>0</v>
      </c>
      <c r="V69" s="12">
        <f>'MCH2'!V69/'MCH2'!V3</f>
        <v>0</v>
      </c>
      <c r="W69" s="12">
        <f>'MCH2'!W69/'MCH2'!W3</f>
        <v>1.6133942161339421</v>
      </c>
      <c r="X69" s="12">
        <f>'MCH2'!X69/'MCH2'!X3</f>
        <v>0</v>
      </c>
      <c r="Y69" s="12">
        <f>'MCH2'!Y69/'MCH2'!Y3</f>
        <v>0</v>
      </c>
      <c r="Z69" s="12">
        <f>'MCH2'!Z69/'MCH2'!Z3</f>
        <v>0</v>
      </c>
      <c r="AA69" s="12">
        <f>'MCH2'!AA69/'MCH2'!AA3</f>
        <v>0</v>
      </c>
      <c r="AB69" s="12">
        <f>'MCH2'!AB69/'MCH2'!AB3</f>
        <v>0</v>
      </c>
      <c r="AC69" s="12">
        <f>'MCH2'!AC69/'MCH2'!AC3</f>
        <v>0</v>
      </c>
      <c r="AD69" s="12">
        <f>'MCH2'!AD69/'MCH2'!AD3</f>
        <v>0</v>
      </c>
      <c r="AE69" s="12">
        <f>'MCH2'!AE69/'MCH2'!AE3</f>
        <v>0</v>
      </c>
      <c r="AF69" s="12">
        <f>'MCH2'!AF69/'MCH2'!AF3</f>
        <v>0</v>
      </c>
      <c r="AG69" s="12">
        <f>'MCH2'!AG69/'MCH2'!AG3</f>
        <v>0</v>
      </c>
      <c r="AH69" s="12">
        <f>'MCH2'!AH69/'MCH2'!AH3</f>
        <v>0</v>
      </c>
      <c r="AI69" s="12">
        <f>'MCH2'!AI69/'MCH2'!AI3</f>
        <v>0</v>
      </c>
      <c r="AJ69" s="12">
        <f>'MCH2'!AJ69/'MCH2'!AJ3</f>
        <v>0</v>
      </c>
      <c r="AK69" s="12">
        <f>'MCH2'!AK69/'MCH2'!AK3</f>
        <v>0</v>
      </c>
      <c r="AL69" s="12">
        <f>'MCH2'!AL69/'MCH2'!AL3</f>
        <v>0</v>
      </c>
      <c r="AM69" s="12">
        <f>'MCH2'!AM69/'MCH2'!AM3</f>
        <v>0</v>
      </c>
      <c r="AN69" s="12">
        <f>'MCH2'!AN69/'MCH2'!AN3</f>
        <v>0</v>
      </c>
      <c r="AO69" s="12">
        <f>'MCH2'!AO69/'MCH2'!AO3</f>
        <v>0</v>
      </c>
      <c r="AP69" s="12">
        <f>'MCH2'!AP69/'MCH2'!AP3</f>
        <v>0</v>
      </c>
      <c r="AQ69" s="12">
        <f>'MCH2'!AQ69/'MCH2'!AQ3</f>
        <v>0</v>
      </c>
      <c r="AR69" s="12">
        <f>'MCH2'!AR69/'MCH2'!AR3</f>
        <v>0</v>
      </c>
      <c r="AS69" s="12">
        <f>'MCH2'!AS69/'MCH2'!AS3</f>
        <v>19.414415041782728</v>
      </c>
      <c r="AT69" s="12">
        <f>'MCH2'!AT69/'MCH2'!AT3</f>
        <v>0</v>
      </c>
      <c r="AU69" s="12">
        <f>'MCH2'!AU69/'MCH2'!AU3</f>
        <v>0</v>
      </c>
      <c r="AV69" s="12">
        <f>'MCH2'!AV69/'MCH2'!AV3</f>
        <v>0</v>
      </c>
      <c r="AW69" s="12">
        <f>'MCH2'!AW69/'MCH2'!AW3</f>
        <v>0</v>
      </c>
      <c r="AX69" s="12">
        <f>'MCH2'!AX69/'MCH2'!AX3</f>
        <v>0</v>
      </c>
      <c r="AY69" s="12">
        <f>'MCH2'!AY69/'MCH2'!AY3</f>
        <v>0</v>
      </c>
      <c r="AZ69" s="12">
        <f>'MCH2'!AZ69/'MCH2'!AZ3</f>
        <v>0</v>
      </c>
      <c r="BA69" s="12">
        <f>'MCH2'!BA69/'MCH2'!BA3</f>
        <v>0</v>
      </c>
      <c r="BB69" s="12">
        <f>'MCH2'!BB69/'MCH2'!BB3</f>
        <v>0</v>
      </c>
      <c r="BC69" s="12">
        <f>'MCH2'!BC69/'MCH2'!BC3</f>
        <v>0</v>
      </c>
      <c r="BD69" s="12">
        <f>'MCH2'!BD69/'MCH2'!BD3</f>
        <v>0</v>
      </c>
      <c r="BE69" s="12">
        <f>'MCH2'!BE69/'MCH2'!BE3</f>
        <v>0</v>
      </c>
      <c r="BF69" s="12">
        <f t="shared" si="42"/>
        <v>33.161618418307512</v>
      </c>
      <c r="BG69" s="12">
        <f t="shared" si="43"/>
        <v>13.74720337652478</v>
      </c>
      <c r="BH69" s="12">
        <f t="shared" si="44"/>
        <v>0</v>
      </c>
      <c r="BI69" s="12">
        <f t="shared" si="45"/>
        <v>19.414415041782728</v>
      </c>
    </row>
    <row r="70" spans="1:61" x14ac:dyDescent="0.25">
      <c r="C70" s="7">
        <v>394</v>
      </c>
      <c r="D70" s="7" t="s">
        <v>132</v>
      </c>
      <c r="E70" s="12">
        <f>'MCH2'!E70/'MCH2'!E3</f>
        <v>0</v>
      </c>
      <c r="F70" s="12">
        <f>'MCH2'!F70/'MCH2'!F3</f>
        <v>77.048372093023261</v>
      </c>
      <c r="G70" s="12">
        <f>'MCH2'!G70/'MCH2'!G3</f>
        <v>6.88343949044586</v>
      </c>
      <c r="H70" s="12">
        <f>'MCH2'!H70/'MCH2'!H3</f>
        <v>0</v>
      </c>
      <c r="I70" s="12">
        <f>'MCH2'!I70/'MCH2'!I3</f>
        <v>82.14867064568638</v>
      </c>
      <c r="J70" s="12">
        <f>'MCH2'!J70/'MCH2'!J3</f>
        <v>0</v>
      </c>
      <c r="K70" s="12">
        <f>'MCH2'!K70/'MCH2'!K3</f>
        <v>22.438300678221552</v>
      </c>
      <c r="L70" s="12">
        <f>'MCH2'!L70/'MCH2'!L3</f>
        <v>39.507518201962647</v>
      </c>
      <c r="M70" s="12">
        <f>'MCH2'!M70/'MCH2'!M3</f>
        <v>23.747161764705883</v>
      </c>
      <c r="N70" s="12">
        <f>'MCH2'!N70/'MCH2'!N3</f>
        <v>0</v>
      </c>
      <c r="O70" s="12">
        <f>'MCH2'!O70/'MCH2'!O3</f>
        <v>0</v>
      </c>
      <c r="P70" s="12">
        <f>'MCH2'!P70/'MCH2'!P3</f>
        <v>0</v>
      </c>
      <c r="Q70" s="12">
        <f>'MCH2'!Q70/'MCH2'!Q3</f>
        <v>0</v>
      </c>
      <c r="R70" s="12">
        <f>'MCH2'!R70/'MCH2'!R3</f>
        <v>0</v>
      </c>
      <c r="S70" s="12">
        <f>'MCH2'!S70/'MCH2'!S3</f>
        <v>0</v>
      </c>
      <c r="T70" s="12">
        <f>'MCH2'!T70/'MCH2'!T3</f>
        <v>0</v>
      </c>
      <c r="U70" s="12">
        <f>'MCH2'!U70/'MCH2'!U3</f>
        <v>0</v>
      </c>
      <c r="V70" s="12">
        <f>'MCH2'!V70/'MCH2'!V3</f>
        <v>0</v>
      </c>
      <c r="W70" s="12">
        <f>'MCH2'!W70/'MCH2'!W3</f>
        <v>0</v>
      </c>
      <c r="X70" s="12">
        <f>'MCH2'!X70/'MCH2'!X3</f>
        <v>0</v>
      </c>
      <c r="Y70" s="12">
        <f>'MCH2'!Y70/'MCH2'!Y3</f>
        <v>0</v>
      </c>
      <c r="Z70" s="12">
        <f>'MCH2'!Z70/'MCH2'!Z3</f>
        <v>0</v>
      </c>
      <c r="AA70" s="12">
        <f>'MCH2'!AA70/'MCH2'!AA3</f>
        <v>0</v>
      </c>
      <c r="AB70" s="12">
        <f>'MCH2'!AB70/'MCH2'!AB3</f>
        <v>0</v>
      </c>
      <c r="AC70" s="12">
        <f>'MCH2'!AC70/'MCH2'!AC3</f>
        <v>0</v>
      </c>
      <c r="AD70" s="12">
        <f>'MCH2'!AD70/'MCH2'!AD3</f>
        <v>0</v>
      </c>
      <c r="AE70" s="12">
        <f>'MCH2'!AE70/'MCH2'!AE3</f>
        <v>0</v>
      </c>
      <c r="AF70" s="12">
        <f>'MCH2'!AF70/'MCH2'!AF3</f>
        <v>0</v>
      </c>
      <c r="AG70" s="12">
        <f>'MCH2'!AG70/'MCH2'!AG3</f>
        <v>0</v>
      </c>
      <c r="AH70" s="12">
        <f>'MCH2'!AH70/'MCH2'!AH3</f>
        <v>0</v>
      </c>
      <c r="AI70" s="12">
        <f>'MCH2'!AI70/'MCH2'!AI3</f>
        <v>0</v>
      </c>
      <c r="AJ70" s="12">
        <f>'MCH2'!AJ70/'MCH2'!AJ3</f>
        <v>0</v>
      </c>
      <c r="AK70" s="12">
        <f>'MCH2'!AK70/'MCH2'!AK3</f>
        <v>0</v>
      </c>
      <c r="AL70" s="12">
        <f>'MCH2'!AL70/'MCH2'!AL3</f>
        <v>54.188420107719928</v>
      </c>
      <c r="AM70" s="12">
        <f>'MCH2'!AM70/'MCH2'!AM3</f>
        <v>0</v>
      </c>
      <c r="AN70" s="12">
        <f>'MCH2'!AN70/'MCH2'!AN3</f>
        <v>0</v>
      </c>
      <c r="AO70" s="12">
        <f>'MCH2'!AO70/'MCH2'!AO3</f>
        <v>0</v>
      </c>
      <c r="AP70" s="12">
        <f>'MCH2'!AP70/'MCH2'!AP3</f>
        <v>51.739359999999998</v>
      </c>
      <c r="AQ70" s="12">
        <f>'MCH2'!AQ70/'MCH2'!AQ3</f>
        <v>0</v>
      </c>
      <c r="AR70" s="12">
        <f>'MCH2'!AR70/'MCH2'!AR3</f>
        <v>0</v>
      </c>
      <c r="AS70" s="12">
        <f>'MCH2'!AS70/'MCH2'!AS3</f>
        <v>82.163927576601665</v>
      </c>
      <c r="AT70" s="12">
        <f>'MCH2'!AT70/'MCH2'!AT3</f>
        <v>0</v>
      </c>
      <c r="AU70" s="12">
        <f>'MCH2'!AU70/'MCH2'!AU3</f>
        <v>0</v>
      </c>
      <c r="AV70" s="12">
        <f>'MCH2'!AV70/'MCH2'!AV3</f>
        <v>0</v>
      </c>
      <c r="AW70" s="12">
        <f>'MCH2'!AW70/'MCH2'!AW3</f>
        <v>0</v>
      </c>
      <c r="AX70" s="12">
        <f>'MCH2'!AX70/'MCH2'!AX3</f>
        <v>38.252717391304351</v>
      </c>
      <c r="AY70" s="12">
        <f>'MCH2'!AY70/'MCH2'!AY3</f>
        <v>0</v>
      </c>
      <c r="AZ70" s="12">
        <f>'MCH2'!AZ70/'MCH2'!AZ3</f>
        <v>0</v>
      </c>
      <c r="BA70" s="12">
        <f>'MCH2'!BA70/'MCH2'!BA3</f>
        <v>0</v>
      </c>
      <c r="BB70" s="12">
        <f>'MCH2'!BB70/'MCH2'!BB3</f>
        <v>0</v>
      </c>
      <c r="BC70" s="12">
        <f>'MCH2'!BC70/'MCH2'!BC3</f>
        <v>8.8811827956989244</v>
      </c>
      <c r="BD70" s="12">
        <f>'MCH2'!BD70/'MCH2'!BD3</f>
        <v>0</v>
      </c>
      <c r="BE70" s="12">
        <f>'MCH2'!BE70/'MCH2'!BE3</f>
        <v>0</v>
      </c>
      <c r="BF70" s="12">
        <f t="shared" si="42"/>
        <v>486.99907074537043</v>
      </c>
      <c r="BG70" s="12">
        <f t="shared" si="43"/>
        <v>251.77346287404558</v>
      </c>
      <c r="BH70" s="12">
        <f t="shared" si="44"/>
        <v>0</v>
      </c>
      <c r="BI70" s="12">
        <f t="shared" si="45"/>
        <v>235.22560787132485</v>
      </c>
    </row>
    <row r="71" spans="1:61" x14ac:dyDescent="0.25">
      <c r="C71" s="7">
        <v>395</v>
      </c>
      <c r="D71" s="7" t="s">
        <v>133</v>
      </c>
      <c r="E71" s="12">
        <f>'MCH2'!E71/'MCH2'!E3</f>
        <v>0</v>
      </c>
      <c r="F71" s="12">
        <f>'MCH2'!F71/'MCH2'!F3</f>
        <v>0</v>
      </c>
      <c r="G71" s="12">
        <f>'MCH2'!G71/'MCH2'!G3</f>
        <v>0</v>
      </c>
      <c r="H71" s="12">
        <f>'MCH2'!H71/'MCH2'!H3</f>
        <v>0.80725623582766437</v>
      </c>
      <c r="I71" s="12">
        <f>'MCH2'!I71/'MCH2'!I3</f>
        <v>0</v>
      </c>
      <c r="J71" s="12">
        <f>'MCH2'!J71/'MCH2'!J3</f>
        <v>0</v>
      </c>
      <c r="K71" s="12">
        <f>'MCH2'!K71/'MCH2'!K3</f>
        <v>0</v>
      </c>
      <c r="L71" s="12">
        <f>'MCH2'!L71/'MCH2'!L3</f>
        <v>0</v>
      </c>
      <c r="M71" s="12">
        <f>'MCH2'!M71/'MCH2'!M3</f>
        <v>0</v>
      </c>
      <c r="N71" s="12">
        <f>'MCH2'!N71/'MCH2'!N3</f>
        <v>0</v>
      </c>
      <c r="O71" s="12">
        <f>'MCH2'!O71/'MCH2'!O3</f>
        <v>0</v>
      </c>
      <c r="P71" s="12">
        <f>'MCH2'!P71/'MCH2'!P3</f>
        <v>0</v>
      </c>
      <c r="Q71" s="12">
        <f>'MCH2'!Q71/'MCH2'!Q3</f>
        <v>0</v>
      </c>
      <c r="R71" s="12">
        <f>'MCH2'!R71/'MCH2'!R3</f>
        <v>0</v>
      </c>
      <c r="S71" s="12">
        <f>'MCH2'!S71/'MCH2'!S3</f>
        <v>0</v>
      </c>
      <c r="T71" s="12">
        <f>'MCH2'!T71/'MCH2'!T3</f>
        <v>0</v>
      </c>
      <c r="U71" s="12">
        <f>'MCH2'!U71/'MCH2'!U3</f>
        <v>0</v>
      </c>
      <c r="V71" s="12">
        <f>'MCH2'!V71/'MCH2'!V3</f>
        <v>0</v>
      </c>
      <c r="W71" s="12">
        <f>'MCH2'!W71/'MCH2'!W3</f>
        <v>0</v>
      </c>
      <c r="X71" s="12">
        <f>'MCH2'!X71/'MCH2'!X3</f>
        <v>0</v>
      </c>
      <c r="Y71" s="12">
        <f>'MCH2'!Y71/'MCH2'!Y3</f>
        <v>0</v>
      </c>
      <c r="Z71" s="12">
        <f>'MCH2'!Z71/'MCH2'!Z3</f>
        <v>0</v>
      </c>
      <c r="AA71" s="12">
        <f>'MCH2'!AA71/'MCH2'!AA3</f>
        <v>0</v>
      </c>
      <c r="AB71" s="12">
        <f>'MCH2'!AB71/'MCH2'!AB3</f>
        <v>0</v>
      </c>
      <c r="AC71" s="12">
        <f>'MCH2'!AC71/'MCH2'!AC3</f>
        <v>0</v>
      </c>
      <c r="AD71" s="12">
        <f>'MCH2'!AD71/'MCH2'!AD3</f>
        <v>0</v>
      </c>
      <c r="AE71" s="12">
        <f>'MCH2'!AE71/'MCH2'!AE3</f>
        <v>0</v>
      </c>
      <c r="AF71" s="12">
        <f>'MCH2'!AF71/'MCH2'!AF3</f>
        <v>0</v>
      </c>
      <c r="AG71" s="12">
        <f>'MCH2'!AG71/'MCH2'!AG3</f>
        <v>0</v>
      </c>
      <c r="AH71" s="12">
        <f>'MCH2'!AH71/'MCH2'!AH3</f>
        <v>0</v>
      </c>
      <c r="AI71" s="12">
        <f>'MCH2'!AI71/'MCH2'!AI3</f>
        <v>0</v>
      </c>
      <c r="AJ71" s="12">
        <f>'MCH2'!AJ71/'MCH2'!AJ3</f>
        <v>0</v>
      </c>
      <c r="AK71" s="12">
        <f>'MCH2'!AK71/'MCH2'!AK3</f>
        <v>0</v>
      </c>
      <c r="AL71" s="12">
        <f>'MCH2'!AL71/'MCH2'!AL3</f>
        <v>0</v>
      </c>
      <c r="AM71" s="12">
        <f>'MCH2'!AM71/'MCH2'!AM3</f>
        <v>0</v>
      </c>
      <c r="AN71" s="12">
        <f>'MCH2'!AN71/'MCH2'!AN3</f>
        <v>0</v>
      </c>
      <c r="AO71" s="12">
        <f>'MCH2'!AO71/'MCH2'!AO3</f>
        <v>0</v>
      </c>
      <c r="AP71" s="12">
        <f>'MCH2'!AP71/'MCH2'!AP3</f>
        <v>0</v>
      </c>
      <c r="AQ71" s="12">
        <f>'MCH2'!AQ71/'MCH2'!AQ3</f>
        <v>0</v>
      </c>
      <c r="AR71" s="12">
        <f>'MCH2'!AR71/'MCH2'!AR3</f>
        <v>0</v>
      </c>
      <c r="AS71" s="12">
        <f>'MCH2'!AS71/'MCH2'!AS3</f>
        <v>0</v>
      </c>
      <c r="AT71" s="12">
        <f>'MCH2'!AT71/'MCH2'!AT3</f>
        <v>0</v>
      </c>
      <c r="AU71" s="12">
        <f>'MCH2'!AU71/'MCH2'!AU3</f>
        <v>0</v>
      </c>
      <c r="AV71" s="12">
        <f>'MCH2'!AV71/'MCH2'!AV3</f>
        <v>0</v>
      </c>
      <c r="AW71" s="12">
        <f>'MCH2'!AW71/'MCH2'!AW3</f>
        <v>0</v>
      </c>
      <c r="AX71" s="12">
        <f>'MCH2'!AX71/'MCH2'!AX3</f>
        <v>0</v>
      </c>
      <c r="AY71" s="12">
        <f>'MCH2'!AY71/'MCH2'!AY3</f>
        <v>0</v>
      </c>
      <c r="AZ71" s="12">
        <f>'MCH2'!AZ71/'MCH2'!AZ3</f>
        <v>0</v>
      </c>
      <c r="BA71" s="12">
        <f>'MCH2'!BA71/'MCH2'!BA3</f>
        <v>0</v>
      </c>
      <c r="BB71" s="12">
        <f>'MCH2'!BB71/'MCH2'!BB3</f>
        <v>0</v>
      </c>
      <c r="BC71" s="12">
        <f>'MCH2'!BC71/'MCH2'!BC3</f>
        <v>0</v>
      </c>
      <c r="BD71" s="12">
        <f>'MCH2'!BD71/'MCH2'!BD3</f>
        <v>0</v>
      </c>
      <c r="BE71" s="12">
        <f>'MCH2'!BE71/'MCH2'!BE3</f>
        <v>0</v>
      </c>
      <c r="BF71" s="12">
        <f t="shared" si="42"/>
        <v>0.80725623582766437</v>
      </c>
      <c r="BG71" s="12">
        <f t="shared" si="43"/>
        <v>0.80725623582766437</v>
      </c>
      <c r="BH71" s="12">
        <f t="shared" si="44"/>
        <v>0</v>
      </c>
      <c r="BI71" s="12">
        <f t="shared" si="45"/>
        <v>0</v>
      </c>
    </row>
    <row r="72" spans="1:61" x14ac:dyDescent="0.25">
      <c r="C72" s="7">
        <v>398</v>
      </c>
      <c r="D72" s="7" t="s">
        <v>134</v>
      </c>
      <c r="E72" s="12">
        <f>'MCH2'!E72/'MCH2'!E3</f>
        <v>0</v>
      </c>
      <c r="F72" s="12">
        <f>'MCH2'!F72/'MCH2'!F3</f>
        <v>0</v>
      </c>
      <c r="G72" s="12">
        <f>'MCH2'!G72/'MCH2'!G3</f>
        <v>0</v>
      </c>
      <c r="H72" s="12">
        <f>'MCH2'!H72/'MCH2'!H3</f>
        <v>0</v>
      </c>
      <c r="I72" s="12">
        <f>'MCH2'!I72/'MCH2'!I3</f>
        <v>0</v>
      </c>
      <c r="J72" s="12">
        <f>'MCH2'!J72/'MCH2'!J3</f>
        <v>0</v>
      </c>
      <c r="K72" s="12">
        <f>'MCH2'!K72/'MCH2'!K3</f>
        <v>0</v>
      </c>
      <c r="L72" s="12">
        <f>'MCH2'!L72/'MCH2'!L3</f>
        <v>189.52460193099083</v>
      </c>
      <c r="M72" s="12">
        <f>'MCH2'!M72/'MCH2'!M3</f>
        <v>0</v>
      </c>
      <c r="N72" s="12">
        <f>'MCH2'!N72/'MCH2'!N3</f>
        <v>0</v>
      </c>
      <c r="O72" s="12">
        <f>'MCH2'!O72/'MCH2'!O3</f>
        <v>0</v>
      </c>
      <c r="P72" s="12">
        <f>'MCH2'!P72/'MCH2'!P3</f>
        <v>0</v>
      </c>
      <c r="Q72" s="12">
        <f>'MCH2'!Q72/'MCH2'!Q3</f>
        <v>0</v>
      </c>
      <c r="R72" s="12">
        <f>'MCH2'!R72/'MCH2'!R3</f>
        <v>0</v>
      </c>
      <c r="S72" s="12">
        <f>'MCH2'!S72/'MCH2'!S3</f>
        <v>0</v>
      </c>
      <c r="T72" s="12">
        <f>'MCH2'!T72/'MCH2'!T3</f>
        <v>0</v>
      </c>
      <c r="U72" s="12">
        <f>'MCH2'!U72/'MCH2'!U3</f>
        <v>0</v>
      </c>
      <c r="V72" s="12">
        <f>'MCH2'!V72/'MCH2'!V3</f>
        <v>0</v>
      </c>
      <c r="W72" s="12">
        <f>'MCH2'!W72/'MCH2'!W3</f>
        <v>0</v>
      </c>
      <c r="X72" s="12">
        <f>'MCH2'!X72/'MCH2'!X3</f>
        <v>0</v>
      </c>
      <c r="Y72" s="12">
        <f>'MCH2'!Y72/'MCH2'!Y3</f>
        <v>0</v>
      </c>
      <c r="Z72" s="12">
        <f>'MCH2'!Z72/'MCH2'!Z3</f>
        <v>0</v>
      </c>
      <c r="AA72" s="12">
        <f>'MCH2'!AA72/'MCH2'!AA3</f>
        <v>0</v>
      </c>
      <c r="AB72" s="12">
        <f>'MCH2'!AB72/'MCH2'!AB3</f>
        <v>0</v>
      </c>
      <c r="AC72" s="12">
        <f>'MCH2'!AC72/'MCH2'!AC3</f>
        <v>0</v>
      </c>
      <c r="AD72" s="12">
        <f>'MCH2'!AD72/'MCH2'!AD3</f>
        <v>0</v>
      </c>
      <c r="AE72" s="12">
        <f>'MCH2'!AE72/'MCH2'!AE3</f>
        <v>0</v>
      </c>
      <c r="AF72" s="12">
        <f>'MCH2'!AF72/'MCH2'!AF3</f>
        <v>0</v>
      </c>
      <c r="AG72" s="12">
        <f>'MCH2'!AG72/'MCH2'!AG3</f>
        <v>0</v>
      </c>
      <c r="AH72" s="12">
        <f>'MCH2'!AH72/'MCH2'!AH3</f>
        <v>0</v>
      </c>
      <c r="AI72" s="12">
        <f>'MCH2'!AI72/'MCH2'!AI3</f>
        <v>0</v>
      </c>
      <c r="AJ72" s="12">
        <f>'MCH2'!AJ72/'MCH2'!AJ3</f>
        <v>0</v>
      </c>
      <c r="AK72" s="12">
        <f>'MCH2'!AK72/'MCH2'!AK3</f>
        <v>0</v>
      </c>
      <c r="AL72" s="12">
        <f>'MCH2'!AL72/'MCH2'!AL3</f>
        <v>0</v>
      </c>
      <c r="AM72" s="12">
        <f>'MCH2'!AM72/'MCH2'!AM3</f>
        <v>0</v>
      </c>
      <c r="AN72" s="12">
        <f>'MCH2'!AN72/'MCH2'!AN3</f>
        <v>0</v>
      </c>
      <c r="AO72" s="12">
        <f>'MCH2'!AO72/'MCH2'!AO3</f>
        <v>0</v>
      </c>
      <c r="AP72" s="12">
        <f>'MCH2'!AP72/'MCH2'!AP3</f>
        <v>0</v>
      </c>
      <c r="AQ72" s="12">
        <f>'MCH2'!AQ72/'MCH2'!AQ3</f>
        <v>0</v>
      </c>
      <c r="AR72" s="12">
        <f>'MCH2'!AR72/'MCH2'!AR3</f>
        <v>0</v>
      </c>
      <c r="AS72" s="12">
        <f>'MCH2'!AS72/'MCH2'!AS3</f>
        <v>0</v>
      </c>
      <c r="AT72" s="12">
        <f>'MCH2'!AT72/'MCH2'!AT3</f>
        <v>0</v>
      </c>
      <c r="AU72" s="12">
        <f>'MCH2'!AU72/'MCH2'!AU3</f>
        <v>0</v>
      </c>
      <c r="AV72" s="12">
        <f>'MCH2'!AV72/'MCH2'!AV3</f>
        <v>0</v>
      </c>
      <c r="AW72" s="12">
        <f>'MCH2'!AW72/'MCH2'!AW3</f>
        <v>0</v>
      </c>
      <c r="AX72" s="12">
        <f>'MCH2'!AX72/'MCH2'!AX3</f>
        <v>0</v>
      </c>
      <c r="AY72" s="12">
        <f>'MCH2'!AY72/'MCH2'!AY3</f>
        <v>0</v>
      </c>
      <c r="AZ72" s="12">
        <f>'MCH2'!AZ72/'MCH2'!AZ3</f>
        <v>0</v>
      </c>
      <c r="BA72" s="12">
        <f>'MCH2'!BA72/'MCH2'!BA3</f>
        <v>0</v>
      </c>
      <c r="BB72" s="12">
        <f>'MCH2'!BB72/'MCH2'!BB3</f>
        <v>0</v>
      </c>
      <c r="BC72" s="12">
        <f>'MCH2'!BC72/'MCH2'!BC3</f>
        <v>0</v>
      </c>
      <c r="BD72" s="12">
        <f>'MCH2'!BD72/'MCH2'!BD3</f>
        <v>0</v>
      </c>
      <c r="BE72" s="12">
        <f>'MCH2'!BE72/'MCH2'!BE3</f>
        <v>0</v>
      </c>
      <c r="BF72" s="12">
        <f t="shared" si="42"/>
        <v>189.52460193099083</v>
      </c>
      <c r="BG72" s="12">
        <f t="shared" si="43"/>
        <v>189.52460193099083</v>
      </c>
      <c r="BH72" s="12">
        <f t="shared" si="44"/>
        <v>0</v>
      </c>
      <c r="BI72" s="12">
        <f t="shared" si="45"/>
        <v>0</v>
      </c>
    </row>
    <row r="73" spans="1:61" x14ac:dyDescent="0.25">
      <c r="C73" s="7">
        <v>399</v>
      </c>
      <c r="D73" s="7" t="s">
        <v>135</v>
      </c>
      <c r="E73" s="12">
        <f>'MCH2'!E73/'MCH2'!E3</f>
        <v>0</v>
      </c>
      <c r="F73" s="12">
        <f>'MCH2'!F73/'MCH2'!F3</f>
        <v>0</v>
      </c>
      <c r="G73" s="12">
        <f>'MCH2'!G73/'MCH2'!G3</f>
        <v>0</v>
      </c>
      <c r="H73" s="12">
        <f>'MCH2'!H73/'MCH2'!H3</f>
        <v>0</v>
      </c>
      <c r="I73" s="12">
        <f>'MCH2'!I73/'MCH2'!I3</f>
        <v>0</v>
      </c>
      <c r="J73" s="12">
        <f>'MCH2'!J73/'MCH2'!J3</f>
        <v>0</v>
      </c>
      <c r="K73" s="12">
        <f>'MCH2'!K73/'MCH2'!K3</f>
        <v>0</v>
      </c>
      <c r="L73" s="12">
        <f>'MCH2'!L73/'MCH2'!L3</f>
        <v>-0.15344808483697372</v>
      </c>
      <c r="M73" s="12">
        <f>'MCH2'!M73/'MCH2'!M3</f>
        <v>0</v>
      </c>
      <c r="N73" s="12">
        <f>'MCH2'!N73/'MCH2'!N3</f>
        <v>0</v>
      </c>
      <c r="O73" s="12">
        <f>'MCH2'!O73/'MCH2'!O3</f>
        <v>0</v>
      </c>
      <c r="P73" s="12">
        <f>'MCH2'!P73/'MCH2'!P3</f>
        <v>0</v>
      </c>
      <c r="Q73" s="12">
        <f>'MCH2'!Q73/'MCH2'!Q3</f>
        <v>0</v>
      </c>
      <c r="R73" s="12">
        <f>'MCH2'!R73/'MCH2'!R3</f>
        <v>0</v>
      </c>
      <c r="S73" s="12">
        <f>'MCH2'!S73/'MCH2'!S3</f>
        <v>0</v>
      </c>
      <c r="T73" s="12">
        <f>'MCH2'!T73/'MCH2'!T3</f>
        <v>0</v>
      </c>
      <c r="U73" s="12">
        <f>'MCH2'!U73/'MCH2'!U3</f>
        <v>0</v>
      </c>
      <c r="V73" s="12">
        <f>'MCH2'!V73/'MCH2'!V3</f>
        <v>0</v>
      </c>
      <c r="W73" s="12">
        <f>'MCH2'!W73/'MCH2'!W3</f>
        <v>1.6438356164383561</v>
      </c>
      <c r="X73" s="12">
        <f>'MCH2'!X73/'MCH2'!X3</f>
        <v>0</v>
      </c>
      <c r="Y73" s="12">
        <f>'MCH2'!Y73/'MCH2'!Y3</f>
        <v>0</v>
      </c>
      <c r="Z73" s="12">
        <f>'MCH2'!Z73/'MCH2'!Z3</f>
        <v>0</v>
      </c>
      <c r="AA73" s="12">
        <f>'MCH2'!AA73/'MCH2'!AA3</f>
        <v>0</v>
      </c>
      <c r="AB73" s="12">
        <f>'MCH2'!AB73/'MCH2'!AB3</f>
        <v>0</v>
      </c>
      <c r="AC73" s="12">
        <f>'MCH2'!AC73/'MCH2'!AC3</f>
        <v>0</v>
      </c>
      <c r="AD73" s="12">
        <f>'MCH2'!AD73/'MCH2'!AD3</f>
        <v>0</v>
      </c>
      <c r="AE73" s="12">
        <f>'MCH2'!AE73/'MCH2'!AE3</f>
        <v>0</v>
      </c>
      <c r="AF73" s="12">
        <f>'MCH2'!AF73/'MCH2'!AF3</f>
        <v>0</v>
      </c>
      <c r="AG73" s="12">
        <f>'MCH2'!AG73/'MCH2'!AG3</f>
        <v>0</v>
      </c>
      <c r="AH73" s="12">
        <f>'MCH2'!AH73/'MCH2'!AH3</f>
        <v>0</v>
      </c>
      <c r="AI73" s="12">
        <f>'MCH2'!AI73/'MCH2'!AI3</f>
        <v>0</v>
      </c>
      <c r="AJ73" s="12">
        <f>'MCH2'!AJ73/'MCH2'!AJ3</f>
        <v>0</v>
      </c>
      <c r="AK73" s="12">
        <f>'MCH2'!AK73/'MCH2'!AK3</f>
        <v>0</v>
      </c>
      <c r="AL73" s="12">
        <f>'MCH2'!AL73/'MCH2'!AL3</f>
        <v>0</v>
      </c>
      <c r="AM73" s="12">
        <f>'MCH2'!AM73/'MCH2'!AM3</f>
        <v>0</v>
      </c>
      <c r="AN73" s="12">
        <f>'MCH2'!AN73/'MCH2'!AN3</f>
        <v>0</v>
      </c>
      <c r="AO73" s="12">
        <f>'MCH2'!AO73/'MCH2'!AO3</f>
        <v>0</v>
      </c>
      <c r="AP73" s="12">
        <f>'MCH2'!AP73/'MCH2'!AP3</f>
        <v>0</v>
      </c>
      <c r="AQ73" s="12">
        <f>'MCH2'!AQ73/'MCH2'!AQ3</f>
        <v>0</v>
      </c>
      <c r="AR73" s="12">
        <f>'MCH2'!AR73/'MCH2'!AR3</f>
        <v>0</v>
      </c>
      <c r="AS73" s="12">
        <f>'MCH2'!AS73/'MCH2'!AS3</f>
        <v>0</v>
      </c>
      <c r="AT73" s="12">
        <f>'MCH2'!AT73/'MCH2'!AT3</f>
        <v>0</v>
      </c>
      <c r="AU73" s="12">
        <f>'MCH2'!AU73/'MCH2'!AU3</f>
        <v>0</v>
      </c>
      <c r="AV73" s="12">
        <f>'MCH2'!AV73/'MCH2'!AV3</f>
        <v>0</v>
      </c>
      <c r="AW73" s="12">
        <f>'MCH2'!AW73/'MCH2'!AW3</f>
        <v>0</v>
      </c>
      <c r="AX73" s="12">
        <f>'MCH2'!AX73/'MCH2'!AX3</f>
        <v>0</v>
      </c>
      <c r="AY73" s="12">
        <f>'MCH2'!AY73/'MCH2'!AY3</f>
        <v>0</v>
      </c>
      <c r="AZ73" s="12">
        <f>'MCH2'!AZ73/'MCH2'!AZ3</f>
        <v>2.0908004778972522</v>
      </c>
      <c r="BA73" s="12">
        <f>'MCH2'!BA73/'MCH2'!BA3</f>
        <v>0</v>
      </c>
      <c r="BB73" s="12">
        <f>'MCH2'!BB73/'MCH2'!BB3</f>
        <v>0</v>
      </c>
      <c r="BC73" s="12">
        <f>'MCH2'!BC73/'MCH2'!BC3</f>
        <v>0</v>
      </c>
      <c r="BD73" s="12">
        <f>'MCH2'!BD73/'MCH2'!BD3</f>
        <v>0</v>
      </c>
      <c r="BE73" s="12">
        <f>'MCH2'!BE73/'MCH2'!BE3</f>
        <v>0</v>
      </c>
      <c r="BF73" s="12">
        <f t="shared" si="42"/>
        <v>3.5811880094986348</v>
      </c>
      <c r="BG73" s="12">
        <f t="shared" si="43"/>
        <v>1.4903875316013824</v>
      </c>
      <c r="BH73" s="12">
        <f t="shared" si="44"/>
        <v>0</v>
      </c>
      <c r="BI73" s="12">
        <f t="shared" si="45"/>
        <v>2.0908004778972522</v>
      </c>
    </row>
    <row r="74" spans="1:61" x14ac:dyDescent="0.25">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f t="shared" si="42"/>
        <v>0</v>
      </c>
      <c r="BG74" s="12">
        <f t="shared" si="43"/>
        <v>0</v>
      </c>
      <c r="BH74" s="12">
        <f t="shared" si="44"/>
        <v>0</v>
      </c>
      <c r="BI74" s="12">
        <f t="shared" si="45"/>
        <v>0</v>
      </c>
    </row>
    <row r="75" spans="1:61" x14ac:dyDescent="0.25">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row>
    <row r="76" spans="1:61" ht="21" x14ac:dyDescent="0.4">
      <c r="A76" s="13">
        <v>4</v>
      </c>
      <c r="B76" s="13"/>
      <c r="C76" s="13"/>
      <c r="D76" s="13" t="s">
        <v>136</v>
      </c>
      <c r="E76" s="14">
        <f>E77+E83+E89+E100+E106+E118+E122+E129+E132+E141</f>
        <v>4050.0672450052575</v>
      </c>
      <c r="F76" s="14">
        <f t="shared" ref="F76:BI76" si="46">F77+F83+F89+F100+F106+F118+F122+F129+F132+F141</f>
        <v>4084.8065891472866</v>
      </c>
      <c r="G76" s="14">
        <f t="shared" si="46"/>
        <v>4012.5345435244162</v>
      </c>
      <c r="H76" s="14">
        <f t="shared" si="46"/>
        <v>4364.3128571428579</v>
      </c>
      <c r="I76" s="14">
        <f t="shared" si="46"/>
        <v>4524.6889744981008</v>
      </c>
      <c r="J76" s="14">
        <f t="shared" si="46"/>
        <v>4359.5482764865683</v>
      </c>
      <c r="K76" s="14">
        <f t="shared" si="46"/>
        <v>4518.7396232102492</v>
      </c>
      <c r="L76" s="14">
        <f t="shared" si="46"/>
        <v>8536.9895639442857</v>
      </c>
      <c r="M76" s="14">
        <f t="shared" si="46"/>
        <v>5813.9168161764701</v>
      </c>
      <c r="N76" s="14">
        <f t="shared" si="46"/>
        <v>4165.3714285714286</v>
      </c>
      <c r="O76" s="14">
        <f t="shared" si="46"/>
        <v>3938.2229867468232</v>
      </c>
      <c r="P76" s="14">
        <f t="shared" si="46"/>
        <v>3741.4585823754792</v>
      </c>
      <c r="Q76" s="14">
        <f t="shared" si="46"/>
        <v>4025.6939622641507</v>
      </c>
      <c r="R76" s="14">
        <f t="shared" si="46"/>
        <v>3778.3214823529415</v>
      </c>
      <c r="S76" s="14">
        <f t="shared" si="46"/>
        <v>4769.1307999999999</v>
      </c>
      <c r="T76" s="14">
        <f t="shared" si="46"/>
        <v>4672.1115279672586</v>
      </c>
      <c r="U76" s="14">
        <f t="shared" si="46"/>
        <v>3584.2704444444439</v>
      </c>
      <c r="V76" s="14">
        <f t="shared" si="46"/>
        <v>5536.3082973621085</v>
      </c>
      <c r="W76" s="14">
        <f t="shared" si="46"/>
        <v>3905.750410958904</v>
      </c>
      <c r="X76" s="14">
        <f t="shared" si="46"/>
        <v>6299.6827922077928</v>
      </c>
      <c r="Y76" s="14">
        <f t="shared" si="46"/>
        <v>5572.9878457869636</v>
      </c>
      <c r="Z76" s="14">
        <f t="shared" si="46"/>
        <v>10147.069127296587</v>
      </c>
      <c r="AA76" s="14">
        <f t="shared" si="46"/>
        <v>6700.6959770114936</v>
      </c>
      <c r="AB76" s="14">
        <f t="shared" si="46"/>
        <v>7209.1608333333324</v>
      </c>
      <c r="AC76" s="14">
        <f t="shared" si="46"/>
        <v>5453.8594117647062</v>
      </c>
      <c r="AD76" s="14">
        <f t="shared" si="46"/>
        <v>5306.2138014184393</v>
      </c>
      <c r="AE76" s="14">
        <f t="shared" si="46"/>
        <v>5194.0221597096188</v>
      </c>
      <c r="AF76" s="14">
        <f t="shared" si="46"/>
        <v>6913.784285714285</v>
      </c>
      <c r="AG76" s="14">
        <f t="shared" si="46"/>
        <v>5448.3244269190345</v>
      </c>
      <c r="AH76" s="14">
        <f t="shared" si="46"/>
        <v>4838.833300970874</v>
      </c>
      <c r="AI76" s="14">
        <f t="shared" si="46"/>
        <v>4926.2465350877201</v>
      </c>
      <c r="AJ76" s="14">
        <f t="shared" si="46"/>
        <v>8554.2063559322032</v>
      </c>
      <c r="AK76" s="14">
        <f t="shared" si="46"/>
        <v>4635.9827789585552</v>
      </c>
      <c r="AL76" s="14">
        <f t="shared" si="46"/>
        <v>5062.8469299820463</v>
      </c>
      <c r="AM76" s="14">
        <f t="shared" si="46"/>
        <v>4249.8069350862779</v>
      </c>
      <c r="AN76" s="14">
        <f t="shared" si="46"/>
        <v>5160.9390598290602</v>
      </c>
      <c r="AO76" s="14">
        <f t="shared" si="46"/>
        <v>8444.2099834024903</v>
      </c>
      <c r="AP76" s="14">
        <f t="shared" si="46"/>
        <v>5909.6097599999994</v>
      </c>
      <c r="AQ76" s="14">
        <f t="shared" si="46"/>
        <v>3846.1397147385105</v>
      </c>
      <c r="AR76" s="14">
        <f t="shared" si="46"/>
        <v>5822.6741019607834</v>
      </c>
      <c r="AS76" s="14">
        <f t="shared" si="46"/>
        <v>4541.7611420612811</v>
      </c>
      <c r="AT76" s="14">
        <f t="shared" si="46"/>
        <v>4456.913998035363</v>
      </c>
      <c r="AU76" s="14">
        <f t="shared" si="46"/>
        <v>5272.9529351535848</v>
      </c>
      <c r="AV76" s="14">
        <f t="shared" si="46"/>
        <v>4397.0070554414797</v>
      </c>
      <c r="AW76" s="14">
        <f t="shared" si="46"/>
        <v>4190.765432569975</v>
      </c>
      <c r="AX76" s="14">
        <f t="shared" si="46"/>
        <v>4180.3823369565207</v>
      </c>
      <c r="AY76" s="14">
        <f t="shared" si="46"/>
        <v>3937.5543843843848</v>
      </c>
      <c r="AZ76" s="14">
        <f t="shared" si="46"/>
        <v>4168.6617144563916</v>
      </c>
      <c r="BA76" s="14">
        <f t="shared" si="46"/>
        <v>4132.501713554987</v>
      </c>
      <c r="BB76" s="14">
        <f t="shared" si="46"/>
        <v>5700.4418821292775</v>
      </c>
      <c r="BC76" s="14">
        <f t="shared" si="46"/>
        <v>4276.4416129032261</v>
      </c>
      <c r="BD76" s="14">
        <f t="shared" si="46"/>
        <v>6619.8815541065042</v>
      </c>
      <c r="BE76" s="14">
        <f t="shared" si="46"/>
        <v>4764.2016300366295</v>
      </c>
      <c r="BF76" s="14">
        <f t="shared" si="46"/>
        <v>272719.00792107941</v>
      </c>
      <c r="BG76" s="14">
        <f t="shared" si="46"/>
        <v>86382.244412179047</v>
      </c>
      <c r="BH76" s="14">
        <f t="shared" si="46"/>
        <v>82565.086853153058</v>
      </c>
      <c r="BI76" s="14">
        <f t="shared" si="46"/>
        <v>103771.67665574733</v>
      </c>
    </row>
    <row r="77" spans="1:61" x14ac:dyDescent="0.25">
      <c r="A77" s="6"/>
      <c r="B77" s="68">
        <v>40</v>
      </c>
      <c r="C77" s="68"/>
      <c r="D77" s="68" t="s">
        <v>79</v>
      </c>
      <c r="E77" s="69">
        <f>E78+E79+E80+E81</f>
        <v>2747.3070136698216</v>
      </c>
      <c r="F77" s="69">
        <f t="shared" ref="F77:BI77" si="47">F78+F79+F80+F81</f>
        <v>2088.3507751937982</v>
      </c>
      <c r="G77" s="69">
        <f t="shared" si="47"/>
        <v>2807.198577494692</v>
      </c>
      <c r="H77" s="69">
        <f t="shared" si="47"/>
        <v>2406.5885260770979</v>
      </c>
      <c r="I77" s="69">
        <f t="shared" si="47"/>
        <v>2559.7448317959852</v>
      </c>
      <c r="J77" s="69">
        <f t="shared" si="47"/>
        <v>2760.7347992755813</v>
      </c>
      <c r="K77" s="69">
        <f t="shared" si="47"/>
        <v>3117.1691522230594</v>
      </c>
      <c r="L77" s="69">
        <f t="shared" si="47"/>
        <v>3002.1894191199744</v>
      </c>
      <c r="M77" s="69">
        <f t="shared" si="47"/>
        <v>2635.9181323529415</v>
      </c>
      <c r="N77" s="69">
        <f t="shared" si="47"/>
        <v>2180.1099107142859</v>
      </c>
      <c r="O77" s="69">
        <f t="shared" si="47"/>
        <v>2549.3172291296623</v>
      </c>
      <c r="P77" s="69">
        <f t="shared" si="47"/>
        <v>2341.4501149425287</v>
      </c>
      <c r="Q77" s="69">
        <f t="shared" si="47"/>
        <v>2614.2837735849052</v>
      </c>
      <c r="R77" s="69">
        <f t="shared" si="47"/>
        <v>2638.6402352941177</v>
      </c>
      <c r="S77" s="69">
        <f t="shared" si="47"/>
        <v>2262.0098857142857</v>
      </c>
      <c r="T77" s="69">
        <f t="shared" si="47"/>
        <v>3149.3152114597542</v>
      </c>
      <c r="U77" s="69">
        <f t="shared" si="47"/>
        <v>1926.0035185185184</v>
      </c>
      <c r="V77" s="69">
        <f t="shared" si="47"/>
        <v>3538.7849880095919</v>
      </c>
      <c r="W77" s="69">
        <f t="shared" si="47"/>
        <v>2508.0792724505327</v>
      </c>
      <c r="X77" s="69">
        <f t="shared" si="47"/>
        <v>2991.4813311688308</v>
      </c>
      <c r="Y77" s="69">
        <f t="shared" si="47"/>
        <v>3852.8001589825121</v>
      </c>
      <c r="Z77" s="69">
        <f t="shared" si="47"/>
        <v>6829.8655971128601</v>
      </c>
      <c r="AA77" s="69">
        <f t="shared" si="47"/>
        <v>2672.7385057471265</v>
      </c>
      <c r="AB77" s="69">
        <f t="shared" si="47"/>
        <v>2174.9079487179492</v>
      </c>
      <c r="AC77" s="69">
        <f t="shared" si="47"/>
        <v>2995.4549019607839</v>
      </c>
      <c r="AD77" s="69">
        <f t="shared" si="47"/>
        <v>2676.5533617021279</v>
      </c>
      <c r="AE77" s="69">
        <f t="shared" si="47"/>
        <v>2590.9696551724142</v>
      </c>
      <c r="AF77" s="69">
        <f t="shared" si="47"/>
        <v>3148.3739726027397</v>
      </c>
      <c r="AG77" s="69">
        <f t="shared" si="47"/>
        <v>3529.244095688749</v>
      </c>
      <c r="AH77" s="69">
        <f t="shared" si="47"/>
        <v>2992.9258640776698</v>
      </c>
      <c r="AI77" s="69">
        <f t="shared" si="47"/>
        <v>2460.9993421052632</v>
      </c>
      <c r="AJ77" s="69">
        <f t="shared" si="47"/>
        <v>3036.5744067796613</v>
      </c>
      <c r="AK77" s="69">
        <f t="shared" si="47"/>
        <v>3186.2513974495218</v>
      </c>
      <c r="AL77" s="69">
        <f t="shared" si="47"/>
        <v>2363.158482944345</v>
      </c>
      <c r="AM77" s="69">
        <f t="shared" si="47"/>
        <v>2418.223040262942</v>
      </c>
      <c r="AN77" s="69">
        <f t="shared" si="47"/>
        <v>3005.6235042735043</v>
      </c>
      <c r="AO77" s="69">
        <f t="shared" si="47"/>
        <v>6770.2962572614115</v>
      </c>
      <c r="AP77" s="69">
        <f t="shared" si="47"/>
        <v>2572.5815199999997</v>
      </c>
      <c r="AQ77" s="69">
        <f t="shared" si="47"/>
        <v>2688.7129001584785</v>
      </c>
      <c r="AR77" s="69">
        <f t="shared" si="47"/>
        <v>2406.9805725490196</v>
      </c>
      <c r="AS77" s="69">
        <f t="shared" si="47"/>
        <v>2570.0039415041783</v>
      </c>
      <c r="AT77" s="69">
        <f t="shared" si="47"/>
        <v>2496.9172102161101</v>
      </c>
      <c r="AU77" s="69">
        <f t="shared" si="47"/>
        <v>3012.5481228668946</v>
      </c>
      <c r="AV77" s="69">
        <f t="shared" si="47"/>
        <v>2796.0042135523618</v>
      </c>
      <c r="AW77" s="69">
        <f t="shared" si="47"/>
        <v>3224.933486005089</v>
      </c>
      <c r="AX77" s="69">
        <f t="shared" si="47"/>
        <v>2177.9686956521737</v>
      </c>
      <c r="AY77" s="69">
        <f t="shared" si="47"/>
        <v>2529.0109909909911</v>
      </c>
      <c r="AZ77" s="69">
        <f t="shared" si="47"/>
        <v>2883.3224313022697</v>
      </c>
      <c r="BA77" s="69">
        <f t="shared" si="47"/>
        <v>2196.6719437340153</v>
      </c>
      <c r="BB77" s="69">
        <f t="shared" si="47"/>
        <v>3399.5150950570342</v>
      </c>
      <c r="BC77" s="69">
        <f t="shared" si="47"/>
        <v>2068.1989247311831</v>
      </c>
      <c r="BD77" s="69">
        <f t="shared" si="47"/>
        <v>3637.9049122807014</v>
      </c>
      <c r="BE77" s="69">
        <f t="shared" si="47"/>
        <v>2826.1528937728931</v>
      </c>
      <c r="BF77" s="69">
        <f t="shared" si="47"/>
        <v>153017.06504540498</v>
      </c>
      <c r="BG77" s="69">
        <f t="shared" si="47"/>
        <v>49833.195367021144</v>
      </c>
      <c r="BH77" s="69">
        <f t="shared" si="47"/>
        <v>41952.88914181869</v>
      </c>
      <c r="BI77" s="69">
        <f t="shared" si="47"/>
        <v>61230.980536565112</v>
      </c>
    </row>
    <row r="78" spans="1:61" x14ac:dyDescent="0.25">
      <c r="C78" s="7">
        <v>400</v>
      </c>
      <c r="D78" s="7" t="s">
        <v>137</v>
      </c>
      <c r="E78" s="12">
        <f>'MCH2'!E78/'MCH2'!E3</f>
        <v>2379.2850683491065</v>
      </c>
      <c r="F78" s="12">
        <f>'MCH2'!F78/'MCH2'!F3</f>
        <v>1529.3968992248062</v>
      </c>
      <c r="G78" s="12">
        <f>'MCH2'!G78/'MCH2'!G3</f>
        <v>2418.5308492569002</v>
      </c>
      <c r="H78" s="12">
        <f>'MCH2'!H78/'MCH2'!H3</f>
        <v>2155.6834693877554</v>
      </c>
      <c r="I78" s="12">
        <f>'MCH2'!I78/'MCH2'!I3</f>
        <v>2081.3159712425395</v>
      </c>
      <c r="J78" s="12">
        <f>'MCH2'!J78/'MCH2'!J3</f>
        <v>2316.5759070329009</v>
      </c>
      <c r="K78" s="12">
        <f>'MCH2'!K78/'MCH2'!K3</f>
        <v>2452.5843330821403</v>
      </c>
      <c r="L78" s="12">
        <f>'MCH2'!L78/'MCH2'!L3</f>
        <v>2309.9264300411523</v>
      </c>
      <c r="M78" s="12">
        <f>'MCH2'!M78/'MCH2'!M3</f>
        <v>2227.7742720588235</v>
      </c>
      <c r="N78" s="12">
        <f>'MCH2'!N78/'MCH2'!N3</f>
        <v>1708.7450892857144</v>
      </c>
      <c r="O78" s="12">
        <f>'MCH2'!O78/'MCH2'!O3</f>
        <v>2041.2413581090314</v>
      </c>
      <c r="P78" s="12">
        <f>'MCH2'!P78/'MCH2'!P3</f>
        <v>1950.0456704980843</v>
      </c>
      <c r="Q78" s="12">
        <f>'MCH2'!Q78/'MCH2'!Q3</f>
        <v>1960.171037735849</v>
      </c>
      <c r="R78" s="12">
        <f>'MCH2'!R78/'MCH2'!R3</f>
        <v>2350.9092705882354</v>
      </c>
      <c r="S78" s="12">
        <f>'MCH2'!S78/'MCH2'!S3</f>
        <v>1830.4123142857145</v>
      </c>
      <c r="T78" s="12">
        <f>'MCH2'!T78/'MCH2'!T3</f>
        <v>2838.7548431105047</v>
      </c>
      <c r="U78" s="12">
        <f>'MCH2'!U78/'MCH2'!U3</f>
        <v>1658.855</v>
      </c>
      <c r="V78" s="12">
        <f>'MCH2'!V78/'MCH2'!V3</f>
        <v>2626.9130455635491</v>
      </c>
      <c r="W78" s="12">
        <f>'MCH2'!W78/'MCH2'!W3</f>
        <v>2048.2325357686454</v>
      </c>
      <c r="X78" s="12">
        <f>'MCH2'!X78/'MCH2'!X3</f>
        <v>2424.7881493506493</v>
      </c>
      <c r="Y78" s="12">
        <f>'MCH2'!Y78/'MCH2'!Y3</f>
        <v>3453.5482511923692</v>
      </c>
      <c r="Z78" s="12">
        <f>'MCH2'!Z78/'MCH2'!Z3</f>
        <v>1979.4846391076114</v>
      </c>
      <c r="AA78" s="12">
        <f>'MCH2'!AA78/'MCH2'!AA3</f>
        <v>1873.3385057471266</v>
      </c>
      <c r="AB78" s="12">
        <f>'MCH2'!AB78/'MCH2'!AB3</f>
        <v>1865.1319871794874</v>
      </c>
      <c r="AC78" s="12">
        <f>'MCH2'!AC78/'MCH2'!AC3</f>
        <v>2478.3630392156861</v>
      </c>
      <c r="AD78" s="12">
        <f>'MCH2'!AD78/'MCH2'!AD3</f>
        <v>2199.2249929078016</v>
      </c>
      <c r="AE78" s="12">
        <f>'MCH2'!AE78/'MCH2'!AE3</f>
        <v>2087.8245553539023</v>
      </c>
      <c r="AF78" s="12">
        <f>'MCH2'!AF78/'MCH2'!AF3</f>
        <v>2630.5071232876712</v>
      </c>
      <c r="AG78" s="12">
        <f>'MCH2'!AG78/'MCH2'!AG3</f>
        <v>2469.8539274447949</v>
      </c>
      <c r="AH78" s="12">
        <f>'MCH2'!AH78/'MCH2'!AH3</f>
        <v>2439.1170485436896</v>
      </c>
      <c r="AI78" s="12">
        <f>'MCH2'!AI78/'MCH2'!AI3</f>
        <v>1897.112456140351</v>
      </c>
      <c r="AJ78" s="12">
        <f>'MCH2'!AJ78/'MCH2'!AJ3</f>
        <v>2092.7286440677967</v>
      </c>
      <c r="AK78" s="12">
        <f>'MCH2'!AK78/'MCH2'!AK3</f>
        <v>2610.9899946865039</v>
      </c>
      <c r="AL78" s="12">
        <f>'MCH2'!AL78/'MCH2'!AL3</f>
        <v>1896.6999461400362</v>
      </c>
      <c r="AM78" s="12">
        <f>'MCH2'!AM78/'MCH2'!AM3</f>
        <v>1959.382202136401</v>
      </c>
      <c r="AN78" s="12">
        <f>'MCH2'!AN78/'MCH2'!AN3</f>
        <v>2300.6752136752139</v>
      </c>
      <c r="AO78" s="12">
        <f>'MCH2'!AO78/'MCH2'!AO3</f>
        <v>2940.5526887966807</v>
      </c>
      <c r="AP78" s="12">
        <f>'MCH2'!AP78/'MCH2'!AP3</f>
        <v>2284.0612160000001</v>
      </c>
      <c r="AQ78" s="12">
        <f>'MCH2'!AQ78/'MCH2'!AQ3</f>
        <v>2213.2926941362916</v>
      </c>
      <c r="AR78" s="12">
        <f>'MCH2'!AR78/'MCH2'!AR3</f>
        <v>1815.394745098039</v>
      </c>
      <c r="AS78" s="12">
        <f>'MCH2'!AS78/'MCH2'!AS3</f>
        <v>2166.3216295264624</v>
      </c>
      <c r="AT78" s="12">
        <f>'MCH2'!AT78/'MCH2'!AT3</f>
        <v>2220.335648330059</v>
      </c>
      <c r="AU78" s="12">
        <f>'MCH2'!AU78/'MCH2'!AU3</f>
        <v>2270.1211604095565</v>
      </c>
      <c r="AV78" s="12">
        <f>'MCH2'!AV78/'MCH2'!AV3</f>
        <v>2216.5965174537987</v>
      </c>
      <c r="AW78" s="12">
        <f>'MCH2'!AW78/'MCH2'!AW3</f>
        <v>2355.9295165394401</v>
      </c>
      <c r="AX78" s="12">
        <f>'MCH2'!AX78/'MCH2'!AX3</f>
        <v>1705.2505434782609</v>
      </c>
      <c r="AY78" s="12">
        <f>'MCH2'!AY78/'MCH2'!AY3</f>
        <v>2038.1330330330331</v>
      </c>
      <c r="AZ78" s="12">
        <f>'MCH2'!AZ78/'MCH2'!AZ3</f>
        <v>2450.0322580645161</v>
      </c>
      <c r="BA78" s="12">
        <f>'MCH2'!BA78/'MCH2'!BA3</f>
        <v>1774.0862659846546</v>
      </c>
      <c r="BB78" s="12">
        <f>'MCH2'!BB78/'MCH2'!BB3</f>
        <v>2575.1424049429656</v>
      </c>
      <c r="BC78" s="12">
        <f>'MCH2'!BC78/'MCH2'!BC3</f>
        <v>1619.2387096774196</v>
      </c>
      <c r="BD78" s="12">
        <f>'MCH2'!BD78/'MCH2'!BD3</f>
        <v>2772.1642664182577</v>
      </c>
      <c r="BE78" s="12">
        <f>'MCH2'!BE78/'MCH2'!BE3</f>
        <v>2228.8084065934063</v>
      </c>
      <c r="BF78" s="12">
        <f t="shared" ref="BF78:BF81" si="48">SUM(E78:BE78)</f>
        <v>117189.58574528144</v>
      </c>
      <c r="BG78" s="12">
        <f t="shared" ref="BG78:BG81" si="49">SUM(E78:W78)</f>
        <v>40885.353364621456</v>
      </c>
      <c r="BH78" s="12">
        <f t="shared" ref="BH78:BH81" si="50">SUM(X78:AJ78)</f>
        <v>29891.023319538937</v>
      </c>
      <c r="BI78" s="12">
        <f t="shared" ref="BI78:BI81" si="51">SUM(AK78:BE78)</f>
        <v>46413.209061120993</v>
      </c>
    </row>
    <row r="79" spans="1:61" x14ac:dyDescent="0.25">
      <c r="C79" s="7">
        <v>401</v>
      </c>
      <c r="D79" s="7" t="s">
        <v>138</v>
      </c>
      <c r="E79" s="12">
        <f>'MCH2'!E79/'MCH2'!E3</f>
        <v>109.44497371188223</v>
      </c>
      <c r="F79" s="12">
        <f>'MCH2'!F79/'MCH2'!F3</f>
        <v>16.277906976744184</v>
      </c>
      <c r="G79" s="12">
        <f>'MCH2'!G79/'MCH2'!G3</f>
        <v>-18.559341825902337</v>
      </c>
      <c r="H79" s="12">
        <f>'MCH2'!H79/'MCH2'!H3</f>
        <v>-35.852380952380955</v>
      </c>
      <c r="I79" s="12">
        <f>'MCH2'!I79/'MCH2'!I3</f>
        <v>111.38528214867065</v>
      </c>
      <c r="J79" s="12">
        <f>'MCH2'!J79/'MCH2'!J3</f>
        <v>131.33389677029882</v>
      </c>
      <c r="K79" s="12">
        <f>'MCH2'!K79/'MCH2'!K3</f>
        <v>436.64335342878672</v>
      </c>
      <c r="L79" s="12">
        <f>'MCH2'!L79/'MCH2'!L3</f>
        <v>327.06685026907252</v>
      </c>
      <c r="M79" s="12">
        <f>'MCH2'!M79/'MCH2'!M3</f>
        <v>124.48772058823529</v>
      </c>
      <c r="N79" s="12">
        <f>'MCH2'!N79/'MCH2'!N3</f>
        <v>93.190267857142857</v>
      </c>
      <c r="O79" s="12">
        <f>'MCH2'!O79/'MCH2'!O3</f>
        <v>194.41106025413308</v>
      </c>
      <c r="P79" s="12">
        <f>'MCH2'!P79/'MCH2'!P3</f>
        <v>2.9428160919540232</v>
      </c>
      <c r="Q79" s="12">
        <f>'MCH2'!Q79/'MCH2'!Q3</f>
        <v>3.7797169811320752</v>
      </c>
      <c r="R79" s="12">
        <f>'MCH2'!R79/'MCH2'!R3</f>
        <v>1.4920235294117647</v>
      </c>
      <c r="S79" s="12">
        <f>'MCH2'!S79/'MCH2'!S3</f>
        <v>7.5558571428571435</v>
      </c>
      <c r="T79" s="12">
        <f>'MCH2'!T79/'MCH2'!T3</f>
        <v>-14.112414733969986</v>
      </c>
      <c r="U79" s="12">
        <f>'MCH2'!U79/'MCH2'!U3</f>
        <v>15.027592592592592</v>
      </c>
      <c r="V79" s="12">
        <f>'MCH2'!V79/'MCH2'!V3</f>
        <v>580.7658273381295</v>
      </c>
      <c r="W79" s="12">
        <f>'MCH2'!W79/'MCH2'!W3</f>
        <v>126.2776803652968</v>
      </c>
      <c r="X79" s="12">
        <f>'MCH2'!X79/'MCH2'!X3</f>
        <v>14.851298701298701</v>
      </c>
      <c r="Y79" s="12">
        <f>'MCH2'!Y79/'MCH2'!Y3</f>
        <v>89.433704292527821</v>
      </c>
      <c r="Z79" s="12">
        <f>'MCH2'!Z79/'MCH2'!Z3</f>
        <v>4552.7623031496059</v>
      </c>
      <c r="AA79" s="12">
        <f>'MCH2'!AA79/'MCH2'!AA3</f>
        <v>1.174712643678161</v>
      </c>
      <c r="AB79" s="12">
        <f>'MCH2'!AB79/'MCH2'!AB3</f>
        <v>-36.444230769230771</v>
      </c>
      <c r="AC79" s="12">
        <f>'MCH2'!AC79/'MCH2'!AC3</f>
        <v>142.51245098039217</v>
      </c>
      <c r="AD79" s="12">
        <f>'MCH2'!AD79/'MCH2'!AD3</f>
        <v>105.44872340425533</v>
      </c>
      <c r="AE79" s="12">
        <f>'MCH2'!AE79/'MCH2'!AE3</f>
        <v>43.498548094373866</v>
      </c>
      <c r="AF79" s="12">
        <f>'MCH2'!AF79/'MCH2'!AF3</f>
        <v>95.67193737769081</v>
      </c>
      <c r="AG79" s="12">
        <f>'MCH2'!AG79/'MCH2'!AG3</f>
        <v>687.9406414300737</v>
      </c>
      <c r="AH79" s="12">
        <f>'MCH2'!AH79/'MCH2'!AH3</f>
        <v>186.43143689320388</v>
      </c>
      <c r="AI79" s="12">
        <f>'MCH2'!AI79/'MCH2'!AI3</f>
        <v>88.608377192982459</v>
      </c>
      <c r="AJ79" s="12">
        <f>'MCH2'!AJ79/'MCH2'!AJ3</f>
        <v>-4.7385593220338977</v>
      </c>
      <c r="AK79" s="12">
        <f>'MCH2'!AK79/'MCH2'!AK3</f>
        <v>202.55069075451649</v>
      </c>
      <c r="AL79" s="12">
        <f>'MCH2'!AL79/'MCH2'!AL3</f>
        <v>13.768087971274685</v>
      </c>
      <c r="AM79" s="12">
        <f>'MCH2'!AM79/'MCH2'!AM3</f>
        <v>58.103656532456853</v>
      </c>
      <c r="AN79" s="12">
        <f>'MCH2'!AN79/'MCH2'!AN3</f>
        <v>355.34188034188037</v>
      </c>
      <c r="AO79" s="12">
        <f>'MCH2'!AO79/'MCH2'!AO3</f>
        <v>3424.535643153527</v>
      </c>
      <c r="AP79" s="12">
        <f>'MCH2'!AP79/'MCH2'!AP3</f>
        <v>-33.086736000000002</v>
      </c>
      <c r="AQ79" s="12">
        <f>'MCH2'!AQ79/'MCH2'!AQ3</f>
        <v>199.88858954041203</v>
      </c>
      <c r="AR79" s="12">
        <f>'MCH2'!AR79/'MCH2'!AR3</f>
        <v>9.5456078431372546</v>
      </c>
      <c r="AS79" s="12">
        <f>'MCH2'!AS79/'MCH2'!AS3</f>
        <v>34.049303621169919</v>
      </c>
      <c r="AT79" s="12">
        <f>'MCH2'!AT79/'MCH2'!AT3</f>
        <v>17.981218074656191</v>
      </c>
      <c r="AU79" s="12">
        <f>'MCH2'!AU79/'MCH2'!AU3</f>
        <v>423.85358361774746</v>
      </c>
      <c r="AV79" s="12">
        <f>'MCH2'!AV79/'MCH2'!AV3</f>
        <v>162.55367145790555</v>
      </c>
      <c r="AW79" s="12">
        <f>'MCH2'!AW79/'MCH2'!AW3</f>
        <v>477.0232442748092</v>
      </c>
      <c r="AX79" s="12">
        <f>'MCH2'!AX79/'MCH2'!AX3</f>
        <v>38.087228260869566</v>
      </c>
      <c r="AY79" s="12">
        <f>'MCH2'!AY79/'MCH2'!AY3</f>
        <v>33.058258258258256</v>
      </c>
      <c r="AZ79" s="12">
        <f>'MCH2'!AZ79/'MCH2'!AZ3</f>
        <v>29.690800477897252</v>
      </c>
      <c r="BA79" s="12">
        <f>'MCH2'!BA79/'MCH2'!BA3</f>
        <v>41.110997442455243</v>
      </c>
      <c r="BB79" s="12">
        <f>'MCH2'!BB79/'MCH2'!BB3</f>
        <v>287.87461977186308</v>
      </c>
      <c r="BC79" s="12">
        <f>'MCH2'!BC79/'MCH2'!BC3</f>
        <v>58.253494623655911</v>
      </c>
      <c r="BD79" s="12">
        <f>'MCH2'!BD79/'MCH2'!BD3</f>
        <v>399.85408942710757</v>
      </c>
      <c r="BE79" s="12">
        <f>'MCH2'!BE79/'MCH2'!BE3</f>
        <v>211.43507326007327</v>
      </c>
      <c r="BF79" s="12">
        <f t="shared" si="48"/>
        <v>14626.183035308577</v>
      </c>
      <c r="BG79" s="12">
        <f t="shared" si="49"/>
        <v>2213.5586885340867</v>
      </c>
      <c r="BH79" s="12">
        <f t="shared" si="50"/>
        <v>5967.1513440688177</v>
      </c>
      <c r="BI79" s="12">
        <f t="shared" si="51"/>
        <v>6445.4730027056712</v>
      </c>
    </row>
    <row r="80" spans="1:61" x14ac:dyDescent="0.25">
      <c r="C80" s="7">
        <v>402</v>
      </c>
      <c r="D80" s="7" t="s">
        <v>139</v>
      </c>
      <c r="E80" s="12">
        <f>'MCH2'!E80/'MCH2'!E3</f>
        <v>244.60199789695056</v>
      </c>
      <c r="F80" s="12">
        <f>'MCH2'!F80/'MCH2'!F3</f>
        <v>522.47441860465119</v>
      </c>
      <c r="G80" s="12">
        <f>'MCH2'!G80/'MCH2'!G3</f>
        <v>394.85849256900212</v>
      </c>
      <c r="H80" s="12">
        <f>'MCH2'!H80/'MCH2'!H3</f>
        <v>280.24950113378685</v>
      </c>
      <c r="I80" s="12">
        <f>'MCH2'!I80/'MCH2'!I3</f>
        <v>350.10071351058059</v>
      </c>
      <c r="J80" s="12">
        <f>'MCH2'!J80/'MCH2'!J3</f>
        <v>306.34295502565647</v>
      </c>
      <c r="K80" s="12">
        <f>'MCH2'!K80/'MCH2'!K3</f>
        <v>219.67511303692538</v>
      </c>
      <c r="L80" s="12">
        <f>'MCH2'!L80/'MCH2'!L3</f>
        <v>357.74757913896804</v>
      </c>
      <c r="M80" s="12">
        <f>'MCH2'!M80/'MCH2'!M3</f>
        <v>279.83378676470591</v>
      </c>
      <c r="N80" s="12">
        <f>'MCH2'!N80/'MCH2'!N3</f>
        <v>247.82053571428574</v>
      </c>
      <c r="O80" s="12">
        <f>'MCH2'!O80/'MCH2'!O3</f>
        <v>306.05221341713349</v>
      </c>
      <c r="P80" s="12">
        <f>'MCH2'!P80/'MCH2'!P3</f>
        <v>381.58193486590034</v>
      </c>
      <c r="Q80" s="12">
        <f>'MCH2'!Q80/'MCH2'!Q3</f>
        <v>601.68018867924525</v>
      </c>
      <c r="R80" s="12">
        <f>'MCH2'!R80/'MCH2'!R3</f>
        <v>247.10882352941175</v>
      </c>
      <c r="S80" s="12">
        <f>'MCH2'!S80/'MCH2'!S3</f>
        <v>389.17600000000004</v>
      </c>
      <c r="T80" s="12">
        <f>'MCH2'!T80/'MCH2'!T3</f>
        <v>319.58410641200544</v>
      </c>
      <c r="U80" s="12">
        <f>'MCH2'!U80/'MCH2'!U3</f>
        <v>207.4148148148148</v>
      </c>
      <c r="V80" s="12">
        <f>'MCH2'!V80/'MCH2'!V3</f>
        <v>316.72482014388487</v>
      </c>
      <c r="W80" s="12">
        <f>'MCH2'!W80/'MCH2'!W3</f>
        <v>320.74310502283106</v>
      </c>
      <c r="X80" s="12">
        <f>'MCH2'!X80/'MCH2'!X3</f>
        <v>446.52954545454548</v>
      </c>
      <c r="Y80" s="12">
        <f>'MCH2'!Y80/'MCH2'!Y3</f>
        <v>288.68966613672495</v>
      </c>
      <c r="Z80" s="12">
        <f>'MCH2'!Z80/'MCH2'!Z3</f>
        <v>289.54043963254594</v>
      </c>
      <c r="AA80" s="12">
        <f>'MCH2'!AA80/'MCH2'!AA3</f>
        <v>774.08735632183914</v>
      </c>
      <c r="AB80" s="12">
        <f>'MCH2'!AB80/'MCH2'!AB3</f>
        <v>324.38557692307694</v>
      </c>
      <c r="AC80" s="12">
        <f>'MCH2'!AC80/'MCH2'!AC3</f>
        <v>351.74078431372544</v>
      </c>
      <c r="AD80" s="12">
        <f>'MCH2'!AD80/'MCH2'!AD3</f>
        <v>347.24049645390068</v>
      </c>
      <c r="AE80" s="12">
        <f>'MCH2'!AE80/'MCH2'!AE3</f>
        <v>392.73584392014521</v>
      </c>
      <c r="AF80" s="12">
        <f>'MCH2'!AF80/'MCH2'!AF3</f>
        <v>401.22465753424655</v>
      </c>
      <c r="AG80" s="12">
        <f>'MCH2'!AG80/'MCH2'!AG3</f>
        <v>357.61041009463725</v>
      </c>
      <c r="AH80" s="12">
        <f>'MCH2'!AH80/'MCH2'!AH3</f>
        <v>334.02199999999999</v>
      </c>
      <c r="AI80" s="12">
        <f>'MCH2'!AI80/'MCH2'!AI3</f>
        <v>437.05855263157895</v>
      </c>
      <c r="AJ80" s="12">
        <f>'MCH2'!AJ80/'MCH2'!AJ3</f>
        <v>588.62415254237283</v>
      </c>
      <c r="AK80" s="12">
        <f>'MCH2'!AK80/'MCH2'!AK3</f>
        <v>367.71602550478218</v>
      </c>
      <c r="AL80" s="12">
        <f>'MCH2'!AL80/'MCH2'!AL3</f>
        <v>405.24879712746855</v>
      </c>
      <c r="AM80" s="12">
        <f>'MCH2'!AM80/'MCH2'!AM3</f>
        <v>382.42050123253904</v>
      </c>
      <c r="AN80" s="12">
        <f>'MCH2'!AN80/'MCH2'!AN3</f>
        <v>306.18760683760684</v>
      </c>
      <c r="AO80" s="12">
        <f>'MCH2'!AO80/'MCH2'!AO3</f>
        <v>403.47780082987549</v>
      </c>
      <c r="AP80" s="12">
        <f>'MCH2'!AP80/'MCH2'!AP3</f>
        <v>301.97567999999995</v>
      </c>
      <c r="AQ80" s="12">
        <f>'MCH2'!AQ80/'MCH2'!AQ3</f>
        <v>263.35982567353403</v>
      </c>
      <c r="AR80" s="12">
        <f>'MCH2'!AR80/'MCH2'!AR3</f>
        <v>478.3883764705883</v>
      </c>
      <c r="AS80" s="12">
        <f>'MCH2'!AS80/'MCH2'!AS3</f>
        <v>364.59066852367687</v>
      </c>
      <c r="AT80" s="12">
        <f>'MCH2'!AT80/'MCH2'!AT3</f>
        <v>243.67401768172888</v>
      </c>
      <c r="AU80" s="12">
        <f>'MCH2'!AU80/'MCH2'!AU3</f>
        <v>300.86006825938568</v>
      </c>
      <c r="AV80" s="12">
        <f>'MCH2'!AV80/'MCH2'!AV3</f>
        <v>411.26609856262831</v>
      </c>
      <c r="AW80" s="12">
        <f>'MCH2'!AW80/'MCH2'!AW3</f>
        <v>386.09421119592872</v>
      </c>
      <c r="AX80" s="12">
        <f>'MCH2'!AX80/'MCH2'!AX3</f>
        <v>428.47250000000003</v>
      </c>
      <c r="AY80" s="12">
        <f>'MCH2'!AY80/'MCH2'!AY3</f>
        <v>440.17705705705703</v>
      </c>
      <c r="AZ80" s="12">
        <f>'MCH2'!AZ80/'MCH2'!AZ3</f>
        <v>390.03688769414578</v>
      </c>
      <c r="BA80" s="12">
        <f>'MCH2'!BA80/'MCH2'!BA3</f>
        <v>342.85166240409205</v>
      </c>
      <c r="BB80" s="12">
        <f>'MCH2'!BB80/'MCH2'!BB3</f>
        <v>464.28813688212927</v>
      </c>
      <c r="BC80" s="12">
        <f>'MCH2'!BC80/'MCH2'!BC3</f>
        <v>373.61854838709678</v>
      </c>
      <c r="BD80" s="12">
        <f>'MCH2'!BD80/'MCH2'!BD3</f>
        <v>455.7707747244217</v>
      </c>
      <c r="BE80" s="12">
        <f>'MCH2'!BE80/'MCH2'!BE3</f>
        <v>370.4903663003663</v>
      </c>
      <c r="BF80" s="12">
        <f t="shared" si="48"/>
        <v>19508.226193589129</v>
      </c>
      <c r="BG80" s="12">
        <f t="shared" si="49"/>
        <v>6293.7711002807391</v>
      </c>
      <c r="BH80" s="12">
        <f t="shared" si="50"/>
        <v>5333.4894819593392</v>
      </c>
      <c r="BI80" s="12">
        <f t="shared" si="51"/>
        <v>7880.965611349051</v>
      </c>
    </row>
    <row r="81" spans="2:61" x14ac:dyDescent="0.25">
      <c r="C81" s="7">
        <v>403</v>
      </c>
      <c r="D81" s="7" t="s">
        <v>140</v>
      </c>
      <c r="E81" s="12">
        <f>'MCH2'!E81/'MCH2'!E3</f>
        <v>13.97497371188223</v>
      </c>
      <c r="F81" s="12">
        <f>'MCH2'!F81/'MCH2'!F3</f>
        <v>20.2015503875969</v>
      </c>
      <c r="G81" s="12">
        <f>'MCH2'!G81/'MCH2'!G3</f>
        <v>12.368577494692145</v>
      </c>
      <c r="H81" s="12">
        <f>'MCH2'!H81/'MCH2'!H3</f>
        <v>6.5079365079365079</v>
      </c>
      <c r="I81" s="12">
        <f>'MCH2'!I81/'MCH2'!I3</f>
        <v>16.942864894194248</v>
      </c>
      <c r="J81" s="12">
        <f>'MCH2'!J81/'MCH2'!J3</f>
        <v>6.4820404467250228</v>
      </c>
      <c r="K81" s="12">
        <f>'MCH2'!K81/'MCH2'!K3</f>
        <v>8.2663526752072354</v>
      </c>
      <c r="L81" s="12">
        <f>'MCH2'!L81/'MCH2'!L3</f>
        <v>7.4485596707818926</v>
      </c>
      <c r="M81" s="12">
        <f>'MCH2'!M81/'MCH2'!M3</f>
        <v>3.8223529411764705</v>
      </c>
      <c r="N81" s="12">
        <f>'MCH2'!N81/'MCH2'!N3</f>
        <v>130.35401785714285</v>
      </c>
      <c r="O81" s="12">
        <f>'MCH2'!O81/'MCH2'!O3</f>
        <v>7.612597349364667</v>
      </c>
      <c r="P81" s="12">
        <f>'MCH2'!P81/'MCH2'!P3</f>
        <v>6.8796934865900381</v>
      </c>
      <c r="Q81" s="12">
        <f>'MCH2'!Q81/'MCH2'!Q3</f>
        <v>48.652830188679246</v>
      </c>
      <c r="R81" s="12">
        <f>'MCH2'!R81/'MCH2'!R3</f>
        <v>39.130117647058825</v>
      </c>
      <c r="S81" s="12">
        <f>'MCH2'!S81/'MCH2'!S3</f>
        <v>34.865714285714283</v>
      </c>
      <c r="T81" s="12">
        <f>'MCH2'!T81/'MCH2'!T3</f>
        <v>5.0886766712141887</v>
      </c>
      <c r="U81" s="12">
        <f>'MCH2'!U81/'MCH2'!U3</f>
        <v>44.706111111111113</v>
      </c>
      <c r="V81" s="12">
        <f>'MCH2'!V81/'MCH2'!V3</f>
        <v>14.381294964028777</v>
      </c>
      <c r="W81" s="12">
        <f>'MCH2'!W81/'MCH2'!W3</f>
        <v>12.825951293759513</v>
      </c>
      <c r="X81" s="12">
        <f>'MCH2'!X81/'MCH2'!X3</f>
        <v>105.31233766233767</v>
      </c>
      <c r="Y81" s="12">
        <f>'MCH2'!Y81/'MCH2'!Y3</f>
        <v>21.128537360890302</v>
      </c>
      <c r="Z81" s="12">
        <f>'MCH2'!Z81/'MCH2'!Z3</f>
        <v>8.0782152230971125</v>
      </c>
      <c r="AA81" s="12">
        <f>'MCH2'!AA81/'MCH2'!AA3</f>
        <v>24.137931034482758</v>
      </c>
      <c r="AB81" s="12">
        <f>'MCH2'!AB81/'MCH2'!AB3</f>
        <v>21.834615384615383</v>
      </c>
      <c r="AC81" s="12">
        <f>'MCH2'!AC81/'MCH2'!AC3</f>
        <v>22.838627450980393</v>
      </c>
      <c r="AD81" s="12">
        <f>'MCH2'!AD81/'MCH2'!AD3</f>
        <v>24.639148936170212</v>
      </c>
      <c r="AE81" s="12">
        <f>'MCH2'!AE81/'MCH2'!AE3</f>
        <v>66.91070780399275</v>
      </c>
      <c r="AF81" s="12">
        <f>'MCH2'!AF81/'MCH2'!AF3</f>
        <v>20.970254403131115</v>
      </c>
      <c r="AG81" s="12">
        <f>'MCH2'!AG81/'MCH2'!AG3</f>
        <v>13.839116719242902</v>
      </c>
      <c r="AH81" s="12">
        <f>'MCH2'!AH81/'MCH2'!AH3</f>
        <v>33.355378640776699</v>
      </c>
      <c r="AI81" s="12">
        <f>'MCH2'!AI81/'MCH2'!AI3</f>
        <v>38.219956140350874</v>
      </c>
      <c r="AJ81" s="12">
        <f>'MCH2'!AJ81/'MCH2'!AJ3</f>
        <v>359.96016949152545</v>
      </c>
      <c r="AK81" s="12">
        <f>'MCH2'!AK81/'MCH2'!AK3</f>
        <v>4.9946865037194472</v>
      </c>
      <c r="AL81" s="12">
        <f>'MCH2'!AL81/'MCH2'!AL3</f>
        <v>47.441651705565526</v>
      </c>
      <c r="AM81" s="12">
        <f>'MCH2'!AM81/'MCH2'!AM3</f>
        <v>18.316680361544783</v>
      </c>
      <c r="AN81" s="12">
        <f>'MCH2'!AN81/'MCH2'!AN3</f>
        <v>43.418803418803421</v>
      </c>
      <c r="AO81" s="12">
        <f>'MCH2'!AO81/'MCH2'!AO3</f>
        <v>1.7301244813278009</v>
      </c>
      <c r="AP81" s="12">
        <f>'MCH2'!AP81/'MCH2'!AP3</f>
        <v>19.631360000000001</v>
      </c>
      <c r="AQ81" s="12">
        <f>'MCH2'!AQ81/'MCH2'!AQ3</f>
        <v>12.171790808240887</v>
      </c>
      <c r="AR81" s="12">
        <f>'MCH2'!AR81/'MCH2'!AR3</f>
        <v>103.6518431372549</v>
      </c>
      <c r="AS81" s="12">
        <f>'MCH2'!AS81/'MCH2'!AS3</f>
        <v>5.0423398328690805</v>
      </c>
      <c r="AT81" s="12">
        <f>'MCH2'!AT81/'MCH2'!AT3</f>
        <v>14.926326129666013</v>
      </c>
      <c r="AU81" s="12">
        <f>'MCH2'!AU81/'MCH2'!AU3</f>
        <v>17.713310580204777</v>
      </c>
      <c r="AV81" s="12">
        <f>'MCH2'!AV81/'MCH2'!AV3</f>
        <v>5.5879260780287474</v>
      </c>
      <c r="AW81" s="12">
        <f>'MCH2'!AW81/'MCH2'!AW3</f>
        <v>5.886513994910942</v>
      </c>
      <c r="AX81" s="12">
        <f>'MCH2'!AX81/'MCH2'!AX3</f>
        <v>6.158423913043479</v>
      </c>
      <c r="AY81" s="12">
        <f>'MCH2'!AY81/'MCH2'!AY3</f>
        <v>17.642642642642642</v>
      </c>
      <c r="AZ81" s="12">
        <f>'MCH2'!AZ81/'MCH2'!AZ3</f>
        <v>13.562485065710872</v>
      </c>
      <c r="BA81" s="12">
        <f>'MCH2'!BA81/'MCH2'!BA3</f>
        <v>38.623017902813302</v>
      </c>
      <c r="BB81" s="12">
        <f>'MCH2'!BB81/'MCH2'!BB3</f>
        <v>72.209933460076044</v>
      </c>
      <c r="BC81" s="12">
        <f>'MCH2'!BC81/'MCH2'!BC3</f>
        <v>17.088172043010754</v>
      </c>
      <c r="BD81" s="12">
        <f>'MCH2'!BD81/'MCH2'!BD3</f>
        <v>10.115781710914455</v>
      </c>
      <c r="BE81" s="12">
        <f>'MCH2'!BE81/'MCH2'!BE3</f>
        <v>15.419047619047618</v>
      </c>
      <c r="BF81" s="12">
        <f t="shared" si="48"/>
        <v>1693.0700712258454</v>
      </c>
      <c r="BG81" s="12">
        <f t="shared" si="49"/>
        <v>440.51221358485611</v>
      </c>
      <c r="BH81" s="12">
        <f t="shared" si="50"/>
        <v>761.22499625159355</v>
      </c>
      <c r="BI81" s="12">
        <f t="shared" si="51"/>
        <v>491.33286138939548</v>
      </c>
    </row>
    <row r="82" spans="2:61" x14ac:dyDescent="0.25">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row>
    <row r="83" spans="2:61" x14ac:dyDescent="0.25">
      <c r="B83" s="68">
        <v>41</v>
      </c>
      <c r="C83" s="68"/>
      <c r="D83" s="68" t="s">
        <v>141</v>
      </c>
      <c r="E83" s="69">
        <f>E84+E85+E86+E87</f>
        <v>0</v>
      </c>
      <c r="F83" s="69">
        <f t="shared" ref="F83:BI83" si="52">F84+F85+F86+F87</f>
        <v>49.846744186046507</v>
      </c>
      <c r="G83" s="69">
        <f t="shared" si="52"/>
        <v>0</v>
      </c>
      <c r="H83" s="69">
        <f t="shared" si="52"/>
        <v>0</v>
      </c>
      <c r="I83" s="69">
        <f t="shared" si="52"/>
        <v>0</v>
      </c>
      <c r="J83" s="69">
        <f t="shared" si="52"/>
        <v>0</v>
      </c>
      <c r="K83" s="69">
        <f t="shared" si="52"/>
        <v>0</v>
      </c>
      <c r="L83" s="69">
        <f t="shared" si="52"/>
        <v>0</v>
      </c>
      <c r="M83" s="69">
        <f t="shared" si="52"/>
        <v>37.978676470588233</v>
      </c>
      <c r="N83" s="69">
        <f t="shared" si="52"/>
        <v>0</v>
      </c>
      <c r="O83" s="69">
        <f t="shared" si="52"/>
        <v>8.8662385571799422</v>
      </c>
      <c r="P83" s="69">
        <f t="shared" si="52"/>
        <v>20.565134099616859</v>
      </c>
      <c r="Q83" s="69">
        <f t="shared" si="52"/>
        <v>0</v>
      </c>
      <c r="R83" s="69">
        <f t="shared" si="52"/>
        <v>0</v>
      </c>
      <c r="S83" s="69">
        <f t="shared" si="52"/>
        <v>21.075428571428571</v>
      </c>
      <c r="T83" s="69">
        <f t="shared" si="52"/>
        <v>0</v>
      </c>
      <c r="U83" s="69">
        <f t="shared" si="52"/>
        <v>0</v>
      </c>
      <c r="V83" s="69">
        <f t="shared" si="52"/>
        <v>0</v>
      </c>
      <c r="W83" s="69">
        <f t="shared" si="52"/>
        <v>2.2018264840182646</v>
      </c>
      <c r="X83" s="69">
        <f t="shared" si="52"/>
        <v>0</v>
      </c>
      <c r="Y83" s="69">
        <f t="shared" si="52"/>
        <v>0</v>
      </c>
      <c r="Z83" s="69">
        <f t="shared" si="52"/>
        <v>335.36843832020998</v>
      </c>
      <c r="AA83" s="69">
        <f t="shared" si="52"/>
        <v>6.5287356321839081</v>
      </c>
      <c r="AB83" s="69">
        <f t="shared" si="52"/>
        <v>1.8717948717948718</v>
      </c>
      <c r="AC83" s="69">
        <f t="shared" si="52"/>
        <v>5.6954901960784312</v>
      </c>
      <c r="AD83" s="69">
        <f t="shared" si="52"/>
        <v>0</v>
      </c>
      <c r="AE83" s="69">
        <f t="shared" si="52"/>
        <v>0</v>
      </c>
      <c r="AF83" s="69">
        <f t="shared" si="52"/>
        <v>33.019569471624266</v>
      </c>
      <c r="AG83" s="69">
        <f t="shared" si="52"/>
        <v>5.5120399579390114</v>
      </c>
      <c r="AH83" s="69">
        <f t="shared" si="52"/>
        <v>27.807631067961164</v>
      </c>
      <c r="AI83" s="69">
        <f t="shared" si="52"/>
        <v>91.109429824561403</v>
      </c>
      <c r="AJ83" s="69">
        <f t="shared" si="52"/>
        <v>67.79661016949153</v>
      </c>
      <c r="AK83" s="69">
        <f t="shared" si="52"/>
        <v>0</v>
      </c>
      <c r="AL83" s="69">
        <f t="shared" si="52"/>
        <v>0</v>
      </c>
      <c r="AM83" s="69">
        <f t="shared" si="52"/>
        <v>0</v>
      </c>
      <c r="AN83" s="69">
        <f t="shared" si="52"/>
        <v>0</v>
      </c>
      <c r="AO83" s="69">
        <f t="shared" si="52"/>
        <v>0</v>
      </c>
      <c r="AP83" s="69">
        <f t="shared" si="52"/>
        <v>0</v>
      </c>
      <c r="AQ83" s="69">
        <f t="shared" si="52"/>
        <v>0</v>
      </c>
      <c r="AR83" s="69">
        <f t="shared" si="52"/>
        <v>0.25113725490196076</v>
      </c>
      <c r="AS83" s="69">
        <f t="shared" si="52"/>
        <v>1.9011838440111422</v>
      </c>
      <c r="AT83" s="69">
        <f t="shared" si="52"/>
        <v>58.128192534381142</v>
      </c>
      <c r="AU83" s="69">
        <f t="shared" si="52"/>
        <v>0</v>
      </c>
      <c r="AV83" s="69">
        <f t="shared" si="52"/>
        <v>3.6364887063655034</v>
      </c>
      <c r="AW83" s="69">
        <f t="shared" si="52"/>
        <v>0</v>
      </c>
      <c r="AX83" s="69">
        <f t="shared" si="52"/>
        <v>49.293478260869563</v>
      </c>
      <c r="AY83" s="69">
        <f t="shared" si="52"/>
        <v>0</v>
      </c>
      <c r="AZ83" s="69">
        <f t="shared" si="52"/>
        <v>4.4245519713261645</v>
      </c>
      <c r="BA83" s="69">
        <f t="shared" si="52"/>
        <v>0</v>
      </c>
      <c r="BB83" s="69">
        <f t="shared" si="52"/>
        <v>34.65712927756654</v>
      </c>
      <c r="BC83" s="69">
        <f t="shared" si="52"/>
        <v>59.305645161290322</v>
      </c>
      <c r="BD83" s="69">
        <f t="shared" si="52"/>
        <v>44.541965533302282</v>
      </c>
      <c r="BE83" s="69">
        <f t="shared" si="52"/>
        <v>1.5215201465201464</v>
      </c>
      <c r="BF83" s="69">
        <f t="shared" si="52"/>
        <v>972.9050805712576</v>
      </c>
      <c r="BG83" s="69">
        <f t="shared" si="52"/>
        <v>140.53404836887836</v>
      </c>
      <c r="BH83" s="69">
        <f t="shared" si="52"/>
        <v>574.70973951184453</v>
      </c>
      <c r="BI83" s="69">
        <f t="shared" si="52"/>
        <v>257.66129269053482</v>
      </c>
    </row>
    <row r="84" spans="2:61" x14ac:dyDescent="0.25">
      <c r="C84" s="7">
        <v>410</v>
      </c>
      <c r="D84" s="7" t="s">
        <v>142</v>
      </c>
      <c r="E84" s="12">
        <f>'MCH2'!E84/'MCH2'!E3</f>
        <v>0</v>
      </c>
      <c r="F84" s="12">
        <f>'MCH2'!F84/'MCH2'!F3</f>
        <v>0</v>
      </c>
      <c r="G84" s="12">
        <f>'MCH2'!G84/'MCH2'!G3</f>
        <v>0</v>
      </c>
      <c r="H84" s="12">
        <f>'MCH2'!H84/'MCH2'!H3</f>
        <v>0</v>
      </c>
      <c r="I84" s="12">
        <f>'MCH2'!I84/'MCH2'!I3</f>
        <v>0</v>
      </c>
      <c r="J84" s="12">
        <f>'MCH2'!J84/'MCH2'!J3</f>
        <v>0</v>
      </c>
      <c r="K84" s="12">
        <f>'MCH2'!K84/'MCH2'!K3</f>
        <v>0</v>
      </c>
      <c r="L84" s="12">
        <f>'MCH2'!L84/'MCH2'!L3</f>
        <v>0</v>
      </c>
      <c r="M84" s="12">
        <f>'MCH2'!M84/'MCH2'!M3</f>
        <v>0</v>
      </c>
      <c r="N84" s="12">
        <f>'MCH2'!N84/'MCH2'!N3</f>
        <v>0</v>
      </c>
      <c r="O84" s="12">
        <f>'MCH2'!O84/'MCH2'!O3</f>
        <v>0</v>
      </c>
      <c r="P84" s="12">
        <f>'MCH2'!P84/'MCH2'!P3</f>
        <v>0</v>
      </c>
      <c r="Q84" s="12">
        <f>'MCH2'!Q84/'MCH2'!Q3</f>
        <v>0</v>
      </c>
      <c r="R84" s="12">
        <f>'MCH2'!R84/'MCH2'!R3</f>
        <v>0</v>
      </c>
      <c r="S84" s="12">
        <f>'MCH2'!S84/'MCH2'!S3</f>
        <v>0</v>
      </c>
      <c r="T84" s="12">
        <f>'MCH2'!T84/'MCH2'!T3</f>
        <v>0</v>
      </c>
      <c r="U84" s="12">
        <f>'MCH2'!U84/'MCH2'!U3</f>
        <v>0</v>
      </c>
      <c r="V84" s="12">
        <f>'MCH2'!V84/'MCH2'!V3</f>
        <v>0</v>
      </c>
      <c r="W84" s="12">
        <f>'MCH2'!W84/'MCH2'!W3</f>
        <v>0</v>
      </c>
      <c r="X84" s="12">
        <f>'MCH2'!X84/'MCH2'!X3</f>
        <v>0</v>
      </c>
      <c r="Y84" s="12">
        <f>'MCH2'!Y84/'MCH2'!Y3</f>
        <v>0</v>
      </c>
      <c r="Z84" s="12">
        <f>'MCH2'!Z84/'MCH2'!Z3</f>
        <v>0</v>
      </c>
      <c r="AA84" s="12">
        <f>'MCH2'!AA84/'MCH2'!AA3</f>
        <v>0</v>
      </c>
      <c r="AB84" s="12">
        <f>'MCH2'!AB84/'MCH2'!AB3</f>
        <v>0</v>
      </c>
      <c r="AC84" s="12">
        <f>'MCH2'!AC84/'MCH2'!AC3</f>
        <v>0</v>
      </c>
      <c r="AD84" s="12">
        <f>'MCH2'!AD84/'MCH2'!AD3</f>
        <v>0</v>
      </c>
      <c r="AE84" s="12">
        <f>'MCH2'!AE84/'MCH2'!AE3</f>
        <v>0</v>
      </c>
      <c r="AF84" s="12">
        <f>'MCH2'!AF84/'MCH2'!AF3</f>
        <v>0</v>
      </c>
      <c r="AG84" s="12">
        <f>'MCH2'!AG84/'MCH2'!AG3</f>
        <v>0</v>
      </c>
      <c r="AH84" s="12">
        <f>'MCH2'!AH84/'MCH2'!AH3</f>
        <v>0</v>
      </c>
      <c r="AI84" s="12">
        <f>'MCH2'!AI84/'MCH2'!AI3</f>
        <v>0</v>
      </c>
      <c r="AJ84" s="12">
        <f>'MCH2'!AJ84/'MCH2'!AJ3</f>
        <v>0</v>
      </c>
      <c r="AK84" s="12">
        <f>'MCH2'!AK84/'MCH2'!AK3</f>
        <v>0</v>
      </c>
      <c r="AL84" s="12">
        <f>'MCH2'!AL84/'MCH2'!AL3</f>
        <v>0</v>
      </c>
      <c r="AM84" s="12">
        <f>'MCH2'!AM84/'MCH2'!AM3</f>
        <v>0</v>
      </c>
      <c r="AN84" s="12">
        <f>'MCH2'!AN84/'MCH2'!AN3</f>
        <v>0</v>
      </c>
      <c r="AO84" s="12">
        <f>'MCH2'!AO84/'MCH2'!AO3</f>
        <v>0</v>
      </c>
      <c r="AP84" s="12">
        <f>'MCH2'!AP84/'MCH2'!AP3</f>
        <v>0</v>
      </c>
      <c r="AQ84" s="12">
        <f>'MCH2'!AQ84/'MCH2'!AQ3</f>
        <v>0</v>
      </c>
      <c r="AR84" s="12">
        <f>'MCH2'!AR84/'MCH2'!AR3</f>
        <v>0</v>
      </c>
      <c r="AS84" s="12">
        <f>'MCH2'!AS84/'MCH2'!AS3</f>
        <v>1.6713091922005572</v>
      </c>
      <c r="AT84" s="12">
        <f>'MCH2'!AT84/'MCH2'!AT3</f>
        <v>0</v>
      </c>
      <c r="AU84" s="12">
        <f>'MCH2'!AU84/'MCH2'!AU3</f>
        <v>0</v>
      </c>
      <c r="AV84" s="12">
        <f>'MCH2'!AV84/'MCH2'!AV3</f>
        <v>0</v>
      </c>
      <c r="AW84" s="12">
        <f>'MCH2'!AW84/'MCH2'!AW3</f>
        <v>0</v>
      </c>
      <c r="AX84" s="12">
        <f>'MCH2'!AX84/'MCH2'!AX3</f>
        <v>0</v>
      </c>
      <c r="AY84" s="12">
        <f>'MCH2'!AY84/'MCH2'!AY3</f>
        <v>0</v>
      </c>
      <c r="AZ84" s="12">
        <f>'MCH2'!AZ84/'MCH2'!AZ3</f>
        <v>0</v>
      </c>
      <c r="BA84" s="12">
        <f>'MCH2'!BA84/'MCH2'!BA3</f>
        <v>0</v>
      </c>
      <c r="BB84" s="12">
        <f>'MCH2'!BB84/'MCH2'!BB3</f>
        <v>0</v>
      </c>
      <c r="BC84" s="12">
        <f>'MCH2'!BC84/'MCH2'!BC3</f>
        <v>0</v>
      </c>
      <c r="BD84" s="12">
        <f>'MCH2'!BD84/'MCH2'!BD3</f>
        <v>0</v>
      </c>
      <c r="BE84" s="12">
        <f>'MCH2'!BE84/'MCH2'!BE3</f>
        <v>0.45787545787545786</v>
      </c>
      <c r="BF84" s="12">
        <f t="shared" ref="BF84:BF87" si="53">SUM(E84:BE84)</f>
        <v>2.1291846500760152</v>
      </c>
      <c r="BG84" s="12">
        <f t="shared" ref="BG84:BG87" si="54">SUM(E84:W84)</f>
        <v>0</v>
      </c>
      <c r="BH84" s="12">
        <f t="shared" ref="BH84:BH87" si="55">SUM(X84:AJ84)</f>
        <v>0</v>
      </c>
      <c r="BI84" s="12">
        <f t="shared" ref="BI84:BI87" si="56">SUM(AK84:BE84)</f>
        <v>2.1291846500760152</v>
      </c>
    </row>
    <row r="85" spans="2:61" x14ac:dyDescent="0.25">
      <c r="C85" s="7">
        <v>411</v>
      </c>
      <c r="D85" s="7" t="s">
        <v>143</v>
      </c>
      <c r="E85" s="12">
        <f>'MCH2'!E85/'MCH2'!E3</f>
        <v>0</v>
      </c>
      <c r="F85" s="12">
        <f>'MCH2'!F85/'MCH2'!F3</f>
        <v>0</v>
      </c>
      <c r="G85" s="12">
        <f>'MCH2'!G85/'MCH2'!G3</f>
        <v>0</v>
      </c>
      <c r="H85" s="12">
        <f>'MCH2'!H85/'MCH2'!H3</f>
        <v>0</v>
      </c>
      <c r="I85" s="12">
        <f>'MCH2'!I85/'MCH2'!I3</f>
        <v>0</v>
      </c>
      <c r="J85" s="12">
        <f>'MCH2'!J85/'MCH2'!J3</f>
        <v>0</v>
      </c>
      <c r="K85" s="12">
        <f>'MCH2'!K85/'MCH2'!K3</f>
        <v>0</v>
      </c>
      <c r="L85" s="12">
        <f>'MCH2'!L85/'MCH2'!L3</f>
        <v>0</v>
      </c>
      <c r="M85" s="12">
        <f>'MCH2'!M85/'MCH2'!M3</f>
        <v>0</v>
      </c>
      <c r="N85" s="12">
        <f>'MCH2'!N85/'MCH2'!N3</f>
        <v>0</v>
      </c>
      <c r="O85" s="12">
        <f>'MCH2'!O85/'MCH2'!O3</f>
        <v>0</v>
      </c>
      <c r="P85" s="12">
        <f>'MCH2'!P85/'MCH2'!P3</f>
        <v>0</v>
      </c>
      <c r="Q85" s="12">
        <f>'MCH2'!Q85/'MCH2'!Q3</f>
        <v>0</v>
      </c>
      <c r="R85" s="12">
        <f>'MCH2'!R85/'MCH2'!R3</f>
        <v>0</v>
      </c>
      <c r="S85" s="12">
        <f>'MCH2'!S85/'MCH2'!S3</f>
        <v>0</v>
      </c>
      <c r="T85" s="12">
        <f>'MCH2'!T85/'MCH2'!T3</f>
        <v>0</v>
      </c>
      <c r="U85" s="12">
        <f>'MCH2'!U85/'MCH2'!U3</f>
        <v>0</v>
      </c>
      <c r="V85" s="12">
        <f>'MCH2'!V85/'MCH2'!V3</f>
        <v>0</v>
      </c>
      <c r="W85" s="12">
        <f>'MCH2'!W85/'MCH2'!W3</f>
        <v>0</v>
      </c>
      <c r="X85" s="12">
        <f>'MCH2'!X85/'MCH2'!X3</f>
        <v>0</v>
      </c>
      <c r="Y85" s="12">
        <f>'MCH2'!Y85/'MCH2'!Y3</f>
        <v>0</v>
      </c>
      <c r="Z85" s="12">
        <f>'MCH2'!Z85/'MCH2'!Z3</f>
        <v>0</v>
      </c>
      <c r="AA85" s="12">
        <f>'MCH2'!AA85/'MCH2'!AA3</f>
        <v>0</v>
      </c>
      <c r="AB85" s="12">
        <f>'MCH2'!AB85/'MCH2'!AB3</f>
        <v>0</v>
      </c>
      <c r="AC85" s="12">
        <f>'MCH2'!AC85/'MCH2'!AC3</f>
        <v>0</v>
      </c>
      <c r="AD85" s="12">
        <f>'MCH2'!AD85/'MCH2'!AD3</f>
        <v>0</v>
      </c>
      <c r="AE85" s="12">
        <f>'MCH2'!AE85/'MCH2'!AE3</f>
        <v>0</v>
      </c>
      <c r="AF85" s="12">
        <f>'MCH2'!AF85/'MCH2'!AF3</f>
        <v>0</v>
      </c>
      <c r="AG85" s="12">
        <f>'MCH2'!AG85/'MCH2'!AG3</f>
        <v>0</v>
      </c>
      <c r="AH85" s="12">
        <f>'MCH2'!AH85/'MCH2'!AH3</f>
        <v>0</v>
      </c>
      <c r="AI85" s="12">
        <f>'MCH2'!AI85/'MCH2'!AI3</f>
        <v>0</v>
      </c>
      <c r="AJ85" s="12">
        <f>'MCH2'!AJ85/'MCH2'!AJ3</f>
        <v>0</v>
      </c>
      <c r="AK85" s="12">
        <f>'MCH2'!AK85/'MCH2'!AK3</f>
        <v>0</v>
      </c>
      <c r="AL85" s="12">
        <f>'MCH2'!AL85/'MCH2'!AL3</f>
        <v>0</v>
      </c>
      <c r="AM85" s="12">
        <f>'MCH2'!AM85/'MCH2'!AM3</f>
        <v>0</v>
      </c>
      <c r="AN85" s="12">
        <f>'MCH2'!AN85/'MCH2'!AN3</f>
        <v>0</v>
      </c>
      <c r="AO85" s="12">
        <f>'MCH2'!AO85/'MCH2'!AO3</f>
        <v>0</v>
      </c>
      <c r="AP85" s="12">
        <f>'MCH2'!AP85/'MCH2'!AP3</f>
        <v>0</v>
      </c>
      <c r="AQ85" s="12">
        <f>'MCH2'!AQ85/'MCH2'!AQ3</f>
        <v>0</v>
      </c>
      <c r="AR85" s="12">
        <f>'MCH2'!AR85/'MCH2'!AR3</f>
        <v>0</v>
      </c>
      <c r="AS85" s="12">
        <f>'MCH2'!AS85/'MCH2'!AS3</f>
        <v>0</v>
      </c>
      <c r="AT85" s="12">
        <f>'MCH2'!AT85/'MCH2'!AT3</f>
        <v>0</v>
      </c>
      <c r="AU85" s="12">
        <f>'MCH2'!AU85/'MCH2'!AU3</f>
        <v>0</v>
      </c>
      <c r="AV85" s="12">
        <f>'MCH2'!AV85/'MCH2'!AV3</f>
        <v>0</v>
      </c>
      <c r="AW85" s="12">
        <f>'MCH2'!AW85/'MCH2'!AW3</f>
        <v>0</v>
      </c>
      <c r="AX85" s="12">
        <f>'MCH2'!AX85/'MCH2'!AX3</f>
        <v>0</v>
      </c>
      <c r="AY85" s="12">
        <f>'MCH2'!AY85/'MCH2'!AY3</f>
        <v>0</v>
      </c>
      <c r="AZ85" s="12">
        <f>'MCH2'!AZ85/'MCH2'!AZ3</f>
        <v>0</v>
      </c>
      <c r="BA85" s="12">
        <f>'MCH2'!BA85/'MCH2'!BA3</f>
        <v>0</v>
      </c>
      <c r="BB85" s="12">
        <f>'MCH2'!BB85/'MCH2'!BB3</f>
        <v>0</v>
      </c>
      <c r="BC85" s="12">
        <f>'MCH2'!BC85/'MCH2'!BC3</f>
        <v>0</v>
      </c>
      <c r="BD85" s="12">
        <f>'MCH2'!BD85/'MCH2'!BD3</f>
        <v>0</v>
      </c>
      <c r="BE85" s="12">
        <f>'MCH2'!BE85/'MCH2'!BE3</f>
        <v>0</v>
      </c>
      <c r="BF85" s="12">
        <f t="shared" si="53"/>
        <v>0</v>
      </c>
      <c r="BG85" s="12">
        <f t="shared" si="54"/>
        <v>0</v>
      </c>
      <c r="BH85" s="12">
        <f t="shared" si="55"/>
        <v>0</v>
      </c>
      <c r="BI85" s="12">
        <f t="shared" si="56"/>
        <v>0</v>
      </c>
    </row>
    <row r="86" spans="2:61" x14ac:dyDescent="0.25">
      <c r="C86" s="7">
        <v>412</v>
      </c>
      <c r="D86" s="7" t="s">
        <v>144</v>
      </c>
      <c r="E86" s="12">
        <f>'MCH2'!E86/'MCH2'!E3</f>
        <v>0</v>
      </c>
      <c r="F86" s="12">
        <f>'MCH2'!F86/'MCH2'!F3</f>
        <v>49.846744186046507</v>
      </c>
      <c r="G86" s="12">
        <f>'MCH2'!G86/'MCH2'!G3</f>
        <v>0</v>
      </c>
      <c r="H86" s="12">
        <f>'MCH2'!H86/'MCH2'!H3</f>
        <v>0</v>
      </c>
      <c r="I86" s="12">
        <f>'MCH2'!I86/'MCH2'!I3</f>
        <v>0</v>
      </c>
      <c r="J86" s="12">
        <f>'MCH2'!J86/'MCH2'!J3</f>
        <v>0</v>
      </c>
      <c r="K86" s="12">
        <f>'MCH2'!K86/'MCH2'!K3</f>
        <v>0</v>
      </c>
      <c r="L86" s="12">
        <f>'MCH2'!L86/'MCH2'!L3</f>
        <v>0</v>
      </c>
      <c r="M86" s="12">
        <f>'MCH2'!M86/'MCH2'!M3</f>
        <v>37.978676470588233</v>
      </c>
      <c r="N86" s="12">
        <f>'MCH2'!N86/'MCH2'!N3</f>
        <v>0</v>
      </c>
      <c r="O86" s="12">
        <f>'MCH2'!O86/'MCH2'!O3</f>
        <v>8.8662385571799422</v>
      </c>
      <c r="P86" s="12">
        <f>'MCH2'!P86/'MCH2'!P3</f>
        <v>20.565134099616859</v>
      </c>
      <c r="Q86" s="12">
        <f>'MCH2'!Q86/'MCH2'!Q3</f>
        <v>0</v>
      </c>
      <c r="R86" s="12">
        <f>'MCH2'!R86/'MCH2'!R3</f>
        <v>0</v>
      </c>
      <c r="S86" s="12">
        <f>'MCH2'!S86/'MCH2'!S3</f>
        <v>21.075428571428571</v>
      </c>
      <c r="T86" s="12">
        <f>'MCH2'!T86/'MCH2'!T3</f>
        <v>0</v>
      </c>
      <c r="U86" s="12">
        <f>'MCH2'!U86/'MCH2'!U3</f>
        <v>0</v>
      </c>
      <c r="V86" s="12">
        <f>'MCH2'!V86/'MCH2'!V3</f>
        <v>0</v>
      </c>
      <c r="W86" s="12">
        <f>'MCH2'!W86/'MCH2'!W3</f>
        <v>2.2018264840182646</v>
      </c>
      <c r="X86" s="12">
        <f>'MCH2'!X86/'MCH2'!X3</f>
        <v>0</v>
      </c>
      <c r="Y86" s="12">
        <f>'MCH2'!Y86/'MCH2'!Y3</f>
        <v>0</v>
      </c>
      <c r="Z86" s="12">
        <f>'MCH2'!Z86/'MCH2'!Z3</f>
        <v>335.36843832020998</v>
      </c>
      <c r="AA86" s="12">
        <f>'MCH2'!AA86/'MCH2'!AA3</f>
        <v>6.5287356321839081</v>
      </c>
      <c r="AB86" s="12">
        <f>'MCH2'!AB86/'MCH2'!AB3</f>
        <v>1.8717948717948718</v>
      </c>
      <c r="AC86" s="12">
        <f>'MCH2'!AC86/'MCH2'!AC3</f>
        <v>5.6954901960784312</v>
      </c>
      <c r="AD86" s="12">
        <f>'MCH2'!AD86/'MCH2'!AD3</f>
        <v>0</v>
      </c>
      <c r="AE86" s="12">
        <f>'MCH2'!AE86/'MCH2'!AE3</f>
        <v>0</v>
      </c>
      <c r="AF86" s="12">
        <f>'MCH2'!AF86/'MCH2'!AF3</f>
        <v>33.019569471624266</v>
      </c>
      <c r="AG86" s="12">
        <f>'MCH2'!AG86/'MCH2'!AG3</f>
        <v>5.5120399579390114</v>
      </c>
      <c r="AH86" s="12">
        <f>'MCH2'!AH86/'MCH2'!AH3</f>
        <v>27.807631067961164</v>
      </c>
      <c r="AI86" s="12">
        <f>'MCH2'!AI86/'MCH2'!AI3</f>
        <v>91.109429824561403</v>
      </c>
      <c r="AJ86" s="12">
        <f>'MCH2'!AJ86/'MCH2'!AJ3</f>
        <v>67.79661016949153</v>
      </c>
      <c r="AK86" s="12">
        <f>'MCH2'!AK86/'MCH2'!AK3</f>
        <v>0</v>
      </c>
      <c r="AL86" s="12">
        <f>'MCH2'!AL86/'MCH2'!AL3</f>
        <v>0</v>
      </c>
      <c r="AM86" s="12">
        <f>'MCH2'!AM86/'MCH2'!AM3</f>
        <v>0</v>
      </c>
      <c r="AN86" s="12">
        <f>'MCH2'!AN86/'MCH2'!AN3</f>
        <v>0</v>
      </c>
      <c r="AO86" s="12">
        <f>'MCH2'!AO86/'MCH2'!AO3</f>
        <v>0</v>
      </c>
      <c r="AP86" s="12">
        <f>'MCH2'!AP86/'MCH2'!AP3</f>
        <v>0</v>
      </c>
      <c r="AQ86" s="12">
        <f>'MCH2'!AQ86/'MCH2'!AQ3</f>
        <v>0</v>
      </c>
      <c r="AR86" s="12">
        <f>'MCH2'!AR86/'MCH2'!AR3</f>
        <v>0.25113725490196076</v>
      </c>
      <c r="AS86" s="12">
        <f>'MCH2'!AS86/'MCH2'!AS3</f>
        <v>0.22987465181058497</v>
      </c>
      <c r="AT86" s="12">
        <f>'MCH2'!AT86/'MCH2'!AT3</f>
        <v>58.128192534381142</v>
      </c>
      <c r="AU86" s="12">
        <f>'MCH2'!AU86/'MCH2'!AU3</f>
        <v>0</v>
      </c>
      <c r="AV86" s="12">
        <f>'MCH2'!AV86/'MCH2'!AV3</f>
        <v>3.6364887063655034</v>
      </c>
      <c r="AW86" s="12">
        <f>'MCH2'!AW86/'MCH2'!AW3</f>
        <v>0</v>
      </c>
      <c r="AX86" s="12">
        <f>'MCH2'!AX86/'MCH2'!AX3</f>
        <v>49.293478260869563</v>
      </c>
      <c r="AY86" s="12">
        <f>'MCH2'!AY86/'MCH2'!AY3</f>
        <v>0</v>
      </c>
      <c r="AZ86" s="12">
        <f>'MCH2'!AZ86/'MCH2'!AZ3</f>
        <v>4.4245519713261645</v>
      </c>
      <c r="BA86" s="12">
        <f>'MCH2'!BA86/'MCH2'!BA3</f>
        <v>0</v>
      </c>
      <c r="BB86" s="12">
        <f>'MCH2'!BB86/'MCH2'!BB3</f>
        <v>34.65712927756654</v>
      </c>
      <c r="BC86" s="12">
        <f>'MCH2'!BC86/'MCH2'!BC3</f>
        <v>59.305645161290322</v>
      </c>
      <c r="BD86" s="12">
        <f>'MCH2'!BD86/'MCH2'!BD3</f>
        <v>44.541965533302282</v>
      </c>
      <c r="BE86" s="12">
        <f>'MCH2'!BE86/'MCH2'!BE3</f>
        <v>1.0636446886446886</v>
      </c>
      <c r="BF86" s="12">
        <f t="shared" si="53"/>
        <v>970.77589592118159</v>
      </c>
      <c r="BG86" s="12">
        <f t="shared" si="54"/>
        <v>140.53404836887836</v>
      </c>
      <c r="BH86" s="12">
        <f t="shared" si="55"/>
        <v>574.70973951184453</v>
      </c>
      <c r="BI86" s="12">
        <f t="shared" si="56"/>
        <v>255.53210804045878</v>
      </c>
    </row>
    <row r="87" spans="2:61" x14ac:dyDescent="0.25">
      <c r="C87" s="7">
        <v>413</v>
      </c>
      <c r="D87" s="7" t="s">
        <v>145</v>
      </c>
      <c r="E87" s="12">
        <f>'MCH2'!E87/'MCH2'!E3</f>
        <v>0</v>
      </c>
      <c r="F87" s="12">
        <f>'MCH2'!F87/'MCH2'!F3</f>
        <v>0</v>
      </c>
      <c r="G87" s="12">
        <f>'MCH2'!G87/'MCH2'!G3</f>
        <v>0</v>
      </c>
      <c r="H87" s="12">
        <f>'MCH2'!H87/'MCH2'!H3</f>
        <v>0</v>
      </c>
      <c r="I87" s="12">
        <f>'MCH2'!I87/'MCH2'!I3</f>
        <v>0</v>
      </c>
      <c r="J87" s="12">
        <f>'MCH2'!J87/'MCH2'!J3</f>
        <v>0</v>
      </c>
      <c r="K87" s="12">
        <f>'MCH2'!K87/'MCH2'!K3</f>
        <v>0</v>
      </c>
      <c r="L87" s="12">
        <f>'MCH2'!L87/'MCH2'!L3</f>
        <v>0</v>
      </c>
      <c r="M87" s="12">
        <f>'MCH2'!M87/'MCH2'!M3</f>
        <v>0</v>
      </c>
      <c r="N87" s="12">
        <f>'MCH2'!N87/'MCH2'!N3</f>
        <v>0</v>
      </c>
      <c r="O87" s="12">
        <f>'MCH2'!O87/'MCH2'!O3</f>
        <v>0</v>
      </c>
      <c r="P87" s="12">
        <f>'MCH2'!P87/'MCH2'!P3</f>
        <v>0</v>
      </c>
      <c r="Q87" s="12">
        <f>'MCH2'!Q87/'MCH2'!Q3</f>
        <v>0</v>
      </c>
      <c r="R87" s="12">
        <f>'MCH2'!R87/'MCH2'!R3</f>
        <v>0</v>
      </c>
      <c r="S87" s="12">
        <f>'MCH2'!S87/'MCH2'!S3</f>
        <v>0</v>
      </c>
      <c r="T87" s="12">
        <f>'MCH2'!T87/'MCH2'!T3</f>
        <v>0</v>
      </c>
      <c r="U87" s="12">
        <f>'MCH2'!U87/'MCH2'!U3</f>
        <v>0</v>
      </c>
      <c r="V87" s="12">
        <f>'MCH2'!V87/'MCH2'!V3</f>
        <v>0</v>
      </c>
      <c r="W87" s="12">
        <f>'MCH2'!W87/'MCH2'!W3</f>
        <v>0</v>
      </c>
      <c r="X87" s="12">
        <f>'MCH2'!X87/'MCH2'!X3</f>
        <v>0</v>
      </c>
      <c r="Y87" s="12">
        <f>'MCH2'!Y87/'MCH2'!Y3</f>
        <v>0</v>
      </c>
      <c r="Z87" s="12">
        <f>'MCH2'!Z87/'MCH2'!Z3</f>
        <v>0</v>
      </c>
      <c r="AA87" s="12">
        <f>'MCH2'!AA87/'MCH2'!AA3</f>
        <v>0</v>
      </c>
      <c r="AB87" s="12">
        <f>'MCH2'!AB87/'MCH2'!AB3</f>
        <v>0</v>
      </c>
      <c r="AC87" s="12">
        <f>'MCH2'!AC87/'MCH2'!AC3</f>
        <v>0</v>
      </c>
      <c r="AD87" s="12">
        <f>'MCH2'!AD87/'MCH2'!AD3</f>
        <v>0</v>
      </c>
      <c r="AE87" s="12">
        <f>'MCH2'!AE87/'MCH2'!AE3</f>
        <v>0</v>
      </c>
      <c r="AF87" s="12">
        <f>'MCH2'!AF87/'MCH2'!AF3</f>
        <v>0</v>
      </c>
      <c r="AG87" s="12">
        <f>'MCH2'!AG87/'MCH2'!AG3</f>
        <v>0</v>
      </c>
      <c r="AH87" s="12">
        <f>'MCH2'!AH87/'MCH2'!AH3</f>
        <v>0</v>
      </c>
      <c r="AI87" s="12">
        <f>'MCH2'!AI87/'MCH2'!AI3</f>
        <v>0</v>
      </c>
      <c r="AJ87" s="12">
        <f>'MCH2'!AJ87/'MCH2'!AJ3</f>
        <v>0</v>
      </c>
      <c r="AK87" s="12">
        <f>'MCH2'!AK87/'MCH2'!AK3</f>
        <v>0</v>
      </c>
      <c r="AL87" s="12">
        <f>'MCH2'!AL87/'MCH2'!AL3</f>
        <v>0</v>
      </c>
      <c r="AM87" s="12">
        <f>'MCH2'!AM87/'MCH2'!AM3</f>
        <v>0</v>
      </c>
      <c r="AN87" s="12">
        <f>'MCH2'!AN87/'MCH2'!AN3</f>
        <v>0</v>
      </c>
      <c r="AO87" s="12">
        <f>'MCH2'!AO87/'MCH2'!AO3</f>
        <v>0</v>
      </c>
      <c r="AP87" s="12">
        <f>'MCH2'!AP87/'MCH2'!AP3</f>
        <v>0</v>
      </c>
      <c r="AQ87" s="12">
        <f>'MCH2'!AQ87/'MCH2'!AQ3</f>
        <v>0</v>
      </c>
      <c r="AR87" s="12">
        <f>'MCH2'!AR87/'MCH2'!AR3</f>
        <v>0</v>
      </c>
      <c r="AS87" s="12">
        <f>'MCH2'!AS87/'MCH2'!AS3</f>
        <v>0</v>
      </c>
      <c r="AT87" s="12">
        <f>'MCH2'!AT87/'MCH2'!AT3</f>
        <v>0</v>
      </c>
      <c r="AU87" s="12">
        <f>'MCH2'!AU87/'MCH2'!AU3</f>
        <v>0</v>
      </c>
      <c r="AV87" s="12">
        <f>'MCH2'!AV87/'MCH2'!AV3</f>
        <v>0</v>
      </c>
      <c r="AW87" s="12">
        <f>'MCH2'!AW87/'MCH2'!AW3</f>
        <v>0</v>
      </c>
      <c r="AX87" s="12">
        <f>'MCH2'!AX87/'MCH2'!AX3</f>
        <v>0</v>
      </c>
      <c r="AY87" s="12">
        <f>'MCH2'!AY87/'MCH2'!AY3</f>
        <v>0</v>
      </c>
      <c r="AZ87" s="12">
        <f>'MCH2'!AZ87/'MCH2'!AZ3</f>
        <v>0</v>
      </c>
      <c r="BA87" s="12">
        <f>'MCH2'!BA87/'MCH2'!BA3</f>
        <v>0</v>
      </c>
      <c r="BB87" s="12">
        <f>'MCH2'!BB87/'MCH2'!BB3</f>
        <v>0</v>
      </c>
      <c r="BC87" s="12">
        <f>'MCH2'!BC87/'MCH2'!BC3</f>
        <v>0</v>
      </c>
      <c r="BD87" s="12">
        <f>'MCH2'!BD87/'MCH2'!BD3</f>
        <v>0</v>
      </c>
      <c r="BE87" s="12">
        <f>'MCH2'!BE87/'MCH2'!BE3</f>
        <v>0</v>
      </c>
      <c r="BF87" s="12">
        <f t="shared" si="53"/>
        <v>0</v>
      </c>
      <c r="BG87" s="12">
        <f t="shared" si="54"/>
        <v>0</v>
      </c>
      <c r="BH87" s="12">
        <f t="shared" si="55"/>
        <v>0</v>
      </c>
      <c r="BI87" s="12">
        <f t="shared" si="56"/>
        <v>0</v>
      </c>
    </row>
    <row r="88" spans="2:61" x14ac:dyDescent="0.25">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row>
    <row r="89" spans="2:61" x14ac:dyDescent="0.25">
      <c r="B89" s="68">
        <v>42</v>
      </c>
      <c r="C89" s="68"/>
      <c r="D89" s="68" t="s">
        <v>146</v>
      </c>
      <c r="E89" s="69">
        <f>E90+E91+E92+E93+E94+E95+E96+E97+E98</f>
        <v>797.63543638275485</v>
      </c>
      <c r="F89" s="69">
        <f t="shared" ref="F89:BI89" si="57">F90+F91+F92+F93+F94+F95+F96+F97+F98</f>
        <v>772.85996124030999</v>
      </c>
      <c r="G89" s="69">
        <f t="shared" si="57"/>
        <v>426.09554140127386</v>
      </c>
      <c r="H89" s="69">
        <f t="shared" si="57"/>
        <v>1228.0244444444443</v>
      </c>
      <c r="I89" s="69">
        <f t="shared" si="57"/>
        <v>1165.4336652197505</v>
      </c>
      <c r="J89" s="69">
        <f t="shared" si="57"/>
        <v>1075.6500211288862</v>
      </c>
      <c r="K89" s="69">
        <f t="shared" si="57"/>
        <v>767.51205350414466</v>
      </c>
      <c r="L89" s="69">
        <f t="shared" si="57"/>
        <v>2810.6552999366886</v>
      </c>
      <c r="M89" s="69">
        <f t="shared" si="57"/>
        <v>1743.874580882353</v>
      </c>
      <c r="N89" s="69">
        <f t="shared" si="57"/>
        <v>397.15008928571433</v>
      </c>
      <c r="O89" s="69">
        <f t="shared" si="57"/>
        <v>631.93337614428197</v>
      </c>
      <c r="P89" s="69">
        <f t="shared" si="57"/>
        <v>447.38118773946354</v>
      </c>
      <c r="Q89" s="69">
        <f t="shared" si="57"/>
        <v>479.05896226415098</v>
      </c>
      <c r="R89" s="69">
        <f t="shared" si="57"/>
        <v>472.69160000000005</v>
      </c>
      <c r="S89" s="69">
        <f t="shared" si="57"/>
        <v>764.84271428571435</v>
      </c>
      <c r="T89" s="69">
        <f t="shared" si="57"/>
        <v>1246.6560845839019</v>
      </c>
      <c r="U89" s="69">
        <f t="shared" si="57"/>
        <v>776.78685185185179</v>
      </c>
      <c r="V89" s="69">
        <f t="shared" si="57"/>
        <v>642.67282973621104</v>
      </c>
      <c r="W89" s="69">
        <f t="shared" si="57"/>
        <v>538.66585388127851</v>
      </c>
      <c r="X89" s="69">
        <f t="shared" si="57"/>
        <v>1335.6430194805196</v>
      </c>
      <c r="Y89" s="69">
        <f t="shared" si="57"/>
        <v>933.14151033386327</v>
      </c>
      <c r="Z89" s="69">
        <f t="shared" si="57"/>
        <v>1210.4647965879265</v>
      </c>
      <c r="AA89" s="69">
        <f t="shared" si="57"/>
        <v>868.7971264367817</v>
      </c>
      <c r="AB89" s="69">
        <f t="shared" si="57"/>
        <v>1569.363782051282</v>
      </c>
      <c r="AC89" s="69">
        <f t="shared" si="57"/>
        <v>1379.1288235294116</v>
      </c>
      <c r="AD89" s="69">
        <f t="shared" si="57"/>
        <v>1017.8875319148935</v>
      </c>
      <c r="AE89" s="69">
        <f t="shared" si="57"/>
        <v>1086.3214882032669</v>
      </c>
      <c r="AF89" s="69">
        <f t="shared" si="57"/>
        <v>1627.5237573385516</v>
      </c>
      <c r="AG89" s="69">
        <f t="shared" si="57"/>
        <v>1066.48047318612</v>
      </c>
      <c r="AH89" s="69">
        <f t="shared" si="57"/>
        <v>1144.915141747573</v>
      </c>
      <c r="AI89" s="69">
        <f t="shared" si="57"/>
        <v>1272.5910087719299</v>
      </c>
      <c r="AJ89" s="69">
        <f t="shared" si="57"/>
        <v>1169.8097457627118</v>
      </c>
      <c r="AK89" s="69">
        <f t="shared" si="57"/>
        <v>690.88014877789578</v>
      </c>
      <c r="AL89" s="69">
        <f t="shared" si="57"/>
        <v>1007.3650359066428</v>
      </c>
      <c r="AM89" s="69">
        <f t="shared" si="57"/>
        <v>582.45665571076427</v>
      </c>
      <c r="AN89" s="69">
        <f t="shared" si="57"/>
        <v>1458.7905982905984</v>
      </c>
      <c r="AO89" s="69">
        <f t="shared" si="57"/>
        <v>1085.3004232365145</v>
      </c>
      <c r="AP89" s="69">
        <f t="shared" si="57"/>
        <v>1417.524672</v>
      </c>
      <c r="AQ89" s="69">
        <f t="shared" si="57"/>
        <v>601.44572107765464</v>
      </c>
      <c r="AR89" s="69">
        <f t="shared" si="57"/>
        <v>769.38765490196067</v>
      </c>
      <c r="AS89" s="69">
        <f t="shared" si="57"/>
        <v>826.45977715877439</v>
      </c>
      <c r="AT89" s="69">
        <f t="shared" si="57"/>
        <v>760.36520628683695</v>
      </c>
      <c r="AU89" s="69">
        <f t="shared" si="57"/>
        <v>1261.9767235494883</v>
      </c>
      <c r="AV89" s="69">
        <f t="shared" si="57"/>
        <v>528.17519507186876</v>
      </c>
      <c r="AW89" s="69">
        <f t="shared" si="57"/>
        <v>595.46580152671754</v>
      </c>
      <c r="AX89" s="69">
        <f t="shared" si="57"/>
        <v>945.69103260869554</v>
      </c>
      <c r="AY89" s="69">
        <f t="shared" si="57"/>
        <v>706.6912312312312</v>
      </c>
      <c r="AZ89" s="69">
        <f t="shared" si="57"/>
        <v>594.46968339307045</v>
      </c>
      <c r="BA89" s="69">
        <f t="shared" si="57"/>
        <v>856.90575447570347</v>
      </c>
      <c r="BB89" s="69">
        <f t="shared" si="57"/>
        <v>998.44775665399231</v>
      </c>
      <c r="BC89" s="69">
        <f t="shared" si="57"/>
        <v>947.03876344086029</v>
      </c>
      <c r="BD89" s="69">
        <f t="shared" si="57"/>
        <v>1046.5153081819594</v>
      </c>
      <c r="BE89" s="69">
        <f t="shared" si="57"/>
        <v>776.51232600732601</v>
      </c>
      <c r="BF89" s="69">
        <f t="shared" si="57"/>
        <v>51325.514228746557</v>
      </c>
      <c r="BG89" s="69">
        <f t="shared" si="57"/>
        <v>17185.580553913169</v>
      </c>
      <c r="BH89" s="69">
        <f t="shared" si="57"/>
        <v>15682.068205344831</v>
      </c>
      <c r="BI89" s="69">
        <f t="shared" si="57"/>
        <v>18457.865469488559</v>
      </c>
    </row>
    <row r="90" spans="2:61" x14ac:dyDescent="0.25">
      <c r="C90" s="7">
        <v>420</v>
      </c>
      <c r="D90" s="7" t="s">
        <v>147</v>
      </c>
      <c r="E90" s="12">
        <f>'MCH2'!E90/'MCH2'!E3</f>
        <v>38.240168243953732</v>
      </c>
      <c r="F90" s="12">
        <f>'MCH2'!F90/'MCH2'!F3</f>
        <v>33.143217054263566</v>
      </c>
      <c r="G90" s="12">
        <f>'MCH2'!G90/'MCH2'!G3</f>
        <v>44.72632696390658</v>
      </c>
      <c r="H90" s="12">
        <f>'MCH2'!H90/'MCH2'!H3</f>
        <v>34.468367346938777</v>
      </c>
      <c r="I90" s="12">
        <f>'MCH2'!I90/'MCH2'!I3</f>
        <v>46.12574606619642</v>
      </c>
      <c r="J90" s="12">
        <f>'MCH2'!J90/'MCH2'!J3</f>
        <v>45.800452761847268</v>
      </c>
      <c r="K90" s="12">
        <f>'MCH2'!K90/'MCH2'!K3</f>
        <v>50.575207234363226</v>
      </c>
      <c r="L90" s="12">
        <f>'MCH2'!L90/'MCH2'!L3</f>
        <v>41.250985280151944</v>
      </c>
      <c r="M90" s="12">
        <f>'MCH2'!M90/'MCH2'!M3</f>
        <v>42.605404411764702</v>
      </c>
      <c r="N90" s="12">
        <f>'MCH2'!N90/'MCH2'!N3</f>
        <v>9.0544642857142854</v>
      </c>
      <c r="O90" s="12">
        <f>'MCH2'!O90/'MCH2'!O3</f>
        <v>40.069797786582861</v>
      </c>
      <c r="P90" s="12">
        <f>'MCH2'!P90/'MCH2'!P3</f>
        <v>32.298563218390804</v>
      </c>
      <c r="Q90" s="12">
        <f>'MCH2'!Q90/'MCH2'!Q3</f>
        <v>25.394811320754716</v>
      </c>
      <c r="R90" s="12">
        <f>'MCH2'!R90/'MCH2'!R3</f>
        <v>37.349411764705884</v>
      </c>
      <c r="S90" s="12">
        <f>'MCH2'!S90/'MCH2'!S3</f>
        <v>30.622714285714288</v>
      </c>
      <c r="T90" s="12">
        <f>'MCH2'!T90/'MCH2'!T3</f>
        <v>58.201909959072303</v>
      </c>
      <c r="U90" s="12">
        <f>'MCH2'!U90/'MCH2'!U3</f>
        <v>41.851296296296297</v>
      </c>
      <c r="V90" s="12">
        <f>'MCH2'!V90/'MCH2'!V3</f>
        <v>46.514508393285368</v>
      </c>
      <c r="W90" s="12">
        <f>'MCH2'!W90/'MCH2'!W3</f>
        <v>34.846438356164384</v>
      </c>
      <c r="X90" s="12">
        <f>'MCH2'!X90/'MCH2'!X3</f>
        <v>23.32207792207792</v>
      </c>
      <c r="Y90" s="12">
        <f>'MCH2'!Y90/'MCH2'!Y3</f>
        <v>37.568243243243245</v>
      </c>
      <c r="Z90" s="12">
        <f>'MCH2'!Z90/'MCH2'!Z3</f>
        <v>41.892979002624671</v>
      </c>
      <c r="AA90" s="12">
        <f>'MCH2'!AA90/'MCH2'!AA3</f>
        <v>46.175862068965522</v>
      </c>
      <c r="AB90" s="12">
        <f>'MCH2'!AB90/'MCH2'!AB3</f>
        <v>34.027243589743591</v>
      </c>
      <c r="AC90" s="12">
        <f>'MCH2'!AC90/'MCH2'!AC3</f>
        <v>33.682647058823534</v>
      </c>
      <c r="AD90" s="12">
        <f>'MCH2'!AD90/'MCH2'!AD3</f>
        <v>62.21929078014184</v>
      </c>
      <c r="AE90" s="12">
        <f>'MCH2'!AE90/'MCH2'!AE3</f>
        <v>37.581306715063519</v>
      </c>
      <c r="AF90" s="12">
        <f>'MCH2'!AF90/'MCH2'!AF3</f>
        <v>19.035714285714285</v>
      </c>
      <c r="AG90" s="12">
        <f>'MCH2'!AG90/'MCH2'!AG3</f>
        <v>48.909726603575187</v>
      </c>
      <c r="AH90" s="12">
        <f>'MCH2'!AH90/'MCH2'!AH3</f>
        <v>43.993048543689319</v>
      </c>
      <c r="AI90" s="12">
        <f>'MCH2'!AI90/'MCH2'!AI3</f>
        <v>25.25219298245614</v>
      </c>
      <c r="AJ90" s="12">
        <f>'MCH2'!AJ90/'MCH2'!AJ3</f>
        <v>15.724576271186441</v>
      </c>
      <c r="AK90" s="12">
        <f>'MCH2'!AK90/'MCH2'!AK3</f>
        <v>39.808182784272049</v>
      </c>
      <c r="AL90" s="12">
        <f>'MCH2'!AL90/'MCH2'!AL3</f>
        <v>21.946992818671454</v>
      </c>
      <c r="AM90" s="12">
        <f>'MCH2'!AM90/'MCH2'!AM3</f>
        <v>23.566023007395234</v>
      </c>
      <c r="AN90" s="12">
        <f>'MCH2'!AN90/'MCH2'!AN3</f>
        <v>6.037179487179487</v>
      </c>
      <c r="AO90" s="12">
        <f>'MCH2'!AO90/'MCH2'!AO3</f>
        <v>23.066846473029045</v>
      </c>
      <c r="AP90" s="12">
        <f>'MCH2'!AP90/'MCH2'!AP3</f>
        <v>20.867840000000001</v>
      </c>
      <c r="AQ90" s="12">
        <f>'MCH2'!AQ90/'MCH2'!AQ3</f>
        <v>26.817828843106181</v>
      </c>
      <c r="AR90" s="12">
        <f>'MCH2'!AR90/'MCH2'!AR3</f>
        <v>28.994274509803919</v>
      </c>
      <c r="AS90" s="12">
        <f>'MCH2'!AS90/'MCH2'!AS3</f>
        <v>42.690041782729807</v>
      </c>
      <c r="AT90" s="12">
        <f>'MCH2'!AT90/'MCH2'!AT3</f>
        <v>38.178467583497053</v>
      </c>
      <c r="AU90" s="12">
        <f>'MCH2'!AU90/'MCH2'!AU3</f>
        <v>30.322354948805462</v>
      </c>
      <c r="AV90" s="12">
        <f>'MCH2'!AV90/'MCH2'!AV3</f>
        <v>0</v>
      </c>
      <c r="AW90" s="12">
        <f>'MCH2'!AW90/'MCH2'!AW3</f>
        <v>25.56291348600509</v>
      </c>
      <c r="AX90" s="12">
        <f>'MCH2'!AX90/'MCH2'!AX3</f>
        <v>27.636684782608693</v>
      </c>
      <c r="AY90" s="12">
        <f>'MCH2'!AY90/'MCH2'!AY3</f>
        <v>19.389489489489488</v>
      </c>
      <c r="AZ90" s="12">
        <f>'MCH2'!AZ90/'MCH2'!AZ3</f>
        <v>32.564486260454004</v>
      </c>
      <c r="BA90" s="12">
        <f>'MCH2'!BA90/'MCH2'!BA3</f>
        <v>17.571355498721228</v>
      </c>
      <c r="BB90" s="12">
        <f>'MCH2'!BB90/'MCH2'!BB3</f>
        <v>25.513640684410646</v>
      </c>
      <c r="BC90" s="12">
        <f>'MCH2'!BC90/'MCH2'!BC3</f>
        <v>24.122849462365593</v>
      </c>
      <c r="BD90" s="12">
        <f>'MCH2'!BD90/'MCH2'!BD3</f>
        <v>28.471852196863843</v>
      </c>
      <c r="BE90" s="12">
        <f>'MCH2'!BE90/'MCH2'!BE3</f>
        <v>22.337728937728937</v>
      </c>
      <c r="BF90" s="12">
        <f t="shared" ref="BF90:BF98" si="58">SUM(E90:BE90)</f>
        <v>1727.9917331345096</v>
      </c>
      <c r="BG90" s="12">
        <f t="shared" ref="BG90:BG98" si="59">SUM(E90:W90)</f>
        <v>733.1397910300675</v>
      </c>
      <c r="BH90" s="12">
        <f t="shared" ref="BH90:BH98" si="60">SUM(X90:AJ90)</f>
        <v>469.38490906730522</v>
      </c>
      <c r="BI90" s="12">
        <f t="shared" ref="BI90:BI98" si="61">SUM(AK90:BE90)</f>
        <v>525.46703303713718</v>
      </c>
    </row>
    <row r="91" spans="2:61" x14ac:dyDescent="0.25">
      <c r="C91" s="7">
        <v>421</v>
      </c>
      <c r="D91" s="7" t="s">
        <v>148</v>
      </c>
      <c r="E91" s="12">
        <f>'MCH2'!E91/'MCH2'!E3</f>
        <v>15.528443743427969</v>
      </c>
      <c r="F91" s="12">
        <f>'MCH2'!F91/'MCH2'!F3</f>
        <v>8.4300387596899213</v>
      </c>
      <c r="G91" s="12">
        <f>'MCH2'!G91/'MCH2'!G3</f>
        <v>4.3864118895966033</v>
      </c>
      <c r="H91" s="12">
        <f>'MCH2'!H91/'MCH2'!H3</f>
        <v>25.441609977324262</v>
      </c>
      <c r="I91" s="12">
        <f>'MCH2'!I91/'MCH2'!I3</f>
        <v>26.085803038524148</v>
      </c>
      <c r="J91" s="12">
        <f>'MCH2'!J91/'MCH2'!J3</f>
        <v>14.430923634168428</v>
      </c>
      <c r="K91" s="12">
        <f>'MCH2'!K91/'MCH2'!K3</f>
        <v>10.384250188394875</v>
      </c>
      <c r="L91" s="12">
        <f>'MCH2'!L91/'MCH2'!L3</f>
        <v>86.672490503323843</v>
      </c>
      <c r="M91" s="12">
        <f>'MCH2'!M91/'MCH2'!M3</f>
        <v>13.833014705882354</v>
      </c>
      <c r="N91" s="12">
        <f>'MCH2'!N91/'MCH2'!N3</f>
        <v>15.864374999999999</v>
      </c>
      <c r="O91" s="12">
        <f>'MCH2'!O91/'MCH2'!O3</f>
        <v>33.945053969121467</v>
      </c>
      <c r="P91" s="12">
        <f>'MCH2'!P91/'MCH2'!P3</f>
        <v>26.048735632183909</v>
      </c>
      <c r="Q91" s="12">
        <f>'MCH2'!Q91/'MCH2'!Q3</f>
        <v>33.747169811320752</v>
      </c>
      <c r="R91" s="12">
        <f>'MCH2'!R91/'MCH2'!R3</f>
        <v>12.913529411764706</v>
      </c>
      <c r="S91" s="12">
        <f>'MCH2'!S91/'MCH2'!S3</f>
        <v>109.4687142857143</v>
      </c>
      <c r="T91" s="12">
        <f>'MCH2'!T91/'MCH2'!T3</f>
        <v>26.925443383356068</v>
      </c>
      <c r="U91" s="12">
        <f>'MCH2'!U91/'MCH2'!U3</f>
        <v>21.497222222222224</v>
      </c>
      <c r="V91" s="12">
        <f>'MCH2'!V91/'MCH2'!V3</f>
        <v>32.470023980815348</v>
      </c>
      <c r="W91" s="12">
        <f>'MCH2'!W91/'MCH2'!W3</f>
        <v>18.808560121765602</v>
      </c>
      <c r="X91" s="12">
        <f>'MCH2'!X91/'MCH2'!X3</f>
        <v>11.671590909090909</v>
      </c>
      <c r="Y91" s="12">
        <f>'MCH2'!Y91/'MCH2'!Y3</f>
        <v>9.802138314785374</v>
      </c>
      <c r="Z91" s="12">
        <f>'MCH2'!Z91/'MCH2'!Z3</f>
        <v>11.246259842519684</v>
      </c>
      <c r="AA91" s="12">
        <f>'MCH2'!AA91/'MCH2'!AA3</f>
        <v>0</v>
      </c>
      <c r="AB91" s="12">
        <f>'MCH2'!AB91/'MCH2'!AB3</f>
        <v>9.3621794871794872</v>
      </c>
      <c r="AC91" s="12">
        <f>'MCH2'!AC91/'MCH2'!AC3</f>
        <v>0</v>
      </c>
      <c r="AD91" s="12">
        <f>'MCH2'!AD91/'MCH2'!AD3</f>
        <v>32.527645390070923</v>
      </c>
      <c r="AE91" s="12">
        <f>'MCH2'!AE91/'MCH2'!AE3</f>
        <v>14.426497277676951</v>
      </c>
      <c r="AF91" s="12">
        <f>'MCH2'!AF91/'MCH2'!AF3</f>
        <v>11.848825831702545</v>
      </c>
      <c r="AG91" s="12">
        <f>'MCH2'!AG91/'MCH2'!AG3</f>
        <v>13.271819137749738</v>
      </c>
      <c r="AH91" s="12">
        <f>'MCH2'!AH91/'MCH2'!AH3</f>
        <v>13.707996116504853</v>
      </c>
      <c r="AI91" s="12">
        <f>'MCH2'!AI91/'MCH2'!AI3</f>
        <v>15.378728070175438</v>
      </c>
      <c r="AJ91" s="12">
        <f>'MCH2'!AJ91/'MCH2'!AJ3</f>
        <v>16.006355932203391</v>
      </c>
      <c r="AK91" s="12">
        <f>'MCH2'!AK91/'MCH2'!AK3</f>
        <v>24.863002125398513</v>
      </c>
      <c r="AL91" s="12">
        <f>'MCH2'!AL91/'MCH2'!AL3</f>
        <v>8.8824057450628366</v>
      </c>
      <c r="AM91" s="12">
        <f>'MCH2'!AM91/'MCH2'!AM3</f>
        <v>16.795069843878387</v>
      </c>
      <c r="AN91" s="12">
        <f>'MCH2'!AN91/'MCH2'!AN3</f>
        <v>10.871367521367521</v>
      </c>
      <c r="AO91" s="12">
        <f>'MCH2'!AO91/'MCH2'!AO3</f>
        <v>38.268481327800828</v>
      </c>
      <c r="AP91" s="12">
        <f>'MCH2'!AP91/'MCH2'!AP3</f>
        <v>17.976431999999999</v>
      </c>
      <c r="AQ91" s="12">
        <f>'MCH2'!AQ91/'MCH2'!AQ3</f>
        <v>11.229793977812996</v>
      </c>
      <c r="AR91" s="12">
        <f>'MCH2'!AR91/'MCH2'!AR3</f>
        <v>21.32981176470588</v>
      </c>
      <c r="AS91" s="12">
        <f>'MCH2'!AS91/'MCH2'!AS3</f>
        <v>16.908565459610028</v>
      </c>
      <c r="AT91" s="12">
        <f>'MCH2'!AT91/'MCH2'!AT3</f>
        <v>29.361542239685658</v>
      </c>
      <c r="AU91" s="12">
        <f>'MCH2'!AU91/'MCH2'!AU3</f>
        <v>21.005631399317405</v>
      </c>
      <c r="AV91" s="12">
        <f>'MCH2'!AV91/'MCH2'!AV3</f>
        <v>14.970492813141684</v>
      </c>
      <c r="AW91" s="12">
        <f>'MCH2'!AW91/'MCH2'!AW3</f>
        <v>12.477824427480916</v>
      </c>
      <c r="AX91" s="12">
        <f>'MCH2'!AX91/'MCH2'!AX3</f>
        <v>34.809782608695649</v>
      </c>
      <c r="AY91" s="12">
        <f>'MCH2'!AY91/'MCH2'!AY3</f>
        <v>2.9165165165165168</v>
      </c>
      <c r="AZ91" s="12">
        <f>'MCH2'!AZ91/'MCH2'!AZ3</f>
        <v>13.94032258064516</v>
      </c>
      <c r="BA91" s="12">
        <f>'MCH2'!BA91/'MCH2'!BA3</f>
        <v>11.241048593350383</v>
      </c>
      <c r="BB91" s="12">
        <f>'MCH2'!BB91/'MCH2'!BB3</f>
        <v>19.920161596958174</v>
      </c>
      <c r="BC91" s="12">
        <f>'MCH2'!BC91/'MCH2'!BC3</f>
        <v>1.4411290322580645</v>
      </c>
      <c r="BD91" s="12">
        <f>'MCH2'!BD91/'MCH2'!BD3</f>
        <v>87.128483154789635</v>
      </c>
      <c r="BE91" s="12">
        <f>'MCH2'!BE91/'MCH2'!BE3</f>
        <v>25.358296703296702</v>
      </c>
      <c r="BF91" s="12">
        <f t="shared" si="58"/>
        <v>1137.8280120000288</v>
      </c>
      <c r="BG91" s="12">
        <f t="shared" si="59"/>
        <v>536.88181425859682</v>
      </c>
      <c r="BH91" s="12">
        <f t="shared" si="60"/>
        <v>159.25003630965932</v>
      </c>
      <c r="BI91" s="12">
        <f t="shared" si="61"/>
        <v>441.69616143177302</v>
      </c>
    </row>
    <row r="92" spans="2:61" x14ac:dyDescent="0.25">
      <c r="C92" s="7">
        <v>422</v>
      </c>
      <c r="D92" s="7" t="s">
        <v>149</v>
      </c>
      <c r="E92" s="12">
        <f>'MCH2'!E92/'MCH2'!E3</f>
        <v>0</v>
      </c>
      <c r="F92" s="12">
        <f>'MCH2'!F92/'MCH2'!F3</f>
        <v>0</v>
      </c>
      <c r="G92" s="12">
        <f>'MCH2'!G92/'MCH2'!G3</f>
        <v>0</v>
      </c>
      <c r="H92" s="12">
        <f>'MCH2'!H92/'MCH2'!H3</f>
        <v>0</v>
      </c>
      <c r="I92" s="12">
        <f>'MCH2'!I92/'MCH2'!I3</f>
        <v>0</v>
      </c>
      <c r="J92" s="12">
        <f>'MCH2'!J92/'MCH2'!J3</f>
        <v>0</v>
      </c>
      <c r="K92" s="12">
        <f>'MCH2'!K92/'MCH2'!K3</f>
        <v>0</v>
      </c>
      <c r="L92" s="12">
        <f>'MCH2'!L92/'MCH2'!L3</f>
        <v>0</v>
      </c>
      <c r="M92" s="12">
        <f>'MCH2'!M92/'MCH2'!M3</f>
        <v>0</v>
      </c>
      <c r="N92" s="12">
        <f>'MCH2'!N92/'MCH2'!N3</f>
        <v>0</v>
      </c>
      <c r="O92" s="12">
        <f>'MCH2'!O92/'MCH2'!O3</f>
        <v>0</v>
      </c>
      <c r="P92" s="12">
        <f>'MCH2'!P92/'MCH2'!P3</f>
        <v>0</v>
      </c>
      <c r="Q92" s="12">
        <f>'MCH2'!Q92/'MCH2'!Q3</f>
        <v>0</v>
      </c>
      <c r="R92" s="12">
        <f>'MCH2'!R92/'MCH2'!R3</f>
        <v>0</v>
      </c>
      <c r="S92" s="12">
        <f>'MCH2'!S92/'MCH2'!S3</f>
        <v>0</v>
      </c>
      <c r="T92" s="12">
        <f>'MCH2'!T92/'MCH2'!T3</f>
        <v>0</v>
      </c>
      <c r="U92" s="12">
        <f>'MCH2'!U92/'MCH2'!U3</f>
        <v>0</v>
      </c>
      <c r="V92" s="12">
        <f>'MCH2'!V92/'MCH2'!V3</f>
        <v>0</v>
      </c>
      <c r="W92" s="12">
        <f>'MCH2'!W92/'MCH2'!W3</f>
        <v>0</v>
      </c>
      <c r="X92" s="12">
        <f>'MCH2'!X92/'MCH2'!X3</f>
        <v>0</v>
      </c>
      <c r="Y92" s="12">
        <f>'MCH2'!Y92/'MCH2'!Y3</f>
        <v>0</v>
      </c>
      <c r="Z92" s="12">
        <f>'MCH2'!Z92/'MCH2'!Z3</f>
        <v>0</v>
      </c>
      <c r="AA92" s="12">
        <f>'MCH2'!AA92/'MCH2'!AA3</f>
        <v>0</v>
      </c>
      <c r="AB92" s="12">
        <f>'MCH2'!AB92/'MCH2'!AB3</f>
        <v>0</v>
      </c>
      <c r="AC92" s="12">
        <f>'MCH2'!AC92/'MCH2'!AC3</f>
        <v>0</v>
      </c>
      <c r="AD92" s="12">
        <f>'MCH2'!AD92/'MCH2'!AD3</f>
        <v>0</v>
      </c>
      <c r="AE92" s="12">
        <f>'MCH2'!AE92/'MCH2'!AE3</f>
        <v>0</v>
      </c>
      <c r="AF92" s="12">
        <f>'MCH2'!AF92/'MCH2'!AF3</f>
        <v>0</v>
      </c>
      <c r="AG92" s="12">
        <f>'MCH2'!AG92/'MCH2'!AG3</f>
        <v>0</v>
      </c>
      <c r="AH92" s="12">
        <f>'MCH2'!AH92/'MCH2'!AH3</f>
        <v>0</v>
      </c>
      <c r="AI92" s="12">
        <f>'MCH2'!AI92/'MCH2'!AI3</f>
        <v>0</v>
      </c>
      <c r="AJ92" s="12">
        <f>'MCH2'!AJ92/'MCH2'!AJ3</f>
        <v>0</v>
      </c>
      <c r="AK92" s="12">
        <f>'MCH2'!AK92/'MCH2'!AK3</f>
        <v>0</v>
      </c>
      <c r="AL92" s="12">
        <f>'MCH2'!AL92/'MCH2'!AL3</f>
        <v>0</v>
      </c>
      <c r="AM92" s="12">
        <f>'MCH2'!AM92/'MCH2'!AM3</f>
        <v>0</v>
      </c>
      <c r="AN92" s="12">
        <f>'MCH2'!AN92/'MCH2'!AN3</f>
        <v>0</v>
      </c>
      <c r="AO92" s="12">
        <f>'MCH2'!AO92/'MCH2'!AO3</f>
        <v>0</v>
      </c>
      <c r="AP92" s="12">
        <f>'MCH2'!AP92/'MCH2'!AP3</f>
        <v>0</v>
      </c>
      <c r="AQ92" s="12">
        <f>'MCH2'!AQ92/'MCH2'!AQ3</f>
        <v>0</v>
      </c>
      <c r="AR92" s="12">
        <f>'MCH2'!AR92/'MCH2'!AR3</f>
        <v>0</v>
      </c>
      <c r="AS92" s="12">
        <f>'MCH2'!AS92/'MCH2'!AS3</f>
        <v>0</v>
      </c>
      <c r="AT92" s="12">
        <f>'MCH2'!AT92/'MCH2'!AT3</f>
        <v>0</v>
      </c>
      <c r="AU92" s="12">
        <f>'MCH2'!AU92/'MCH2'!AU3</f>
        <v>0</v>
      </c>
      <c r="AV92" s="12">
        <f>'MCH2'!AV92/'MCH2'!AV3</f>
        <v>0</v>
      </c>
      <c r="AW92" s="12">
        <f>'MCH2'!AW92/'MCH2'!AW3</f>
        <v>0</v>
      </c>
      <c r="AX92" s="12">
        <f>'MCH2'!AX92/'MCH2'!AX3</f>
        <v>0</v>
      </c>
      <c r="AY92" s="12">
        <f>'MCH2'!AY92/'MCH2'!AY3</f>
        <v>0</v>
      </c>
      <c r="AZ92" s="12">
        <f>'MCH2'!AZ92/'MCH2'!AZ3</f>
        <v>0</v>
      </c>
      <c r="BA92" s="12">
        <f>'MCH2'!BA92/'MCH2'!BA3</f>
        <v>0</v>
      </c>
      <c r="BB92" s="12">
        <f>'MCH2'!BB92/'MCH2'!BB3</f>
        <v>0</v>
      </c>
      <c r="BC92" s="12">
        <f>'MCH2'!BC92/'MCH2'!BC3</f>
        <v>0</v>
      </c>
      <c r="BD92" s="12">
        <f>'MCH2'!BD92/'MCH2'!BD3</f>
        <v>0</v>
      </c>
      <c r="BE92" s="12">
        <f>'MCH2'!BE92/'MCH2'!BE3</f>
        <v>0</v>
      </c>
      <c r="BF92" s="12">
        <f t="shared" si="58"/>
        <v>0</v>
      </c>
      <c r="BG92" s="12">
        <f t="shared" si="59"/>
        <v>0</v>
      </c>
      <c r="BH92" s="12">
        <f t="shared" si="60"/>
        <v>0</v>
      </c>
      <c r="BI92" s="12">
        <f t="shared" si="61"/>
        <v>0</v>
      </c>
    </row>
    <row r="93" spans="2:61" x14ac:dyDescent="0.25">
      <c r="C93" s="7">
        <v>423</v>
      </c>
      <c r="D93" s="7" t="s">
        <v>150</v>
      </c>
      <c r="E93" s="12">
        <f>'MCH2'!E93/'MCH2'!E3</f>
        <v>2.8601472134595163</v>
      </c>
      <c r="F93" s="12">
        <f>'MCH2'!F93/'MCH2'!F3</f>
        <v>0</v>
      </c>
      <c r="G93" s="12">
        <f>'MCH2'!G93/'MCH2'!G3</f>
        <v>0</v>
      </c>
      <c r="H93" s="12">
        <f>'MCH2'!H93/'MCH2'!H3</f>
        <v>0</v>
      </c>
      <c r="I93" s="12">
        <f>'MCH2'!I93/'MCH2'!I3</f>
        <v>1.068909386869235</v>
      </c>
      <c r="J93" s="12">
        <f>'MCH2'!J93/'MCH2'!J3</f>
        <v>0</v>
      </c>
      <c r="K93" s="12">
        <f>'MCH2'!K93/'MCH2'!K3</f>
        <v>0</v>
      </c>
      <c r="L93" s="12">
        <f>'MCH2'!L93/'MCH2'!L3</f>
        <v>3.2966919911364356</v>
      </c>
      <c r="M93" s="12">
        <f>'MCH2'!M93/'MCH2'!M3</f>
        <v>0</v>
      </c>
      <c r="N93" s="12">
        <f>'MCH2'!N93/'MCH2'!N3</f>
        <v>1.4017857142857142</v>
      </c>
      <c r="O93" s="12">
        <f>'MCH2'!O93/'MCH2'!O3</f>
        <v>0</v>
      </c>
      <c r="P93" s="12">
        <f>'MCH2'!P93/'MCH2'!P3</f>
        <v>0</v>
      </c>
      <c r="Q93" s="12">
        <f>'MCH2'!Q93/'MCH2'!Q3</f>
        <v>0</v>
      </c>
      <c r="R93" s="12">
        <f>'MCH2'!R93/'MCH2'!R3</f>
        <v>8.4705882352941178</v>
      </c>
      <c r="S93" s="12">
        <f>'MCH2'!S93/'MCH2'!S3</f>
        <v>0</v>
      </c>
      <c r="T93" s="12">
        <f>'MCH2'!T93/'MCH2'!T3</f>
        <v>0</v>
      </c>
      <c r="U93" s="12">
        <f>'MCH2'!U93/'MCH2'!U3</f>
        <v>0</v>
      </c>
      <c r="V93" s="12">
        <f>'MCH2'!V93/'MCH2'!V3</f>
        <v>21.822541966426858</v>
      </c>
      <c r="W93" s="12">
        <f>'MCH2'!W93/'MCH2'!W3</f>
        <v>2.0243531202435312</v>
      </c>
      <c r="X93" s="12">
        <f>'MCH2'!X93/'MCH2'!X3</f>
        <v>98.08733766233766</v>
      </c>
      <c r="Y93" s="12">
        <f>'MCH2'!Y93/'MCH2'!Y3</f>
        <v>0</v>
      </c>
      <c r="Z93" s="12">
        <f>'MCH2'!Z93/'MCH2'!Z3</f>
        <v>208.60787401574805</v>
      </c>
      <c r="AA93" s="12">
        <f>'MCH2'!AA93/'MCH2'!AA3</f>
        <v>0</v>
      </c>
      <c r="AB93" s="12">
        <f>'MCH2'!AB93/'MCH2'!AB3</f>
        <v>0</v>
      </c>
      <c r="AC93" s="12">
        <f>'MCH2'!AC93/'MCH2'!AC3</f>
        <v>0</v>
      </c>
      <c r="AD93" s="12">
        <f>'MCH2'!AD93/'MCH2'!AD3</f>
        <v>0</v>
      </c>
      <c r="AE93" s="12">
        <f>'MCH2'!AE93/'MCH2'!AE3</f>
        <v>0</v>
      </c>
      <c r="AF93" s="12">
        <f>'MCH2'!AF93/'MCH2'!AF3</f>
        <v>0</v>
      </c>
      <c r="AG93" s="12">
        <f>'MCH2'!AG93/'MCH2'!AG3</f>
        <v>0</v>
      </c>
      <c r="AH93" s="12">
        <f>'MCH2'!AH93/'MCH2'!AH3</f>
        <v>43.356543689320389</v>
      </c>
      <c r="AI93" s="12">
        <f>'MCH2'!AI93/'MCH2'!AI3</f>
        <v>0</v>
      </c>
      <c r="AJ93" s="12">
        <f>'MCH2'!AJ93/'MCH2'!AJ3</f>
        <v>0</v>
      </c>
      <c r="AK93" s="12">
        <f>'MCH2'!AK93/'MCH2'!AK3</f>
        <v>0</v>
      </c>
      <c r="AL93" s="12">
        <f>'MCH2'!AL93/'MCH2'!AL3</f>
        <v>0</v>
      </c>
      <c r="AM93" s="12">
        <f>'MCH2'!AM93/'MCH2'!AM3</f>
        <v>17.816392769104354</v>
      </c>
      <c r="AN93" s="12">
        <f>'MCH2'!AN93/'MCH2'!AN3</f>
        <v>0</v>
      </c>
      <c r="AO93" s="12">
        <f>'MCH2'!AO93/'MCH2'!AO3</f>
        <v>0</v>
      </c>
      <c r="AP93" s="12">
        <f>'MCH2'!AP93/'MCH2'!AP3</f>
        <v>0</v>
      </c>
      <c r="AQ93" s="12">
        <f>'MCH2'!AQ93/'MCH2'!AQ3</f>
        <v>0</v>
      </c>
      <c r="AR93" s="12">
        <f>'MCH2'!AR93/'MCH2'!AR3</f>
        <v>6.1811764705882357</v>
      </c>
      <c r="AS93" s="12">
        <f>'MCH2'!AS93/'MCH2'!AS3</f>
        <v>54.33844011142061</v>
      </c>
      <c r="AT93" s="12">
        <f>'MCH2'!AT93/'MCH2'!AT3</f>
        <v>0</v>
      </c>
      <c r="AU93" s="12">
        <f>'MCH2'!AU93/'MCH2'!AU3</f>
        <v>36.8259385665529</v>
      </c>
      <c r="AV93" s="12">
        <f>'MCH2'!AV93/'MCH2'!AV3</f>
        <v>0</v>
      </c>
      <c r="AW93" s="12">
        <f>'MCH2'!AW93/'MCH2'!AW3</f>
        <v>0</v>
      </c>
      <c r="AX93" s="12">
        <f>'MCH2'!AX93/'MCH2'!AX3</f>
        <v>0</v>
      </c>
      <c r="AY93" s="12">
        <f>'MCH2'!AY93/'MCH2'!AY3</f>
        <v>0</v>
      </c>
      <c r="AZ93" s="12">
        <f>'MCH2'!AZ93/'MCH2'!AZ3</f>
        <v>0</v>
      </c>
      <c r="BA93" s="12">
        <f>'MCH2'!BA93/'MCH2'!BA3</f>
        <v>22.022506393861892</v>
      </c>
      <c r="BB93" s="12">
        <f>'MCH2'!BB93/'MCH2'!BB3</f>
        <v>13.161169201520911</v>
      </c>
      <c r="BC93" s="12">
        <f>'MCH2'!BC93/'MCH2'!BC3</f>
        <v>0</v>
      </c>
      <c r="BD93" s="12">
        <f>'MCH2'!BD93/'MCH2'!BD3</f>
        <v>12.094395280235988</v>
      </c>
      <c r="BE93" s="12">
        <f>'MCH2'!BE93/'MCH2'!BE3</f>
        <v>0</v>
      </c>
      <c r="BF93" s="12">
        <f t="shared" si="58"/>
        <v>553.43679178840637</v>
      </c>
      <c r="BG93" s="12">
        <f t="shared" si="59"/>
        <v>40.945017627715409</v>
      </c>
      <c r="BH93" s="12">
        <f t="shared" si="60"/>
        <v>350.05175536740609</v>
      </c>
      <c r="BI93" s="12">
        <f t="shared" si="61"/>
        <v>162.44001879328493</v>
      </c>
    </row>
    <row r="94" spans="2:61" x14ac:dyDescent="0.25">
      <c r="C94" s="7">
        <v>424</v>
      </c>
      <c r="D94" s="7" t="s">
        <v>151</v>
      </c>
      <c r="E94" s="12">
        <f>'MCH2'!E94/'MCH2'!E3</f>
        <v>647.60299684542576</v>
      </c>
      <c r="F94" s="12">
        <f>'MCH2'!F94/'MCH2'!F3</f>
        <v>686.7264341085272</v>
      </c>
      <c r="G94" s="12">
        <f>'MCH2'!G94/'MCH2'!G3</f>
        <v>353.43407643312105</v>
      </c>
      <c r="H94" s="12">
        <f>'MCH2'!H94/'MCH2'!H3</f>
        <v>1068.619365079365</v>
      </c>
      <c r="I94" s="12">
        <f>'MCH2'!I94/'MCH2'!I3</f>
        <v>1043.5429517091698</v>
      </c>
      <c r="J94" s="12">
        <f>'MCH2'!J94/'MCH2'!J3</f>
        <v>981.07624509508003</v>
      </c>
      <c r="K94" s="12">
        <f>'MCH2'!K94/'MCH2'!K3</f>
        <v>591.94632629992464</v>
      </c>
      <c r="L94" s="12">
        <f>'MCH2'!L94/'MCH2'!L3</f>
        <v>2603.8636767964549</v>
      </c>
      <c r="M94" s="12">
        <f>'MCH2'!M94/'MCH2'!M3</f>
        <v>1570.8604779411764</v>
      </c>
      <c r="N94" s="12">
        <f>'MCH2'!N94/'MCH2'!N3</f>
        <v>370.82946428571432</v>
      </c>
      <c r="O94" s="12">
        <f>'MCH2'!O94/'MCH2'!O3</f>
        <v>500.33228583139771</v>
      </c>
      <c r="P94" s="12">
        <f>'MCH2'!P94/'MCH2'!P3</f>
        <v>232.59176245210728</v>
      </c>
      <c r="Q94" s="12">
        <f>'MCH2'!Q94/'MCH2'!Q3</f>
        <v>407.89245283018869</v>
      </c>
      <c r="R94" s="12">
        <f>'MCH2'!R94/'MCH2'!R3</f>
        <v>332.9157647058824</v>
      </c>
      <c r="S94" s="12">
        <f>'MCH2'!S94/'MCH2'!S3</f>
        <v>559.25814285714284</v>
      </c>
      <c r="T94" s="12">
        <f>'MCH2'!T94/'MCH2'!T3</f>
        <v>976.00008185538888</v>
      </c>
      <c r="U94" s="12">
        <f>'MCH2'!U94/'MCH2'!U3</f>
        <v>568.92499999999995</v>
      </c>
      <c r="V94" s="12">
        <f>'MCH2'!V94/'MCH2'!V3</f>
        <v>459.37613908872902</v>
      </c>
      <c r="W94" s="12">
        <f>'MCH2'!W94/'MCH2'!W3</f>
        <v>453.68849315068491</v>
      </c>
      <c r="X94" s="12">
        <f>'MCH2'!X94/'MCH2'!X3</f>
        <v>757.43587662337666</v>
      </c>
      <c r="Y94" s="12">
        <f>'MCH2'!Y94/'MCH2'!Y3</f>
        <v>804.24924483306836</v>
      </c>
      <c r="Z94" s="12">
        <f>'MCH2'!Z94/'MCH2'!Z3</f>
        <v>872.30984251968505</v>
      </c>
      <c r="AA94" s="12">
        <f>'MCH2'!AA94/'MCH2'!AA3</f>
        <v>713.40229885057477</v>
      </c>
      <c r="AB94" s="12">
        <f>'MCH2'!AB94/'MCH2'!AB3</f>
        <v>834.83333333333337</v>
      </c>
      <c r="AC94" s="12">
        <f>'MCH2'!AC94/'MCH2'!AC3</f>
        <v>820.74696078431373</v>
      </c>
      <c r="AD94" s="12">
        <f>'MCH2'!AD94/'MCH2'!AD3</f>
        <v>694.39553191489358</v>
      </c>
      <c r="AE94" s="12">
        <f>'MCH2'!AE94/'MCH2'!AE3</f>
        <v>693.07495462794918</v>
      </c>
      <c r="AF94" s="12">
        <f>'MCH2'!AF94/'MCH2'!AF3</f>
        <v>743.04256360078273</v>
      </c>
      <c r="AG94" s="12">
        <f>'MCH2'!AG94/'MCH2'!AG3</f>
        <v>868.31490536277602</v>
      </c>
      <c r="AH94" s="12">
        <f>'MCH2'!AH94/'MCH2'!AH3</f>
        <v>908.16066019417485</v>
      </c>
      <c r="AI94" s="12">
        <f>'MCH2'!AI94/'MCH2'!AI3</f>
        <v>866.26622807017554</v>
      </c>
      <c r="AJ94" s="12">
        <f>'MCH2'!AJ94/'MCH2'!AJ3</f>
        <v>871.02203389830515</v>
      </c>
      <c r="AK94" s="12">
        <f>'MCH2'!AK94/'MCH2'!AK3</f>
        <v>529.74441020191284</v>
      </c>
      <c r="AL94" s="12">
        <f>'MCH2'!AL94/'MCH2'!AL3</f>
        <v>527.70941651705573</v>
      </c>
      <c r="AM94" s="12">
        <f>'MCH2'!AM94/'MCH2'!AM3</f>
        <v>491.41885784716516</v>
      </c>
      <c r="AN94" s="12">
        <f>'MCH2'!AN94/'MCH2'!AN3</f>
        <v>741.92136752136753</v>
      </c>
      <c r="AO94" s="12">
        <f>'MCH2'!AO94/'MCH2'!AO3</f>
        <v>979.1419834024897</v>
      </c>
      <c r="AP94" s="12">
        <f>'MCH2'!AP94/'MCH2'!AP3</f>
        <v>912.726</v>
      </c>
      <c r="AQ94" s="12">
        <f>'MCH2'!AQ94/'MCH2'!AQ3</f>
        <v>491.4014263074485</v>
      </c>
      <c r="AR94" s="12">
        <f>'MCH2'!AR94/'MCH2'!AR3</f>
        <v>650.22835294117647</v>
      </c>
      <c r="AS94" s="12">
        <f>'MCH2'!AS94/'MCH2'!AS3</f>
        <v>439.62325905292477</v>
      </c>
      <c r="AT94" s="12">
        <f>'MCH2'!AT94/'MCH2'!AT3</f>
        <v>668.25555009823188</v>
      </c>
      <c r="AU94" s="12">
        <f>'MCH2'!AU94/'MCH2'!AU3</f>
        <v>935.31023890784991</v>
      </c>
      <c r="AV94" s="12">
        <f>'MCH2'!AV94/'MCH2'!AV3</f>
        <v>490.68340862423003</v>
      </c>
      <c r="AW94" s="12">
        <f>'MCH2'!AW94/'MCH2'!AW3</f>
        <v>462.39662849872775</v>
      </c>
      <c r="AX94" s="12">
        <f>'MCH2'!AX94/'MCH2'!AX3</f>
        <v>490.46902173913043</v>
      </c>
      <c r="AY94" s="12">
        <f>'MCH2'!AY94/'MCH2'!AY3</f>
        <v>636.99543543543541</v>
      </c>
      <c r="AZ94" s="12">
        <f>'MCH2'!AZ94/'MCH2'!AZ3</f>
        <v>489.82265830346478</v>
      </c>
      <c r="BA94" s="12">
        <f>'MCH2'!BA94/'MCH2'!BA3</f>
        <v>725.30984654731469</v>
      </c>
      <c r="BB94" s="12">
        <f>'MCH2'!BB94/'MCH2'!BB3</f>
        <v>803.58538973384032</v>
      </c>
      <c r="BC94" s="12">
        <f>'MCH2'!BC94/'MCH2'!BC3</f>
        <v>510.31639784946242</v>
      </c>
      <c r="BD94" s="12">
        <f>'MCH2'!BD94/'MCH2'!BD3</f>
        <v>846.54006675981998</v>
      </c>
      <c r="BE94" s="12">
        <f>'MCH2'!BE94/'MCH2'!BE3</f>
        <v>442.73223443223441</v>
      </c>
      <c r="BF94" s="12">
        <f t="shared" si="58"/>
        <v>38123.06852270016</v>
      </c>
      <c r="BG94" s="12">
        <f t="shared" si="59"/>
        <v>14409.482137365478</v>
      </c>
      <c r="BH94" s="12">
        <f t="shared" si="60"/>
        <v>10447.254434613409</v>
      </c>
      <c r="BI94" s="12">
        <f t="shared" si="61"/>
        <v>13266.331950721284</v>
      </c>
    </row>
    <row r="95" spans="2:61" x14ac:dyDescent="0.25">
      <c r="C95" s="7">
        <v>425</v>
      </c>
      <c r="D95" s="7" t="s">
        <v>152</v>
      </c>
      <c r="E95" s="12">
        <f>'MCH2'!E95/'MCH2'!E3</f>
        <v>12.630283911671924</v>
      </c>
      <c r="F95" s="12">
        <f>'MCH2'!F95/'MCH2'!F3</f>
        <v>26.823255813953487</v>
      </c>
      <c r="G95" s="12">
        <f>'MCH2'!G95/'MCH2'!G3</f>
        <v>0.11549893842887474</v>
      </c>
      <c r="H95" s="12">
        <f>'MCH2'!H95/'MCH2'!H3</f>
        <v>1.2244897959183674</v>
      </c>
      <c r="I95" s="12">
        <f>'MCH2'!I95/'MCH2'!I3</f>
        <v>14.250271296798697</v>
      </c>
      <c r="J95" s="12">
        <f>'MCH2'!J95/'MCH2'!J3</f>
        <v>10.736414126169635</v>
      </c>
      <c r="K95" s="12">
        <f>'MCH2'!K95/'MCH2'!K3</f>
        <v>8.1424076865109267</v>
      </c>
      <c r="L95" s="12">
        <f>'MCH2'!L95/'MCH2'!L3</f>
        <v>23.25442386831276</v>
      </c>
      <c r="M95" s="12">
        <f>'MCH2'!M95/'MCH2'!M3</f>
        <v>27.611617647058825</v>
      </c>
      <c r="N95" s="12">
        <f>'MCH2'!N95/'MCH2'!N3</f>
        <v>0</v>
      </c>
      <c r="O95" s="12">
        <f>'MCH2'!O95/'MCH2'!O3</f>
        <v>12.800557453203989</v>
      </c>
      <c r="P95" s="12">
        <f>'MCH2'!P95/'MCH2'!P3</f>
        <v>35.378524904214558</v>
      </c>
      <c r="Q95" s="12">
        <f>'MCH2'!Q95/'MCH2'!Q3</f>
        <v>7.9301886792452834</v>
      </c>
      <c r="R95" s="12">
        <f>'MCH2'!R95/'MCH2'!R3</f>
        <v>23.307129411764706</v>
      </c>
      <c r="S95" s="12">
        <f>'MCH2'!S95/'MCH2'!S3</f>
        <v>2.2277142857142858</v>
      </c>
      <c r="T95" s="12">
        <f>'MCH2'!T95/'MCH2'!T3</f>
        <v>0</v>
      </c>
      <c r="U95" s="12">
        <f>'MCH2'!U95/'MCH2'!U3</f>
        <v>17.606111111111108</v>
      </c>
      <c r="V95" s="12">
        <f>'MCH2'!V95/'MCH2'!V3</f>
        <v>25.914076738609111</v>
      </c>
      <c r="W95" s="12">
        <f>'MCH2'!W95/'MCH2'!W3</f>
        <v>15.331878234398783</v>
      </c>
      <c r="X95" s="12">
        <f>'MCH2'!X95/'MCH2'!X3</f>
        <v>427.94503246753249</v>
      </c>
      <c r="Y95" s="12">
        <f>'MCH2'!Y95/'MCH2'!Y3</f>
        <v>23.965166931637519</v>
      </c>
      <c r="Z95" s="12">
        <f>'MCH2'!Z95/'MCH2'!Z3</f>
        <v>9.6892388451443558</v>
      </c>
      <c r="AA95" s="12">
        <f>'MCH2'!AA95/'MCH2'!AA3</f>
        <v>0</v>
      </c>
      <c r="AB95" s="12">
        <f>'MCH2'!AB95/'MCH2'!AB3</f>
        <v>659.12948717948711</v>
      </c>
      <c r="AC95" s="12">
        <f>'MCH2'!AC95/'MCH2'!AC3</f>
        <v>424.52186274509802</v>
      </c>
      <c r="AD95" s="12">
        <f>'MCH2'!AD95/'MCH2'!AD3</f>
        <v>178.2581560283688</v>
      </c>
      <c r="AE95" s="12">
        <f>'MCH2'!AE95/'MCH2'!AE3</f>
        <v>291.31967332123412</v>
      </c>
      <c r="AF95" s="12">
        <f>'MCH2'!AF95/'MCH2'!AF3</f>
        <v>840.09322896281799</v>
      </c>
      <c r="AG95" s="12">
        <f>'MCH2'!AG95/'MCH2'!AG3</f>
        <v>124.12011566771818</v>
      </c>
      <c r="AH95" s="12">
        <f>'MCH2'!AH95/'MCH2'!AH3</f>
        <v>87.230330097087375</v>
      </c>
      <c r="AI95" s="12">
        <f>'MCH2'!AI95/'MCH2'!AI3</f>
        <v>202.58135964912282</v>
      </c>
      <c r="AJ95" s="12">
        <f>'MCH2'!AJ95/'MCH2'!AJ3</f>
        <v>87.647033898305082</v>
      </c>
      <c r="AK95" s="12">
        <f>'MCH2'!AK95/'MCH2'!AK3</f>
        <v>80.077066950053137</v>
      </c>
      <c r="AL95" s="12">
        <f>'MCH2'!AL95/'MCH2'!AL3</f>
        <v>403.69775583482942</v>
      </c>
      <c r="AM95" s="12">
        <f>'MCH2'!AM95/'MCH2'!AM3</f>
        <v>0.45760065735414951</v>
      </c>
      <c r="AN95" s="12">
        <f>'MCH2'!AN95/'MCH2'!AN3</f>
        <v>636.53076923076924</v>
      </c>
      <c r="AO95" s="12">
        <f>'MCH2'!AO95/'MCH2'!AO3</f>
        <v>0</v>
      </c>
      <c r="AP95" s="12">
        <f>'MCH2'!AP95/'MCH2'!AP3</f>
        <v>411.9776</v>
      </c>
      <c r="AQ95" s="12">
        <f>'MCH2'!AQ95/'MCH2'!AQ3</f>
        <v>13.525594294770205</v>
      </c>
      <c r="AR95" s="12">
        <f>'MCH2'!AR95/'MCH2'!AR3</f>
        <v>7.0338431372549017</v>
      </c>
      <c r="AS95" s="12">
        <f>'MCH2'!AS95/'MCH2'!AS3</f>
        <v>204.67444289693594</v>
      </c>
      <c r="AT95" s="12">
        <f>'MCH2'!AT95/'MCH2'!AT3</f>
        <v>11.017141453831043</v>
      </c>
      <c r="AU95" s="12">
        <f>'MCH2'!AU95/'MCH2'!AU3</f>
        <v>231.46375426621162</v>
      </c>
      <c r="AV95" s="12">
        <f>'MCH2'!AV95/'MCH2'!AV3</f>
        <v>5.5349897330595486</v>
      </c>
      <c r="AW95" s="12">
        <f>'MCH2'!AW95/'MCH2'!AW3</f>
        <v>90.879898218829524</v>
      </c>
      <c r="AX95" s="12">
        <f>'MCH2'!AX95/'MCH2'!AX3</f>
        <v>372.97635869565215</v>
      </c>
      <c r="AY95" s="12">
        <f>'MCH2'!AY95/'MCH2'!AY3</f>
        <v>3.4843843843843842</v>
      </c>
      <c r="AZ95" s="12">
        <f>'MCH2'!AZ95/'MCH2'!AZ3</f>
        <v>14.020501792114695</v>
      </c>
      <c r="BA95" s="12">
        <f>'MCH2'!BA95/'MCH2'!BA3</f>
        <v>13.00383631713555</v>
      </c>
      <c r="BB95" s="12">
        <f>'MCH2'!BB95/'MCH2'!BB3</f>
        <v>7.2682509505703417</v>
      </c>
      <c r="BC95" s="12">
        <f>'MCH2'!BC95/'MCH2'!BC3</f>
        <v>392.89059139784945</v>
      </c>
      <c r="BD95" s="12">
        <f>'MCH2'!BD95/'MCH2'!BD3</f>
        <v>14.156679087098276</v>
      </c>
      <c r="BE95" s="12">
        <f>'MCH2'!BE95/'MCH2'!BE3</f>
        <v>199.53351648351648</v>
      </c>
      <c r="BF95" s="12">
        <f t="shared" si="58"/>
        <v>6735.9901054788597</v>
      </c>
      <c r="BG95" s="12">
        <f t="shared" si="59"/>
        <v>265.28484390308529</v>
      </c>
      <c r="BH95" s="12">
        <f t="shared" si="60"/>
        <v>3356.5006857935537</v>
      </c>
      <c r="BI95" s="12">
        <f t="shared" si="61"/>
        <v>3114.2045757822211</v>
      </c>
    </row>
    <row r="96" spans="2:61" x14ac:dyDescent="0.25">
      <c r="C96" s="7">
        <v>426</v>
      </c>
      <c r="D96" s="7" t="s">
        <v>153</v>
      </c>
      <c r="E96" s="12">
        <f>'MCH2'!E96/'MCH2'!E3</f>
        <v>80.457939011566765</v>
      </c>
      <c r="F96" s="12">
        <f>'MCH2'!F96/'MCH2'!F3</f>
        <v>17.737015503875966</v>
      </c>
      <c r="G96" s="12">
        <f>'MCH2'!G96/'MCH2'!G3</f>
        <v>23.433227176220804</v>
      </c>
      <c r="H96" s="12">
        <f>'MCH2'!H96/'MCH2'!H3</f>
        <v>98.270612244897947</v>
      </c>
      <c r="I96" s="12">
        <f>'MCH2'!I96/'MCH2'!I3</f>
        <v>33.29107433532284</v>
      </c>
      <c r="J96" s="12">
        <f>'MCH2'!J96/'MCH2'!J3</f>
        <v>23.455064895864776</v>
      </c>
      <c r="K96" s="12">
        <f>'MCH2'!K96/'MCH2'!K3</f>
        <v>106.35082516955539</v>
      </c>
      <c r="L96" s="12">
        <f>'MCH2'!L96/'MCH2'!L3</f>
        <v>38.182166824944602</v>
      </c>
      <c r="M96" s="12">
        <f>'MCH2'!M96/'MCH2'!M3</f>
        <v>88.964066176470595</v>
      </c>
      <c r="N96" s="12">
        <f>'MCH2'!N96/'MCH2'!N3</f>
        <v>0</v>
      </c>
      <c r="O96" s="12">
        <f>'MCH2'!O96/'MCH2'!O3</f>
        <v>42.438830441317116</v>
      </c>
      <c r="P96" s="12">
        <f>'MCH2'!P96/'MCH2'!P3</f>
        <v>120.87203065134099</v>
      </c>
      <c r="Q96" s="12">
        <f>'MCH2'!Q96/'MCH2'!Q3</f>
        <v>4.0943396226415096</v>
      </c>
      <c r="R96" s="12">
        <f>'MCH2'!R96/'MCH2'!R3</f>
        <v>57.735176470588236</v>
      </c>
      <c r="S96" s="12">
        <f>'MCH2'!S96/'MCH2'!S3</f>
        <v>63.265428571428579</v>
      </c>
      <c r="T96" s="12">
        <f>'MCH2'!T96/'MCH2'!T3</f>
        <v>185.74693042291952</v>
      </c>
      <c r="U96" s="12">
        <f>'MCH2'!U96/'MCH2'!U3</f>
        <v>126.03611111111111</v>
      </c>
      <c r="V96" s="12">
        <f>'MCH2'!V96/'MCH2'!V3</f>
        <v>54.657074340527579</v>
      </c>
      <c r="W96" s="12">
        <f>'MCH2'!W96/'MCH2'!W3</f>
        <v>13.966130898021309</v>
      </c>
      <c r="X96" s="12">
        <f>'MCH2'!X96/'MCH2'!X3</f>
        <v>12.777694805194805</v>
      </c>
      <c r="Y96" s="12">
        <f>'MCH2'!Y96/'MCH2'!Y3</f>
        <v>56.523330683624806</v>
      </c>
      <c r="Z96" s="12">
        <f>'MCH2'!Z96/'MCH2'!Z3</f>
        <v>10.20505249343832</v>
      </c>
      <c r="AA96" s="12">
        <f>'MCH2'!AA96/'MCH2'!AA3</f>
        <v>109.21896551724137</v>
      </c>
      <c r="AB96" s="12">
        <f>'MCH2'!AB96/'MCH2'!AB3</f>
        <v>23.094871794871796</v>
      </c>
      <c r="AC96" s="12">
        <f>'MCH2'!AC96/'MCH2'!AC3</f>
        <v>100.17735294117647</v>
      </c>
      <c r="AD96" s="12">
        <f>'MCH2'!AD96/'MCH2'!AD3</f>
        <v>49.579106382978722</v>
      </c>
      <c r="AE96" s="12">
        <f>'MCH2'!AE96/'MCH2'!AE3</f>
        <v>49.919056261343016</v>
      </c>
      <c r="AF96" s="12">
        <f>'MCH2'!AF96/'MCH2'!AF3</f>
        <v>13.503424657534246</v>
      </c>
      <c r="AG96" s="12">
        <f>'MCH2'!AG96/'MCH2'!AG3</f>
        <v>11.863906414300736</v>
      </c>
      <c r="AH96" s="12">
        <f>'MCH2'!AH96/'MCH2'!AH3</f>
        <v>37.001708737864078</v>
      </c>
      <c r="AI96" s="12">
        <f>'MCH2'!AI96/'MCH2'!AI3</f>
        <v>163.11250000000001</v>
      </c>
      <c r="AJ96" s="12">
        <f>'MCH2'!AJ96/'MCH2'!AJ3</f>
        <v>136.41186440677967</v>
      </c>
      <c r="AK96" s="12">
        <f>'MCH2'!AK96/'MCH2'!AK3</f>
        <v>16.3874867162593</v>
      </c>
      <c r="AL96" s="12">
        <f>'MCH2'!AL96/'MCH2'!AL3</f>
        <v>45.128464991023343</v>
      </c>
      <c r="AM96" s="12">
        <f>'MCH2'!AM96/'MCH2'!AM3</f>
        <v>32.288249794576828</v>
      </c>
      <c r="AN96" s="12">
        <f>'MCH2'!AN96/'MCH2'!AN3</f>
        <v>63.429914529914534</v>
      </c>
      <c r="AO96" s="12">
        <f>'MCH2'!AO96/'MCH2'!AO3</f>
        <v>38.515145228215765</v>
      </c>
      <c r="AP96" s="12">
        <f>'MCH2'!AP96/'MCH2'!AP3</f>
        <v>53.976799999999997</v>
      </c>
      <c r="AQ96" s="12">
        <f>'MCH2'!AQ96/'MCH2'!AQ3</f>
        <v>58.471077654516641</v>
      </c>
      <c r="AR96" s="12">
        <f>'MCH2'!AR96/'MCH2'!AR3</f>
        <v>55.510392156862743</v>
      </c>
      <c r="AS96" s="12">
        <f>'MCH2'!AS96/'MCH2'!AS3</f>
        <v>68.225027855153201</v>
      </c>
      <c r="AT96" s="12">
        <f>'MCH2'!AT96/'MCH2'!AT3</f>
        <v>13.552504911591356</v>
      </c>
      <c r="AU96" s="12">
        <f>'MCH2'!AU96/'MCH2'!AU3</f>
        <v>7.0488054607508541</v>
      </c>
      <c r="AV96" s="12">
        <f>'MCH2'!AV96/'MCH2'!AV3</f>
        <v>15.706427104722794</v>
      </c>
      <c r="AW96" s="12">
        <f>'MCH2'!AW96/'MCH2'!AW3</f>
        <v>3.9782442748091604</v>
      </c>
      <c r="AX96" s="12">
        <f>'MCH2'!AX96/'MCH2'!AX3</f>
        <v>19.799184782608698</v>
      </c>
      <c r="AY96" s="12">
        <f>'MCH2'!AY96/'MCH2'!AY3</f>
        <v>34.896396396396398</v>
      </c>
      <c r="AZ96" s="12">
        <f>'MCH2'!AZ96/'MCH2'!AZ3</f>
        <v>43.882765830346479</v>
      </c>
      <c r="BA96" s="12">
        <f>'MCH2'!BA96/'MCH2'!BA3</f>
        <v>67.757161125319698</v>
      </c>
      <c r="BB96" s="12">
        <f>'MCH2'!BB96/'MCH2'!BB3</f>
        <v>128.71397338403042</v>
      </c>
      <c r="BC96" s="12">
        <f>'MCH2'!BC96/'MCH2'!BC3</f>
        <v>18.267795698924729</v>
      </c>
      <c r="BD96" s="12">
        <f>'MCH2'!BD96/'MCH2'!BD3</f>
        <v>41.25809656885577</v>
      </c>
      <c r="BE96" s="12">
        <f>'MCH2'!BE96/'MCH2'!BE3</f>
        <v>86.550549450549454</v>
      </c>
      <c r="BF96" s="12">
        <f t="shared" si="58"/>
        <v>2865.6873428803924</v>
      </c>
      <c r="BG96" s="12">
        <f t="shared" si="59"/>
        <v>1178.9540438686156</v>
      </c>
      <c r="BH96" s="12">
        <f t="shared" si="60"/>
        <v>773.38883509634798</v>
      </c>
      <c r="BI96" s="12">
        <f t="shared" si="61"/>
        <v>913.34446391542815</v>
      </c>
    </row>
    <row r="97" spans="2:61" x14ac:dyDescent="0.25">
      <c r="C97" s="7">
        <v>427</v>
      </c>
      <c r="D97" s="7" t="s">
        <v>154</v>
      </c>
      <c r="E97" s="12">
        <f>'MCH2'!E97/'MCH2'!E3</f>
        <v>0.31545741324921134</v>
      </c>
      <c r="F97" s="12">
        <f>'MCH2'!F97/'MCH2'!F3</f>
        <v>0</v>
      </c>
      <c r="G97" s="12">
        <f>'MCH2'!G97/'MCH2'!G3</f>
        <v>0</v>
      </c>
      <c r="H97" s="12">
        <f>'MCH2'!H97/'MCH2'!H3</f>
        <v>0</v>
      </c>
      <c r="I97" s="12">
        <f>'MCH2'!I97/'MCH2'!I3</f>
        <v>1.068909386869235</v>
      </c>
      <c r="J97" s="12">
        <f>'MCH2'!J97/'MCH2'!J3</f>
        <v>0.15092061575611229</v>
      </c>
      <c r="K97" s="12">
        <f>'MCH2'!K97/'MCH2'!K3</f>
        <v>0.11303692539562923</v>
      </c>
      <c r="L97" s="12">
        <f>'MCH2'!L97/'MCH2'!L3</f>
        <v>14.134864672364673</v>
      </c>
      <c r="M97" s="12">
        <f>'MCH2'!M97/'MCH2'!M3</f>
        <v>0</v>
      </c>
      <c r="N97" s="12">
        <f>'MCH2'!N97/'MCH2'!N3</f>
        <v>0</v>
      </c>
      <c r="O97" s="12">
        <f>'MCH2'!O97/'MCH2'!O3</f>
        <v>1.9398551714715124</v>
      </c>
      <c r="P97" s="12">
        <f>'MCH2'!P97/'MCH2'!P3</f>
        <v>0.19157088122605365</v>
      </c>
      <c r="Q97" s="12">
        <f>'MCH2'!Q97/'MCH2'!Q3</f>
        <v>0</v>
      </c>
      <c r="R97" s="12">
        <f>'MCH2'!R97/'MCH2'!R3</f>
        <v>0</v>
      </c>
      <c r="S97" s="12">
        <f>'MCH2'!S97/'MCH2'!S3</f>
        <v>0</v>
      </c>
      <c r="T97" s="12">
        <f>'MCH2'!T97/'MCH2'!T3</f>
        <v>0</v>
      </c>
      <c r="U97" s="12">
        <f>'MCH2'!U97/'MCH2'!U3</f>
        <v>0</v>
      </c>
      <c r="V97" s="12">
        <f>'MCH2'!V97/'MCH2'!V3</f>
        <v>1.9184652278177459</v>
      </c>
      <c r="W97" s="12">
        <f>'MCH2'!W97/'MCH2'!W3</f>
        <v>0</v>
      </c>
      <c r="X97" s="12">
        <f>'MCH2'!X97/'MCH2'!X3</f>
        <v>2.2727272727272729</v>
      </c>
      <c r="Y97" s="12">
        <f>'MCH2'!Y97/'MCH2'!Y3</f>
        <v>1.0333863275039745</v>
      </c>
      <c r="Z97" s="12">
        <f>'MCH2'!Z97/'MCH2'!Z3</f>
        <v>0</v>
      </c>
      <c r="AA97" s="12">
        <f>'MCH2'!AA97/'MCH2'!AA3</f>
        <v>0</v>
      </c>
      <c r="AB97" s="12">
        <f>'MCH2'!AB97/'MCH2'!AB3</f>
        <v>0</v>
      </c>
      <c r="AC97" s="12">
        <f>'MCH2'!AC97/'MCH2'!AC3</f>
        <v>0</v>
      </c>
      <c r="AD97" s="12">
        <f>'MCH2'!AD97/'MCH2'!AD3</f>
        <v>0</v>
      </c>
      <c r="AE97" s="12">
        <f>'MCH2'!AE97/'MCH2'!AE3</f>
        <v>0</v>
      </c>
      <c r="AF97" s="12">
        <f>'MCH2'!AF97/'MCH2'!AF3</f>
        <v>0</v>
      </c>
      <c r="AG97" s="12">
        <f>'MCH2'!AG97/'MCH2'!AG3</f>
        <v>0</v>
      </c>
      <c r="AH97" s="12">
        <f>'MCH2'!AH97/'MCH2'!AH3</f>
        <v>11.464854368932039</v>
      </c>
      <c r="AI97" s="12">
        <f>'MCH2'!AI97/'MCH2'!AI3</f>
        <v>0</v>
      </c>
      <c r="AJ97" s="12">
        <f>'MCH2'!AJ97/'MCH2'!AJ3</f>
        <v>0</v>
      </c>
      <c r="AK97" s="12">
        <f>'MCH2'!AK97/'MCH2'!AK3</f>
        <v>0</v>
      </c>
      <c r="AL97" s="12">
        <f>'MCH2'!AL97/'MCH2'!AL3</f>
        <v>0</v>
      </c>
      <c r="AM97" s="12">
        <f>'MCH2'!AM97/'MCH2'!AM3</f>
        <v>0.11446179129005753</v>
      </c>
      <c r="AN97" s="12">
        <f>'MCH2'!AN97/'MCH2'!AN3</f>
        <v>0</v>
      </c>
      <c r="AO97" s="12">
        <f>'MCH2'!AO97/'MCH2'!AO3</f>
        <v>0</v>
      </c>
      <c r="AP97" s="12">
        <f>'MCH2'!AP97/'MCH2'!AP3</f>
        <v>0</v>
      </c>
      <c r="AQ97" s="12">
        <f>'MCH2'!AQ97/'MCH2'!AQ3</f>
        <v>0</v>
      </c>
      <c r="AR97" s="12">
        <f>'MCH2'!AR97/'MCH2'!AR3</f>
        <v>0.10980392156862745</v>
      </c>
      <c r="AS97" s="12">
        <f>'MCH2'!AS97/'MCH2'!AS3</f>
        <v>0</v>
      </c>
      <c r="AT97" s="12">
        <f>'MCH2'!AT97/'MCH2'!AT3</f>
        <v>0</v>
      </c>
      <c r="AU97" s="12">
        <f>'MCH2'!AU97/'MCH2'!AU3</f>
        <v>0</v>
      </c>
      <c r="AV97" s="12">
        <f>'MCH2'!AV97/'MCH2'!AV3</f>
        <v>1.1498973305954825</v>
      </c>
      <c r="AW97" s="12">
        <f>'MCH2'!AW97/'MCH2'!AW3</f>
        <v>0</v>
      </c>
      <c r="AX97" s="12">
        <f>'MCH2'!AX97/'MCH2'!AX3</f>
        <v>0</v>
      </c>
      <c r="AY97" s="12">
        <f>'MCH2'!AY97/'MCH2'!AY3</f>
        <v>0</v>
      </c>
      <c r="AZ97" s="12">
        <f>'MCH2'!AZ97/'MCH2'!AZ3</f>
        <v>0.23894862604540024</v>
      </c>
      <c r="BA97" s="12">
        <f>'MCH2'!BA97/'MCH2'!BA3</f>
        <v>0</v>
      </c>
      <c r="BB97" s="12">
        <f>'MCH2'!BB97/'MCH2'!BB3</f>
        <v>0.28517110266159695</v>
      </c>
      <c r="BC97" s="12">
        <f>'MCH2'!BC97/'MCH2'!BC3</f>
        <v>0</v>
      </c>
      <c r="BD97" s="12">
        <f>'MCH2'!BD97/'MCH2'!BD3</f>
        <v>16.865735134295917</v>
      </c>
      <c r="BE97" s="12">
        <f>'MCH2'!BE97/'MCH2'!BE3</f>
        <v>0</v>
      </c>
      <c r="BF97" s="12">
        <f t="shared" si="58"/>
        <v>53.368066169770536</v>
      </c>
      <c r="BG97" s="12">
        <f t="shared" si="59"/>
        <v>19.833080294150172</v>
      </c>
      <c r="BH97" s="12">
        <f t="shared" si="60"/>
        <v>14.770967969163287</v>
      </c>
      <c r="BI97" s="12">
        <f t="shared" si="61"/>
        <v>18.764017906457081</v>
      </c>
    </row>
    <row r="98" spans="2:61" x14ac:dyDescent="0.25">
      <c r="C98" s="7">
        <v>429</v>
      </c>
      <c r="D98" s="7" t="s">
        <v>155</v>
      </c>
      <c r="E98" s="12">
        <f>'MCH2'!E98/'MCH2'!E3</f>
        <v>0</v>
      </c>
      <c r="F98" s="12">
        <f>'MCH2'!F98/'MCH2'!F3</f>
        <v>0</v>
      </c>
      <c r="G98" s="12">
        <f>'MCH2'!G98/'MCH2'!G3</f>
        <v>0</v>
      </c>
      <c r="H98" s="12">
        <f>'MCH2'!H98/'MCH2'!H3</f>
        <v>0</v>
      </c>
      <c r="I98" s="12">
        <f>'MCH2'!I98/'MCH2'!I3</f>
        <v>0</v>
      </c>
      <c r="J98" s="12">
        <f>'MCH2'!J98/'MCH2'!J3</f>
        <v>0</v>
      </c>
      <c r="K98" s="12">
        <f>'MCH2'!K98/'MCH2'!K3</f>
        <v>0</v>
      </c>
      <c r="L98" s="12">
        <f>'MCH2'!L98/'MCH2'!L3</f>
        <v>0</v>
      </c>
      <c r="M98" s="12">
        <f>'MCH2'!M98/'MCH2'!M3</f>
        <v>0</v>
      </c>
      <c r="N98" s="12">
        <f>'MCH2'!N98/'MCH2'!N3</f>
        <v>0</v>
      </c>
      <c r="O98" s="12">
        <f>'MCH2'!O98/'MCH2'!O3</f>
        <v>0.4069954911873207</v>
      </c>
      <c r="P98" s="12">
        <f>'MCH2'!P98/'MCH2'!P3</f>
        <v>0</v>
      </c>
      <c r="Q98" s="12">
        <f>'MCH2'!Q98/'MCH2'!Q3</f>
        <v>0</v>
      </c>
      <c r="R98" s="12">
        <f>'MCH2'!R98/'MCH2'!R3</f>
        <v>0</v>
      </c>
      <c r="S98" s="12">
        <f>'MCH2'!S98/'MCH2'!S3</f>
        <v>0</v>
      </c>
      <c r="T98" s="12">
        <f>'MCH2'!T98/'MCH2'!T3</f>
        <v>-0.21828103683492497</v>
      </c>
      <c r="U98" s="12">
        <f>'MCH2'!U98/'MCH2'!U3</f>
        <v>0.87111111111111106</v>
      </c>
      <c r="V98" s="12">
        <f>'MCH2'!V98/'MCH2'!V3</f>
        <v>0</v>
      </c>
      <c r="W98" s="12">
        <f>'MCH2'!W98/'MCH2'!W3</f>
        <v>0</v>
      </c>
      <c r="X98" s="12">
        <f>'MCH2'!X98/'MCH2'!X3</f>
        <v>2.1306818181818183</v>
      </c>
      <c r="Y98" s="12">
        <f>'MCH2'!Y98/'MCH2'!Y3</f>
        <v>0</v>
      </c>
      <c r="Z98" s="12">
        <f>'MCH2'!Z98/'MCH2'!Z3</f>
        <v>56.513549868766397</v>
      </c>
      <c r="AA98" s="12">
        <f>'MCH2'!AA98/'MCH2'!AA3</f>
        <v>0</v>
      </c>
      <c r="AB98" s="12">
        <f>'MCH2'!AB98/'MCH2'!AB3</f>
        <v>8.9166666666666661</v>
      </c>
      <c r="AC98" s="12">
        <f>'MCH2'!AC98/'MCH2'!AC3</f>
        <v>0</v>
      </c>
      <c r="AD98" s="12">
        <f>'MCH2'!AD98/'MCH2'!AD3</f>
        <v>0.90780141843971629</v>
      </c>
      <c r="AE98" s="12">
        <f>'MCH2'!AE98/'MCH2'!AE3</f>
        <v>0</v>
      </c>
      <c r="AF98" s="12">
        <f>'MCH2'!AF98/'MCH2'!AF3</f>
        <v>0</v>
      </c>
      <c r="AG98" s="12">
        <f>'MCH2'!AG98/'MCH2'!AG3</f>
        <v>0</v>
      </c>
      <c r="AH98" s="12">
        <f>'MCH2'!AH98/'MCH2'!AH3</f>
        <v>0</v>
      </c>
      <c r="AI98" s="12">
        <f>'MCH2'!AI98/'MCH2'!AI3</f>
        <v>0</v>
      </c>
      <c r="AJ98" s="12">
        <f>'MCH2'!AJ98/'MCH2'!AJ3</f>
        <v>42.997881355932201</v>
      </c>
      <c r="AK98" s="12">
        <f>'MCH2'!AK98/'MCH2'!AK3</f>
        <v>0</v>
      </c>
      <c r="AL98" s="12">
        <f>'MCH2'!AL98/'MCH2'!AL3</f>
        <v>0</v>
      </c>
      <c r="AM98" s="12">
        <f>'MCH2'!AM98/'MCH2'!AM3</f>
        <v>0</v>
      </c>
      <c r="AN98" s="12">
        <f>'MCH2'!AN98/'MCH2'!AN3</f>
        <v>0</v>
      </c>
      <c r="AO98" s="12">
        <f>'MCH2'!AO98/'MCH2'!AO3</f>
        <v>6.3079668049792534</v>
      </c>
      <c r="AP98" s="12">
        <f>'MCH2'!AP98/'MCH2'!AP3</f>
        <v>0</v>
      </c>
      <c r="AQ98" s="12">
        <f>'MCH2'!AQ98/'MCH2'!AQ3</f>
        <v>0</v>
      </c>
      <c r="AR98" s="12">
        <f>'MCH2'!AR98/'MCH2'!AR3</f>
        <v>0</v>
      </c>
      <c r="AS98" s="12">
        <f>'MCH2'!AS98/'MCH2'!AS3</f>
        <v>0</v>
      </c>
      <c r="AT98" s="12">
        <f>'MCH2'!AT98/'MCH2'!AT3</f>
        <v>0</v>
      </c>
      <c r="AU98" s="12">
        <f>'MCH2'!AU98/'MCH2'!AU3</f>
        <v>0</v>
      </c>
      <c r="AV98" s="12">
        <f>'MCH2'!AV98/'MCH2'!AV3</f>
        <v>0.1299794661190965</v>
      </c>
      <c r="AW98" s="12">
        <f>'MCH2'!AW98/'MCH2'!AW3</f>
        <v>0.17029262086513994</v>
      </c>
      <c r="AX98" s="12">
        <f>'MCH2'!AX98/'MCH2'!AX3</f>
        <v>0</v>
      </c>
      <c r="AY98" s="12">
        <f>'MCH2'!AY98/'MCH2'!AY3</f>
        <v>9.0090090090090094</v>
      </c>
      <c r="AZ98" s="12">
        <f>'MCH2'!AZ98/'MCH2'!AZ3</f>
        <v>0</v>
      </c>
      <c r="BA98" s="12">
        <f>'MCH2'!BA98/'MCH2'!BA3</f>
        <v>0</v>
      </c>
      <c r="BB98" s="12">
        <f>'MCH2'!BB98/'MCH2'!BB3</f>
        <v>0</v>
      </c>
      <c r="BC98" s="12">
        <f>'MCH2'!BC98/'MCH2'!BC3</f>
        <v>0</v>
      </c>
      <c r="BD98" s="12">
        <f>'MCH2'!BD98/'MCH2'!BD3</f>
        <v>0</v>
      </c>
      <c r="BE98" s="12">
        <f>'MCH2'!BE98/'MCH2'!BE3</f>
        <v>0</v>
      </c>
      <c r="BF98" s="12">
        <f t="shared" si="58"/>
        <v>128.1436545944228</v>
      </c>
      <c r="BG98" s="12">
        <f t="shared" si="59"/>
        <v>1.0598255654635067</v>
      </c>
      <c r="BH98" s="12">
        <f t="shared" si="60"/>
        <v>111.46658112798681</v>
      </c>
      <c r="BI98" s="12">
        <f t="shared" si="61"/>
        <v>15.617247900972499</v>
      </c>
    </row>
    <row r="99" spans="2:61" x14ac:dyDescent="0.25">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row>
    <row r="100" spans="2:61" x14ac:dyDescent="0.25">
      <c r="B100" s="68">
        <v>43</v>
      </c>
      <c r="C100" s="68"/>
      <c r="D100" s="68" t="s">
        <v>156</v>
      </c>
      <c r="E100" s="69">
        <f>E101+E102+E103+E104</f>
        <v>0</v>
      </c>
      <c r="F100" s="69">
        <f t="shared" ref="F100:BI100" si="62">F101+F102+F103+F104</f>
        <v>4.9141085271317824</v>
      </c>
      <c r="G100" s="69">
        <f t="shared" si="62"/>
        <v>0</v>
      </c>
      <c r="H100" s="69">
        <f t="shared" si="62"/>
        <v>0</v>
      </c>
      <c r="I100" s="69">
        <f t="shared" si="62"/>
        <v>0</v>
      </c>
      <c r="J100" s="69">
        <f t="shared" si="62"/>
        <v>0</v>
      </c>
      <c r="K100" s="69">
        <f t="shared" si="62"/>
        <v>7.6865109269027884E-2</v>
      </c>
      <c r="L100" s="69">
        <f t="shared" si="62"/>
        <v>167.34415479582148</v>
      </c>
      <c r="M100" s="69">
        <f t="shared" si="62"/>
        <v>3.6294117647058823</v>
      </c>
      <c r="N100" s="69">
        <f t="shared" si="62"/>
        <v>150.57187500000001</v>
      </c>
      <c r="O100" s="69">
        <f t="shared" si="62"/>
        <v>1.2604180899029922</v>
      </c>
      <c r="P100" s="69">
        <f t="shared" si="62"/>
        <v>0</v>
      </c>
      <c r="Q100" s="69">
        <f t="shared" si="62"/>
        <v>0</v>
      </c>
      <c r="R100" s="69">
        <f t="shared" si="62"/>
        <v>0</v>
      </c>
      <c r="S100" s="69">
        <f t="shared" si="62"/>
        <v>0</v>
      </c>
      <c r="T100" s="69">
        <f t="shared" si="62"/>
        <v>0</v>
      </c>
      <c r="U100" s="69">
        <f t="shared" si="62"/>
        <v>0.29259259259259257</v>
      </c>
      <c r="V100" s="69">
        <f t="shared" si="62"/>
        <v>2.5998800959232611</v>
      </c>
      <c r="W100" s="69">
        <f t="shared" si="62"/>
        <v>2.6250837138508372</v>
      </c>
      <c r="X100" s="69">
        <f t="shared" si="62"/>
        <v>0</v>
      </c>
      <c r="Y100" s="69">
        <f t="shared" si="62"/>
        <v>26.648370429252783</v>
      </c>
      <c r="Z100" s="69">
        <f t="shared" si="62"/>
        <v>0</v>
      </c>
      <c r="AA100" s="69">
        <f t="shared" si="62"/>
        <v>0</v>
      </c>
      <c r="AB100" s="69">
        <f t="shared" si="62"/>
        <v>30.214743589743595</v>
      </c>
      <c r="AC100" s="69">
        <f t="shared" si="62"/>
        <v>0</v>
      </c>
      <c r="AD100" s="69">
        <f t="shared" si="62"/>
        <v>9.3004822695035472</v>
      </c>
      <c r="AE100" s="69">
        <f t="shared" si="62"/>
        <v>0.85399274047186935</v>
      </c>
      <c r="AF100" s="69">
        <f t="shared" si="62"/>
        <v>0</v>
      </c>
      <c r="AG100" s="69">
        <f t="shared" si="62"/>
        <v>5.9411146161934809</v>
      </c>
      <c r="AH100" s="69">
        <f t="shared" si="62"/>
        <v>21.034155339805825</v>
      </c>
      <c r="AI100" s="69">
        <f t="shared" si="62"/>
        <v>1.4736842105263157</v>
      </c>
      <c r="AJ100" s="69">
        <f t="shared" si="62"/>
        <v>16.53220338983051</v>
      </c>
      <c r="AK100" s="69">
        <f t="shared" si="62"/>
        <v>0</v>
      </c>
      <c r="AL100" s="69">
        <f t="shared" si="62"/>
        <v>38.769614003590661</v>
      </c>
      <c r="AM100" s="69">
        <f t="shared" si="62"/>
        <v>0</v>
      </c>
      <c r="AN100" s="69">
        <f t="shared" si="62"/>
        <v>0</v>
      </c>
      <c r="AO100" s="69">
        <f t="shared" si="62"/>
        <v>0</v>
      </c>
      <c r="AP100" s="69">
        <f t="shared" si="62"/>
        <v>0</v>
      </c>
      <c r="AQ100" s="69">
        <f t="shared" si="62"/>
        <v>0</v>
      </c>
      <c r="AR100" s="69">
        <f t="shared" si="62"/>
        <v>0.20470588235294118</v>
      </c>
      <c r="AS100" s="69">
        <f t="shared" si="62"/>
        <v>0.50835654596100277</v>
      </c>
      <c r="AT100" s="69">
        <f t="shared" si="62"/>
        <v>0</v>
      </c>
      <c r="AU100" s="69">
        <f t="shared" si="62"/>
        <v>0</v>
      </c>
      <c r="AV100" s="69">
        <f t="shared" si="62"/>
        <v>0</v>
      </c>
      <c r="AW100" s="69">
        <f t="shared" si="62"/>
        <v>2.0356234096692112</v>
      </c>
      <c r="AX100" s="69">
        <f t="shared" si="62"/>
        <v>0</v>
      </c>
      <c r="AY100" s="69">
        <f t="shared" si="62"/>
        <v>0</v>
      </c>
      <c r="AZ100" s="69">
        <f t="shared" si="62"/>
        <v>0</v>
      </c>
      <c r="BA100" s="69">
        <f t="shared" si="62"/>
        <v>0</v>
      </c>
      <c r="BB100" s="69">
        <f t="shared" si="62"/>
        <v>0</v>
      </c>
      <c r="BC100" s="69">
        <f t="shared" si="62"/>
        <v>0</v>
      </c>
      <c r="BD100" s="69">
        <f t="shared" si="62"/>
        <v>0.19893650054339387</v>
      </c>
      <c r="BE100" s="69">
        <f t="shared" si="62"/>
        <v>0</v>
      </c>
      <c r="BF100" s="69">
        <f t="shared" si="62"/>
        <v>487.03037261664304</v>
      </c>
      <c r="BG100" s="69">
        <f t="shared" si="62"/>
        <v>333.31438968919787</v>
      </c>
      <c r="BH100" s="69">
        <f t="shared" si="62"/>
        <v>111.99874658532794</v>
      </c>
      <c r="BI100" s="69">
        <f t="shared" si="62"/>
        <v>41.717236342117211</v>
      </c>
    </row>
    <row r="101" spans="2:61" x14ac:dyDescent="0.25">
      <c r="C101" s="7">
        <v>430</v>
      </c>
      <c r="D101" s="7" t="s">
        <v>157</v>
      </c>
      <c r="E101" s="12">
        <f>'MCH2'!E101/'MCH2'!E3</f>
        <v>0</v>
      </c>
      <c r="F101" s="12">
        <f>'MCH2'!F101/'MCH2'!F3</f>
        <v>4.9141085271317824</v>
      </c>
      <c r="G101" s="12">
        <f>'MCH2'!G101/'MCH2'!G3</f>
        <v>0</v>
      </c>
      <c r="H101" s="12">
        <f>'MCH2'!H101/'MCH2'!H3</f>
        <v>0</v>
      </c>
      <c r="I101" s="12">
        <f>'MCH2'!I101/'MCH2'!I3</f>
        <v>0</v>
      </c>
      <c r="J101" s="12">
        <f>'MCH2'!J101/'MCH2'!J3</f>
        <v>0</v>
      </c>
      <c r="K101" s="12">
        <f>'MCH2'!K101/'MCH2'!K3</f>
        <v>7.6865109269027884E-2</v>
      </c>
      <c r="L101" s="12">
        <f>'MCH2'!L101/'MCH2'!L3</f>
        <v>167.34415479582148</v>
      </c>
      <c r="M101" s="12">
        <f>'MCH2'!M101/'MCH2'!M3</f>
        <v>3.6294117647058823</v>
      </c>
      <c r="N101" s="12">
        <f>'MCH2'!N101/'MCH2'!N3</f>
        <v>0</v>
      </c>
      <c r="O101" s="12">
        <f>'MCH2'!O101/'MCH2'!O3</f>
        <v>0</v>
      </c>
      <c r="P101" s="12">
        <f>'MCH2'!P101/'MCH2'!P3</f>
        <v>0</v>
      </c>
      <c r="Q101" s="12">
        <f>'MCH2'!Q101/'MCH2'!Q3</f>
        <v>0</v>
      </c>
      <c r="R101" s="12">
        <f>'MCH2'!R101/'MCH2'!R3</f>
        <v>0</v>
      </c>
      <c r="S101" s="12">
        <f>'MCH2'!S101/'MCH2'!S3</f>
        <v>0</v>
      </c>
      <c r="T101" s="12">
        <f>'MCH2'!T101/'MCH2'!T3</f>
        <v>0</v>
      </c>
      <c r="U101" s="12">
        <f>'MCH2'!U101/'MCH2'!U3</f>
        <v>0</v>
      </c>
      <c r="V101" s="12">
        <f>'MCH2'!V101/'MCH2'!V3</f>
        <v>0</v>
      </c>
      <c r="W101" s="12">
        <f>'MCH2'!W101/'MCH2'!W3</f>
        <v>2.6250837138508372</v>
      </c>
      <c r="X101" s="12">
        <f>'MCH2'!X101/'MCH2'!X3</f>
        <v>0</v>
      </c>
      <c r="Y101" s="12">
        <f>'MCH2'!Y101/'MCH2'!Y3</f>
        <v>0.17488076311605724</v>
      </c>
      <c r="Z101" s="12">
        <f>'MCH2'!Z101/'MCH2'!Z3</f>
        <v>0</v>
      </c>
      <c r="AA101" s="12">
        <f>'MCH2'!AA101/'MCH2'!AA3</f>
        <v>0</v>
      </c>
      <c r="AB101" s="12">
        <f>'MCH2'!AB101/'MCH2'!AB3</f>
        <v>0</v>
      </c>
      <c r="AC101" s="12">
        <f>'MCH2'!AC101/'MCH2'!AC3</f>
        <v>0</v>
      </c>
      <c r="AD101" s="12">
        <f>'MCH2'!AD101/'MCH2'!AD3</f>
        <v>9.3004822695035472</v>
      </c>
      <c r="AE101" s="12">
        <f>'MCH2'!AE101/'MCH2'!AE3</f>
        <v>0</v>
      </c>
      <c r="AF101" s="12">
        <f>'MCH2'!AF101/'MCH2'!AF3</f>
        <v>0</v>
      </c>
      <c r="AG101" s="12">
        <f>'MCH2'!AG101/'MCH2'!AG3</f>
        <v>0</v>
      </c>
      <c r="AH101" s="12">
        <f>'MCH2'!AH101/'MCH2'!AH3</f>
        <v>21.034155339805825</v>
      </c>
      <c r="AI101" s="12">
        <f>'MCH2'!AI101/'MCH2'!AI3</f>
        <v>1.4736842105263157</v>
      </c>
      <c r="AJ101" s="12">
        <f>'MCH2'!AJ101/'MCH2'!AJ3</f>
        <v>0</v>
      </c>
      <c r="AK101" s="12">
        <f>'MCH2'!AK101/'MCH2'!AK3</f>
        <v>0</v>
      </c>
      <c r="AL101" s="12">
        <f>'MCH2'!AL101/'MCH2'!AL3</f>
        <v>38.769614003590661</v>
      </c>
      <c r="AM101" s="12">
        <f>'MCH2'!AM101/'MCH2'!AM3</f>
        <v>0</v>
      </c>
      <c r="AN101" s="12">
        <f>'MCH2'!AN101/'MCH2'!AN3</f>
        <v>0</v>
      </c>
      <c r="AO101" s="12">
        <f>'MCH2'!AO101/'MCH2'!AO3</f>
        <v>0</v>
      </c>
      <c r="AP101" s="12">
        <f>'MCH2'!AP101/'MCH2'!AP3</f>
        <v>0</v>
      </c>
      <c r="AQ101" s="12">
        <f>'MCH2'!AQ101/'MCH2'!AQ3</f>
        <v>0</v>
      </c>
      <c r="AR101" s="12">
        <f>'MCH2'!AR101/'MCH2'!AR3</f>
        <v>0.20470588235294118</v>
      </c>
      <c r="AS101" s="12">
        <f>'MCH2'!AS101/'MCH2'!AS3</f>
        <v>0.50835654596100277</v>
      </c>
      <c r="AT101" s="12">
        <f>'MCH2'!AT101/'MCH2'!AT3</f>
        <v>0</v>
      </c>
      <c r="AU101" s="12">
        <f>'MCH2'!AU101/'MCH2'!AU3</f>
        <v>0</v>
      </c>
      <c r="AV101" s="12">
        <f>'MCH2'!AV101/'MCH2'!AV3</f>
        <v>0</v>
      </c>
      <c r="AW101" s="12">
        <f>'MCH2'!AW101/'MCH2'!AW3</f>
        <v>0</v>
      </c>
      <c r="AX101" s="12">
        <f>'MCH2'!AX101/'MCH2'!AX3</f>
        <v>0</v>
      </c>
      <c r="AY101" s="12">
        <f>'MCH2'!AY101/'MCH2'!AY3</f>
        <v>0</v>
      </c>
      <c r="AZ101" s="12">
        <f>'MCH2'!AZ101/'MCH2'!AZ3</f>
        <v>0</v>
      </c>
      <c r="BA101" s="12">
        <f>'MCH2'!BA101/'MCH2'!BA3</f>
        <v>0</v>
      </c>
      <c r="BB101" s="12">
        <f>'MCH2'!BB101/'MCH2'!BB3</f>
        <v>0</v>
      </c>
      <c r="BC101" s="12">
        <f>'MCH2'!BC101/'MCH2'!BC3</f>
        <v>0</v>
      </c>
      <c r="BD101" s="12">
        <f>'MCH2'!BD101/'MCH2'!BD3</f>
        <v>0.19893650054339387</v>
      </c>
      <c r="BE101" s="12">
        <f>'MCH2'!BE101/'MCH2'!BE3</f>
        <v>0</v>
      </c>
      <c r="BF101" s="12">
        <f t="shared" ref="BF101:BF104" si="63">SUM(E101:BE101)</f>
        <v>250.25443942617878</v>
      </c>
      <c r="BG101" s="12">
        <f t="shared" ref="BG101:BG104" si="64">SUM(E101:W101)</f>
        <v>178.58962391077901</v>
      </c>
      <c r="BH101" s="12">
        <f t="shared" ref="BH101:BH104" si="65">SUM(X101:AJ101)</f>
        <v>31.983202582951744</v>
      </c>
      <c r="BI101" s="12">
        <f t="shared" ref="BI101:BI104" si="66">SUM(AK101:BE101)</f>
        <v>39.681612932447997</v>
      </c>
    </row>
    <row r="102" spans="2:61" x14ac:dyDescent="0.25">
      <c r="C102" s="7">
        <v>431</v>
      </c>
      <c r="D102" s="7" t="s">
        <v>158</v>
      </c>
      <c r="E102" s="12">
        <f>'MCH2'!E102/'MCH2'!E3</f>
        <v>0</v>
      </c>
      <c r="F102" s="12">
        <f>'MCH2'!F102/'MCH2'!F3</f>
        <v>0</v>
      </c>
      <c r="G102" s="12">
        <f>'MCH2'!G102/'MCH2'!G3</f>
        <v>0</v>
      </c>
      <c r="H102" s="12">
        <f>'MCH2'!H102/'MCH2'!H3</f>
        <v>0</v>
      </c>
      <c r="I102" s="12">
        <f>'MCH2'!I102/'MCH2'!I3</f>
        <v>0</v>
      </c>
      <c r="J102" s="12">
        <f>'MCH2'!J102/'MCH2'!J3</f>
        <v>0</v>
      </c>
      <c r="K102" s="12">
        <f>'MCH2'!K102/'MCH2'!K3</f>
        <v>0</v>
      </c>
      <c r="L102" s="12">
        <f>'MCH2'!L102/'MCH2'!L3</f>
        <v>0</v>
      </c>
      <c r="M102" s="12">
        <f>'MCH2'!M102/'MCH2'!M3</f>
        <v>0</v>
      </c>
      <c r="N102" s="12">
        <f>'MCH2'!N102/'MCH2'!N3</f>
        <v>0</v>
      </c>
      <c r="O102" s="12">
        <f>'MCH2'!O102/'MCH2'!O3</f>
        <v>1.2604180899029922</v>
      </c>
      <c r="P102" s="12">
        <f>'MCH2'!P102/'MCH2'!P3</f>
        <v>0</v>
      </c>
      <c r="Q102" s="12">
        <f>'MCH2'!Q102/'MCH2'!Q3</f>
        <v>0</v>
      </c>
      <c r="R102" s="12">
        <f>'MCH2'!R102/'MCH2'!R3</f>
        <v>0</v>
      </c>
      <c r="S102" s="12">
        <f>'MCH2'!S102/'MCH2'!S3</f>
        <v>0</v>
      </c>
      <c r="T102" s="12">
        <f>'MCH2'!T102/'MCH2'!T3</f>
        <v>0</v>
      </c>
      <c r="U102" s="12">
        <f>'MCH2'!U102/'MCH2'!U3</f>
        <v>0</v>
      </c>
      <c r="V102" s="12">
        <f>'MCH2'!V102/'MCH2'!V3</f>
        <v>0</v>
      </c>
      <c r="W102" s="12">
        <f>'MCH2'!W102/'MCH2'!W3</f>
        <v>0</v>
      </c>
      <c r="X102" s="12">
        <f>'MCH2'!X102/'MCH2'!X3</f>
        <v>0</v>
      </c>
      <c r="Y102" s="12">
        <f>'MCH2'!Y102/'MCH2'!Y3</f>
        <v>0</v>
      </c>
      <c r="Z102" s="12">
        <f>'MCH2'!Z102/'MCH2'!Z3</f>
        <v>0</v>
      </c>
      <c r="AA102" s="12">
        <f>'MCH2'!AA102/'MCH2'!AA3</f>
        <v>0</v>
      </c>
      <c r="AB102" s="12">
        <f>'MCH2'!AB102/'MCH2'!AB3</f>
        <v>17.84967948717949</v>
      </c>
      <c r="AC102" s="12">
        <f>'MCH2'!AC102/'MCH2'!AC3</f>
        <v>0</v>
      </c>
      <c r="AD102" s="12">
        <f>'MCH2'!AD102/'MCH2'!AD3</f>
        <v>0</v>
      </c>
      <c r="AE102" s="12">
        <f>'MCH2'!AE102/'MCH2'!AE3</f>
        <v>0</v>
      </c>
      <c r="AF102" s="12">
        <f>'MCH2'!AF102/'MCH2'!AF3</f>
        <v>0</v>
      </c>
      <c r="AG102" s="12">
        <f>'MCH2'!AG102/'MCH2'!AG3</f>
        <v>0</v>
      </c>
      <c r="AH102" s="12">
        <f>'MCH2'!AH102/'MCH2'!AH3</f>
        <v>0</v>
      </c>
      <c r="AI102" s="12">
        <f>'MCH2'!AI102/'MCH2'!AI3</f>
        <v>0</v>
      </c>
      <c r="AJ102" s="12">
        <f>'MCH2'!AJ102/'MCH2'!AJ3</f>
        <v>0</v>
      </c>
      <c r="AK102" s="12">
        <f>'MCH2'!AK102/'MCH2'!AK3</f>
        <v>0</v>
      </c>
      <c r="AL102" s="12">
        <f>'MCH2'!AL102/'MCH2'!AL3</f>
        <v>0</v>
      </c>
      <c r="AM102" s="12">
        <f>'MCH2'!AM102/'MCH2'!AM3</f>
        <v>0</v>
      </c>
      <c r="AN102" s="12">
        <f>'MCH2'!AN102/'MCH2'!AN3</f>
        <v>0</v>
      </c>
      <c r="AO102" s="12">
        <f>'MCH2'!AO102/'MCH2'!AO3</f>
        <v>0</v>
      </c>
      <c r="AP102" s="12">
        <f>'MCH2'!AP102/'MCH2'!AP3</f>
        <v>0</v>
      </c>
      <c r="AQ102" s="12">
        <f>'MCH2'!AQ102/'MCH2'!AQ3</f>
        <v>0</v>
      </c>
      <c r="AR102" s="12">
        <f>'MCH2'!AR102/'MCH2'!AR3</f>
        <v>0</v>
      </c>
      <c r="AS102" s="12">
        <f>'MCH2'!AS102/'MCH2'!AS3</f>
        <v>0</v>
      </c>
      <c r="AT102" s="12">
        <f>'MCH2'!AT102/'MCH2'!AT3</f>
        <v>0</v>
      </c>
      <c r="AU102" s="12">
        <f>'MCH2'!AU102/'MCH2'!AU3</f>
        <v>0</v>
      </c>
      <c r="AV102" s="12">
        <f>'MCH2'!AV102/'MCH2'!AV3</f>
        <v>0</v>
      </c>
      <c r="AW102" s="12">
        <f>'MCH2'!AW102/'MCH2'!AW3</f>
        <v>0</v>
      </c>
      <c r="AX102" s="12">
        <f>'MCH2'!AX102/'MCH2'!AX3</f>
        <v>0</v>
      </c>
      <c r="AY102" s="12">
        <f>'MCH2'!AY102/'MCH2'!AY3</f>
        <v>0</v>
      </c>
      <c r="AZ102" s="12">
        <f>'MCH2'!AZ102/'MCH2'!AZ3</f>
        <v>0</v>
      </c>
      <c r="BA102" s="12">
        <f>'MCH2'!BA102/'MCH2'!BA3</f>
        <v>0</v>
      </c>
      <c r="BB102" s="12">
        <f>'MCH2'!BB102/'MCH2'!BB3</f>
        <v>0</v>
      </c>
      <c r="BC102" s="12">
        <f>'MCH2'!BC102/'MCH2'!BC3</f>
        <v>0</v>
      </c>
      <c r="BD102" s="12">
        <f>'MCH2'!BD102/'MCH2'!BD3</f>
        <v>0</v>
      </c>
      <c r="BE102" s="12">
        <f>'MCH2'!BE102/'MCH2'!BE3</f>
        <v>0</v>
      </c>
      <c r="BF102" s="12">
        <f t="shared" si="63"/>
        <v>19.110097577082481</v>
      </c>
      <c r="BG102" s="12">
        <f t="shared" si="64"/>
        <v>1.2604180899029922</v>
      </c>
      <c r="BH102" s="12">
        <f t="shared" si="65"/>
        <v>17.84967948717949</v>
      </c>
      <c r="BI102" s="12">
        <f t="shared" si="66"/>
        <v>0</v>
      </c>
    </row>
    <row r="103" spans="2:61" x14ac:dyDescent="0.25">
      <c r="C103" s="7">
        <v>432</v>
      </c>
      <c r="D103" s="7" t="s">
        <v>159</v>
      </c>
      <c r="E103" s="12">
        <f>'MCH2'!E103/'MCH2'!E3</f>
        <v>0</v>
      </c>
      <c r="F103" s="12">
        <f>'MCH2'!F103/'MCH2'!F3</f>
        <v>0</v>
      </c>
      <c r="G103" s="12">
        <f>'MCH2'!G103/'MCH2'!G3</f>
        <v>0</v>
      </c>
      <c r="H103" s="12">
        <f>'MCH2'!H103/'MCH2'!H3</f>
        <v>0</v>
      </c>
      <c r="I103" s="12">
        <f>'MCH2'!I103/'MCH2'!I3</f>
        <v>0</v>
      </c>
      <c r="J103" s="12">
        <f>'MCH2'!J103/'MCH2'!J3</f>
        <v>0</v>
      </c>
      <c r="K103" s="12">
        <f>'MCH2'!K103/'MCH2'!K3</f>
        <v>0</v>
      </c>
      <c r="L103" s="12">
        <f>'MCH2'!L103/'MCH2'!L3</f>
        <v>0</v>
      </c>
      <c r="M103" s="12">
        <f>'MCH2'!M103/'MCH2'!M3</f>
        <v>0</v>
      </c>
      <c r="N103" s="12">
        <f>'MCH2'!N103/'MCH2'!N3</f>
        <v>0</v>
      </c>
      <c r="O103" s="12">
        <f>'MCH2'!O103/'MCH2'!O3</f>
        <v>0</v>
      </c>
      <c r="P103" s="12">
        <f>'MCH2'!P103/'MCH2'!P3</f>
        <v>0</v>
      </c>
      <c r="Q103" s="12">
        <f>'MCH2'!Q103/'MCH2'!Q3</f>
        <v>0</v>
      </c>
      <c r="R103" s="12">
        <f>'MCH2'!R103/'MCH2'!R3</f>
        <v>0</v>
      </c>
      <c r="S103" s="12">
        <f>'MCH2'!S103/'MCH2'!S3</f>
        <v>0</v>
      </c>
      <c r="T103" s="12">
        <f>'MCH2'!T103/'MCH2'!T3</f>
        <v>0</v>
      </c>
      <c r="U103" s="12">
        <f>'MCH2'!U103/'MCH2'!U3</f>
        <v>0</v>
      </c>
      <c r="V103" s="12">
        <f>'MCH2'!V103/'MCH2'!V3</f>
        <v>-3.1794964028776977</v>
      </c>
      <c r="W103" s="12">
        <f>'MCH2'!W103/'MCH2'!W3</f>
        <v>0</v>
      </c>
      <c r="X103" s="12">
        <f>'MCH2'!X103/'MCH2'!X3</f>
        <v>0</v>
      </c>
      <c r="Y103" s="12">
        <f>'MCH2'!Y103/'MCH2'!Y3</f>
        <v>26.473489666136725</v>
      </c>
      <c r="Z103" s="12">
        <f>'MCH2'!Z103/'MCH2'!Z3</f>
        <v>0</v>
      </c>
      <c r="AA103" s="12">
        <f>'MCH2'!AA103/'MCH2'!AA3</f>
        <v>0</v>
      </c>
      <c r="AB103" s="12">
        <f>'MCH2'!AB103/'MCH2'!AB3</f>
        <v>11.015705128205129</v>
      </c>
      <c r="AC103" s="12">
        <f>'MCH2'!AC103/'MCH2'!AC3</f>
        <v>0</v>
      </c>
      <c r="AD103" s="12">
        <f>'MCH2'!AD103/'MCH2'!AD3</f>
        <v>0</v>
      </c>
      <c r="AE103" s="12">
        <f>'MCH2'!AE103/'MCH2'!AE3</f>
        <v>0</v>
      </c>
      <c r="AF103" s="12">
        <f>'MCH2'!AF103/'MCH2'!AF3</f>
        <v>0</v>
      </c>
      <c r="AG103" s="12">
        <f>'MCH2'!AG103/'MCH2'!AG3</f>
        <v>0</v>
      </c>
      <c r="AH103" s="12">
        <f>'MCH2'!AH103/'MCH2'!AH3</f>
        <v>0</v>
      </c>
      <c r="AI103" s="12">
        <f>'MCH2'!AI103/'MCH2'!AI3</f>
        <v>0</v>
      </c>
      <c r="AJ103" s="12">
        <f>'MCH2'!AJ103/'MCH2'!AJ3</f>
        <v>15.627542372881356</v>
      </c>
      <c r="AK103" s="12">
        <f>'MCH2'!AK103/'MCH2'!AK3</f>
        <v>0</v>
      </c>
      <c r="AL103" s="12">
        <f>'MCH2'!AL103/'MCH2'!AL3</f>
        <v>0</v>
      </c>
      <c r="AM103" s="12">
        <f>'MCH2'!AM103/'MCH2'!AM3</f>
        <v>0</v>
      </c>
      <c r="AN103" s="12">
        <f>'MCH2'!AN103/'MCH2'!AN3</f>
        <v>0</v>
      </c>
      <c r="AO103" s="12">
        <f>'MCH2'!AO103/'MCH2'!AO3</f>
        <v>0</v>
      </c>
      <c r="AP103" s="12">
        <f>'MCH2'!AP103/'MCH2'!AP3</f>
        <v>0</v>
      </c>
      <c r="AQ103" s="12">
        <f>'MCH2'!AQ103/'MCH2'!AQ3</f>
        <v>0</v>
      </c>
      <c r="AR103" s="12">
        <f>'MCH2'!AR103/'MCH2'!AR3</f>
        <v>0</v>
      </c>
      <c r="AS103" s="12">
        <f>'MCH2'!AS103/'MCH2'!AS3</f>
        <v>0</v>
      </c>
      <c r="AT103" s="12">
        <f>'MCH2'!AT103/'MCH2'!AT3</f>
        <v>0</v>
      </c>
      <c r="AU103" s="12">
        <f>'MCH2'!AU103/'MCH2'!AU3</f>
        <v>0</v>
      </c>
      <c r="AV103" s="12">
        <f>'MCH2'!AV103/'MCH2'!AV3</f>
        <v>0</v>
      </c>
      <c r="AW103" s="12">
        <f>'MCH2'!AW103/'MCH2'!AW3</f>
        <v>0</v>
      </c>
      <c r="AX103" s="12">
        <f>'MCH2'!AX103/'MCH2'!AX3</f>
        <v>0</v>
      </c>
      <c r="AY103" s="12">
        <f>'MCH2'!AY103/'MCH2'!AY3</f>
        <v>0</v>
      </c>
      <c r="AZ103" s="12">
        <f>'MCH2'!AZ103/'MCH2'!AZ3</f>
        <v>0</v>
      </c>
      <c r="BA103" s="12">
        <f>'MCH2'!BA103/'MCH2'!BA3</f>
        <v>0</v>
      </c>
      <c r="BB103" s="12">
        <f>'MCH2'!BB103/'MCH2'!BB3</f>
        <v>0</v>
      </c>
      <c r="BC103" s="12">
        <f>'MCH2'!BC103/'MCH2'!BC3</f>
        <v>0</v>
      </c>
      <c r="BD103" s="12">
        <f>'MCH2'!BD103/'MCH2'!BD3</f>
        <v>0</v>
      </c>
      <c r="BE103" s="12">
        <f>'MCH2'!BE103/'MCH2'!BE3</f>
        <v>0</v>
      </c>
      <c r="BF103" s="12">
        <f t="shared" si="63"/>
        <v>49.937240764345511</v>
      </c>
      <c r="BG103" s="12">
        <f t="shared" si="64"/>
        <v>-3.1794964028776977</v>
      </c>
      <c r="BH103" s="12">
        <f t="shared" si="65"/>
        <v>53.116737167223214</v>
      </c>
      <c r="BI103" s="12">
        <f t="shared" si="66"/>
        <v>0</v>
      </c>
    </row>
    <row r="104" spans="2:61" x14ac:dyDescent="0.25">
      <c r="C104" s="7">
        <v>439</v>
      </c>
      <c r="D104" s="7" t="s">
        <v>160</v>
      </c>
      <c r="E104" s="12">
        <f>'MCH2'!E104/'MCH2'!E3</f>
        <v>0</v>
      </c>
      <c r="F104" s="12">
        <f>'MCH2'!F104/'MCH2'!F3</f>
        <v>0</v>
      </c>
      <c r="G104" s="12">
        <f>'MCH2'!G104/'MCH2'!G3</f>
        <v>0</v>
      </c>
      <c r="H104" s="12">
        <f>'MCH2'!H104/'MCH2'!H3</f>
        <v>0</v>
      </c>
      <c r="I104" s="12">
        <f>'MCH2'!I104/'MCH2'!I3</f>
        <v>0</v>
      </c>
      <c r="J104" s="12">
        <f>'MCH2'!J104/'MCH2'!J3</f>
        <v>0</v>
      </c>
      <c r="K104" s="12">
        <f>'MCH2'!K104/'MCH2'!K3</f>
        <v>0</v>
      </c>
      <c r="L104" s="12">
        <f>'MCH2'!L104/'MCH2'!L3</f>
        <v>0</v>
      </c>
      <c r="M104" s="12">
        <f>'MCH2'!M104/'MCH2'!M3</f>
        <v>0</v>
      </c>
      <c r="N104" s="12">
        <f>'MCH2'!N104/'MCH2'!N3</f>
        <v>150.57187500000001</v>
      </c>
      <c r="O104" s="12">
        <f>'MCH2'!O104/'MCH2'!O3</f>
        <v>0</v>
      </c>
      <c r="P104" s="12">
        <f>'MCH2'!P104/'MCH2'!P3</f>
        <v>0</v>
      </c>
      <c r="Q104" s="12">
        <f>'MCH2'!Q104/'MCH2'!Q3</f>
        <v>0</v>
      </c>
      <c r="R104" s="12">
        <f>'MCH2'!R104/'MCH2'!R3</f>
        <v>0</v>
      </c>
      <c r="S104" s="12">
        <f>'MCH2'!S104/'MCH2'!S3</f>
        <v>0</v>
      </c>
      <c r="T104" s="12">
        <f>'MCH2'!T104/'MCH2'!T3</f>
        <v>0</v>
      </c>
      <c r="U104" s="12">
        <f>'MCH2'!U104/'MCH2'!U3</f>
        <v>0.29259259259259257</v>
      </c>
      <c r="V104" s="12">
        <f>'MCH2'!V104/'MCH2'!V3</f>
        <v>5.7793764988009588</v>
      </c>
      <c r="W104" s="12">
        <f>'MCH2'!W104/'MCH2'!W3</f>
        <v>0</v>
      </c>
      <c r="X104" s="12">
        <f>'MCH2'!X104/'MCH2'!X3</f>
        <v>0</v>
      </c>
      <c r="Y104" s="12">
        <f>'MCH2'!Y104/'MCH2'!Y3</f>
        <v>0</v>
      </c>
      <c r="Z104" s="12">
        <f>'MCH2'!Z104/'MCH2'!Z3</f>
        <v>0</v>
      </c>
      <c r="AA104" s="12">
        <f>'MCH2'!AA104/'MCH2'!AA3</f>
        <v>0</v>
      </c>
      <c r="AB104" s="12">
        <f>'MCH2'!AB104/'MCH2'!AB3</f>
        <v>1.3493589743589745</v>
      </c>
      <c r="AC104" s="12">
        <f>'MCH2'!AC104/'MCH2'!AC3</f>
        <v>0</v>
      </c>
      <c r="AD104" s="12">
        <f>'MCH2'!AD104/'MCH2'!AD3</f>
        <v>0</v>
      </c>
      <c r="AE104" s="12">
        <f>'MCH2'!AE104/'MCH2'!AE3</f>
        <v>0.85399274047186935</v>
      </c>
      <c r="AF104" s="12">
        <f>'MCH2'!AF104/'MCH2'!AF3</f>
        <v>0</v>
      </c>
      <c r="AG104" s="12">
        <f>'MCH2'!AG104/'MCH2'!AG3</f>
        <v>5.9411146161934809</v>
      </c>
      <c r="AH104" s="12">
        <f>'MCH2'!AH104/'MCH2'!AH3</f>
        <v>0</v>
      </c>
      <c r="AI104" s="12">
        <f>'MCH2'!AI104/'MCH2'!AI3</f>
        <v>0</v>
      </c>
      <c r="AJ104" s="12">
        <f>'MCH2'!AJ104/'MCH2'!AJ3</f>
        <v>0.90466101694915257</v>
      </c>
      <c r="AK104" s="12">
        <f>'MCH2'!AK104/'MCH2'!AK3</f>
        <v>0</v>
      </c>
      <c r="AL104" s="12">
        <f>'MCH2'!AL104/'MCH2'!AL3</f>
        <v>0</v>
      </c>
      <c r="AM104" s="12">
        <f>'MCH2'!AM104/'MCH2'!AM3</f>
        <v>0</v>
      </c>
      <c r="AN104" s="12">
        <f>'MCH2'!AN104/'MCH2'!AN3</f>
        <v>0</v>
      </c>
      <c r="AO104" s="12">
        <f>'MCH2'!AO104/'MCH2'!AO3</f>
        <v>0</v>
      </c>
      <c r="AP104" s="12">
        <f>'MCH2'!AP104/'MCH2'!AP3</f>
        <v>0</v>
      </c>
      <c r="AQ104" s="12">
        <f>'MCH2'!AQ104/'MCH2'!AQ3</f>
        <v>0</v>
      </c>
      <c r="AR104" s="12">
        <f>'MCH2'!AR104/'MCH2'!AR3</f>
        <v>0</v>
      </c>
      <c r="AS104" s="12">
        <f>'MCH2'!AS104/'MCH2'!AS3</f>
        <v>0</v>
      </c>
      <c r="AT104" s="12">
        <f>'MCH2'!AT104/'MCH2'!AT3</f>
        <v>0</v>
      </c>
      <c r="AU104" s="12">
        <f>'MCH2'!AU104/'MCH2'!AU3</f>
        <v>0</v>
      </c>
      <c r="AV104" s="12">
        <f>'MCH2'!AV104/'MCH2'!AV3</f>
        <v>0</v>
      </c>
      <c r="AW104" s="12">
        <f>'MCH2'!AW104/'MCH2'!AW3</f>
        <v>2.0356234096692112</v>
      </c>
      <c r="AX104" s="12">
        <f>'MCH2'!AX104/'MCH2'!AX3</f>
        <v>0</v>
      </c>
      <c r="AY104" s="12">
        <f>'MCH2'!AY104/'MCH2'!AY3</f>
        <v>0</v>
      </c>
      <c r="AZ104" s="12">
        <f>'MCH2'!AZ104/'MCH2'!AZ3</f>
        <v>0</v>
      </c>
      <c r="BA104" s="12">
        <f>'MCH2'!BA104/'MCH2'!BA3</f>
        <v>0</v>
      </c>
      <c r="BB104" s="12">
        <f>'MCH2'!BB104/'MCH2'!BB3</f>
        <v>0</v>
      </c>
      <c r="BC104" s="12">
        <f>'MCH2'!BC104/'MCH2'!BC3</f>
        <v>0</v>
      </c>
      <c r="BD104" s="12">
        <f>'MCH2'!BD104/'MCH2'!BD3</f>
        <v>0</v>
      </c>
      <c r="BE104" s="12">
        <f>'MCH2'!BE104/'MCH2'!BE3</f>
        <v>0</v>
      </c>
      <c r="BF104" s="12">
        <f t="shared" si="63"/>
        <v>167.72859484903626</v>
      </c>
      <c r="BG104" s="12">
        <f t="shared" si="64"/>
        <v>156.64384409139356</v>
      </c>
      <c r="BH104" s="12">
        <f t="shared" si="65"/>
        <v>9.049127347973478</v>
      </c>
      <c r="BI104" s="12">
        <f t="shared" si="66"/>
        <v>2.0356234096692112</v>
      </c>
    </row>
    <row r="105" spans="2:61" x14ac:dyDescent="0.25">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row>
    <row r="106" spans="2:61" x14ac:dyDescent="0.25">
      <c r="B106" s="68">
        <v>44</v>
      </c>
      <c r="C106" s="68"/>
      <c r="D106" s="68" t="s">
        <v>161</v>
      </c>
      <c r="E106" s="69">
        <f>E107+E108+E109+E110+E111+E112+E113+E114+E115+E116</f>
        <v>61.182712933753947</v>
      </c>
      <c r="F106" s="69">
        <f t="shared" ref="F106:BI106" si="67">F107+F108+F109+F110+F111+F112+F113+F114+F115+F116</f>
        <v>115.45968992248062</v>
      </c>
      <c r="G106" s="69">
        <f t="shared" si="67"/>
        <v>516.71091295116764</v>
      </c>
      <c r="H106" s="69">
        <f t="shared" si="67"/>
        <v>305.99773242630386</v>
      </c>
      <c r="I106" s="69">
        <f t="shared" si="67"/>
        <v>156.78008952794357</v>
      </c>
      <c r="J106" s="69">
        <f t="shared" si="67"/>
        <v>88.761925747057035</v>
      </c>
      <c r="K106" s="69">
        <f t="shared" si="67"/>
        <v>106.74941597588546</v>
      </c>
      <c r="L106" s="69">
        <f t="shared" si="67"/>
        <v>268.49339822728712</v>
      </c>
      <c r="M106" s="69">
        <f t="shared" si="67"/>
        <v>60.855249999999998</v>
      </c>
      <c r="N106" s="69">
        <f t="shared" si="67"/>
        <v>211.61535714285716</v>
      </c>
      <c r="O106" s="69">
        <f t="shared" si="67"/>
        <v>89.328354966525481</v>
      </c>
      <c r="P106" s="69">
        <f t="shared" si="67"/>
        <v>154.00323754789272</v>
      </c>
      <c r="Q106" s="69">
        <f t="shared" si="67"/>
        <v>184.4925471698113</v>
      </c>
      <c r="R106" s="69">
        <f t="shared" si="67"/>
        <v>75.041411764705884</v>
      </c>
      <c r="S106" s="69">
        <f t="shared" si="67"/>
        <v>53.009285714285717</v>
      </c>
      <c r="T106" s="69">
        <f t="shared" si="67"/>
        <v>105.84301500682129</v>
      </c>
      <c r="U106" s="69">
        <f t="shared" si="67"/>
        <v>123.09655555555555</v>
      </c>
      <c r="V106" s="69">
        <f t="shared" si="67"/>
        <v>170.20851318944847</v>
      </c>
      <c r="W106" s="69">
        <f t="shared" si="67"/>
        <v>148.78877321156773</v>
      </c>
      <c r="X106" s="69">
        <f t="shared" si="67"/>
        <v>37.29285714285713</v>
      </c>
      <c r="Y106" s="69">
        <f t="shared" si="67"/>
        <v>87.673545310015896</v>
      </c>
      <c r="Z106" s="69">
        <f t="shared" si="67"/>
        <v>41.506266404199479</v>
      </c>
      <c r="AA106" s="69">
        <f t="shared" si="67"/>
        <v>366.42413793103447</v>
      </c>
      <c r="AB106" s="69">
        <f t="shared" si="67"/>
        <v>194.84115384615384</v>
      </c>
      <c r="AC106" s="69">
        <f t="shared" si="67"/>
        <v>184.85705882352943</v>
      </c>
      <c r="AD106" s="69">
        <f t="shared" si="67"/>
        <v>258.73429787234039</v>
      </c>
      <c r="AE106" s="69">
        <f t="shared" si="67"/>
        <v>61.130562613430129</v>
      </c>
      <c r="AF106" s="69">
        <f t="shared" si="67"/>
        <v>248.52911937377689</v>
      </c>
      <c r="AG106" s="69">
        <f t="shared" si="67"/>
        <v>135.43447949526814</v>
      </c>
      <c r="AH106" s="69">
        <f t="shared" si="67"/>
        <v>116.04534368932039</v>
      </c>
      <c r="AI106" s="69">
        <f t="shared" si="67"/>
        <v>147.41298245614036</v>
      </c>
      <c r="AJ106" s="69">
        <f t="shared" si="67"/>
        <v>1812.4725423728817</v>
      </c>
      <c r="AK106" s="69">
        <f t="shared" si="67"/>
        <v>86.924341126461215</v>
      </c>
      <c r="AL106" s="69">
        <f t="shared" si="67"/>
        <v>574.92675942549363</v>
      </c>
      <c r="AM106" s="69">
        <f t="shared" si="67"/>
        <v>142.35464256368118</v>
      </c>
      <c r="AN106" s="69">
        <f t="shared" si="67"/>
        <v>220.37837606837607</v>
      </c>
      <c r="AO106" s="69">
        <f t="shared" si="67"/>
        <v>206.32268049792532</v>
      </c>
      <c r="AP106" s="69">
        <f t="shared" si="67"/>
        <v>216.89502399999998</v>
      </c>
      <c r="AQ106" s="69">
        <f t="shared" si="67"/>
        <v>136.75090332805073</v>
      </c>
      <c r="AR106" s="69">
        <f t="shared" si="67"/>
        <v>485.3694196078431</v>
      </c>
      <c r="AS106" s="69">
        <f t="shared" si="67"/>
        <v>164.65891364902507</v>
      </c>
      <c r="AT106" s="69">
        <f t="shared" si="67"/>
        <v>171.51179764243616</v>
      </c>
      <c r="AU106" s="69">
        <f t="shared" si="67"/>
        <v>181.01737201365188</v>
      </c>
      <c r="AV106" s="69">
        <f t="shared" si="67"/>
        <v>67.298796714579055</v>
      </c>
      <c r="AW106" s="69">
        <f t="shared" si="67"/>
        <v>81.311501272264621</v>
      </c>
      <c r="AX106" s="69">
        <f t="shared" si="67"/>
        <v>98.961032608695646</v>
      </c>
      <c r="AY106" s="69">
        <f t="shared" si="67"/>
        <v>186.77198198198198</v>
      </c>
      <c r="AZ106" s="69">
        <f t="shared" si="67"/>
        <v>99.194390681003597</v>
      </c>
      <c r="BA106" s="69">
        <f t="shared" si="67"/>
        <v>120.05739130434783</v>
      </c>
      <c r="BB106" s="69">
        <f t="shared" si="67"/>
        <v>291.37679657794683</v>
      </c>
      <c r="BC106" s="69">
        <f t="shared" si="67"/>
        <v>299.66817204301077</v>
      </c>
      <c r="BD106" s="69">
        <f t="shared" si="67"/>
        <v>394.60941623971434</v>
      </c>
      <c r="BE106" s="69">
        <f t="shared" si="67"/>
        <v>202.15637362637361</v>
      </c>
      <c r="BF106" s="69">
        <f t="shared" si="67"/>
        <v>11117.288609285162</v>
      </c>
      <c r="BG106" s="69">
        <f t="shared" si="67"/>
        <v>2996.4181789813506</v>
      </c>
      <c r="BH106" s="69">
        <f t="shared" si="67"/>
        <v>3692.3543473309478</v>
      </c>
      <c r="BI106" s="69">
        <f t="shared" si="67"/>
        <v>4428.516082972862</v>
      </c>
    </row>
    <row r="107" spans="2:61" x14ac:dyDescent="0.25">
      <c r="C107" s="7">
        <v>440</v>
      </c>
      <c r="D107" s="7" t="s">
        <v>162</v>
      </c>
      <c r="E107" s="12">
        <f>'MCH2'!E107/'MCH2'!E3</f>
        <v>21.845173501577285</v>
      </c>
      <c r="F107" s="12">
        <f>'MCH2'!F107/'MCH2'!F3</f>
        <v>13.405426356589146</v>
      </c>
      <c r="G107" s="12">
        <f>'MCH2'!G107/'MCH2'!G3</f>
        <v>18.365583864118896</v>
      </c>
      <c r="H107" s="12">
        <f>'MCH2'!H107/'MCH2'!H3</f>
        <v>17.399092970521544</v>
      </c>
      <c r="I107" s="12">
        <f>'MCH2'!I107/'MCH2'!I3</f>
        <v>25.181969614758547</v>
      </c>
      <c r="J107" s="12">
        <f>'MCH2'!J107/'MCH2'!J3</f>
        <v>25.774832478116512</v>
      </c>
      <c r="K107" s="12">
        <f>'MCH2'!K107/'MCH2'!K3</f>
        <v>19.061887716654105</v>
      </c>
      <c r="L107" s="12">
        <f>'MCH2'!L107/'MCH2'!L3</f>
        <v>72.53285295979741</v>
      </c>
      <c r="M107" s="12">
        <f>'MCH2'!M107/'MCH2'!M3</f>
        <v>25.375066176470586</v>
      </c>
      <c r="N107" s="12">
        <f>'MCH2'!N107/'MCH2'!N3</f>
        <v>22.776071428571431</v>
      </c>
      <c r="O107" s="12">
        <f>'MCH2'!O107/'MCH2'!O3</f>
        <v>27.939163820194015</v>
      </c>
      <c r="P107" s="12">
        <f>'MCH2'!P107/'MCH2'!P3</f>
        <v>26.723544061302682</v>
      </c>
      <c r="Q107" s="12">
        <f>'MCH2'!Q107/'MCH2'!Q3</f>
        <v>29.492547169811321</v>
      </c>
      <c r="R107" s="12">
        <f>'MCH2'!R107/'MCH2'!R3</f>
        <v>1.2941176470588235E-2</v>
      </c>
      <c r="S107" s="12">
        <f>'MCH2'!S107/'MCH2'!S3</f>
        <v>0</v>
      </c>
      <c r="T107" s="12">
        <f>'MCH2'!T107/'MCH2'!T3</f>
        <v>27.934420190995908</v>
      </c>
      <c r="U107" s="12">
        <f>'MCH2'!U107/'MCH2'!U3</f>
        <v>37.960999999999999</v>
      </c>
      <c r="V107" s="12">
        <f>'MCH2'!V107/'MCH2'!V3</f>
        <v>34.444004796163071</v>
      </c>
      <c r="W107" s="12">
        <f>'MCH2'!W107/'MCH2'!W3</f>
        <v>29.517975646879759</v>
      </c>
      <c r="X107" s="12">
        <f>'MCH2'!X107/'MCH2'!X3</f>
        <v>16.419480519480519</v>
      </c>
      <c r="Y107" s="12">
        <f>'MCH2'!Y107/'MCH2'!Y3</f>
        <v>33.449379968203495</v>
      </c>
      <c r="Z107" s="12">
        <f>'MCH2'!Z107/'MCH2'!Z3</f>
        <v>21.865610236220473</v>
      </c>
      <c r="AA107" s="12">
        <f>'MCH2'!AA107/'MCH2'!AA3</f>
        <v>23.385057471264368</v>
      </c>
      <c r="AB107" s="12">
        <f>'MCH2'!AB107/'MCH2'!AB3</f>
        <v>17.238589743589742</v>
      </c>
      <c r="AC107" s="12">
        <f>'MCH2'!AC107/'MCH2'!AC3</f>
        <v>11.484607843137255</v>
      </c>
      <c r="AD107" s="12">
        <f>'MCH2'!AD107/'MCH2'!AD3</f>
        <v>14.584723404255319</v>
      </c>
      <c r="AE107" s="12">
        <f>'MCH2'!AE107/'MCH2'!AE3</f>
        <v>26.956333938294012</v>
      </c>
      <c r="AF107" s="12">
        <f>'MCH2'!AF107/'MCH2'!AF3</f>
        <v>0.58058708414872795</v>
      </c>
      <c r="AG107" s="12">
        <f>'MCH2'!AG107/'MCH2'!AG3</f>
        <v>16.570699263932703</v>
      </c>
      <c r="AH107" s="12">
        <f>'MCH2'!AH107/'MCH2'!AH3</f>
        <v>19.838528155339805</v>
      </c>
      <c r="AI107" s="12">
        <f>'MCH2'!AI107/'MCH2'!AI3</f>
        <v>25.352456140350874</v>
      </c>
      <c r="AJ107" s="12">
        <f>'MCH2'!AJ107/'MCH2'!AJ3</f>
        <v>19.3835593220339</v>
      </c>
      <c r="AK107" s="12">
        <f>'MCH2'!AK107/'MCH2'!AK3</f>
        <v>27.311137088204038</v>
      </c>
      <c r="AL107" s="12">
        <f>'MCH2'!AL107/'MCH2'!AL3</f>
        <v>70.475547576301608</v>
      </c>
      <c r="AM107" s="12">
        <f>'MCH2'!AM107/'MCH2'!AM3</f>
        <v>35.781635168447004</v>
      </c>
      <c r="AN107" s="12">
        <f>'MCH2'!AN107/'MCH2'!AN3</f>
        <v>58.519401709401713</v>
      </c>
      <c r="AO107" s="12">
        <f>'MCH2'!AO107/'MCH2'!AO3</f>
        <v>17.636248962655603</v>
      </c>
      <c r="AP107" s="12">
        <f>'MCH2'!AP107/'MCH2'!AP3</f>
        <v>69.487743999999992</v>
      </c>
      <c r="AQ107" s="12">
        <f>'MCH2'!AQ107/'MCH2'!AQ3</f>
        <v>32.859302694136296</v>
      </c>
      <c r="AR107" s="12">
        <f>'MCH2'!AR107/'MCH2'!AR3</f>
        <v>29.526541176470584</v>
      </c>
      <c r="AS107" s="12">
        <f>'MCH2'!AS107/'MCH2'!AS3</f>
        <v>34.288161559888579</v>
      </c>
      <c r="AT107" s="12">
        <f>'MCH2'!AT107/'MCH2'!AT3</f>
        <v>33.72656188605108</v>
      </c>
      <c r="AU107" s="12">
        <f>'MCH2'!AU107/'MCH2'!AU3</f>
        <v>32.777440273037548</v>
      </c>
      <c r="AV107" s="12">
        <f>'MCH2'!AV107/'MCH2'!AV3</f>
        <v>30.867034907597535</v>
      </c>
      <c r="AW107" s="12">
        <f>'MCH2'!AW107/'MCH2'!AW3</f>
        <v>19.477404580152673</v>
      </c>
      <c r="AX107" s="12">
        <f>'MCH2'!AX107/'MCH2'!AX3</f>
        <v>21.252336956521738</v>
      </c>
      <c r="AY107" s="12">
        <f>'MCH2'!AY107/'MCH2'!AY3</f>
        <v>30.264024024024025</v>
      </c>
      <c r="AZ107" s="12">
        <f>'MCH2'!AZ107/'MCH2'!AZ3</f>
        <v>40.413446833930706</v>
      </c>
      <c r="BA107" s="12">
        <f>'MCH2'!BA107/'MCH2'!BA3</f>
        <v>30.005856777493609</v>
      </c>
      <c r="BB107" s="12">
        <f>'MCH2'!BB107/'MCH2'!BB3</f>
        <v>50.748935361216731</v>
      </c>
      <c r="BC107" s="12">
        <f>'MCH2'!BC107/'MCH2'!BC3</f>
        <v>30.488333333333333</v>
      </c>
      <c r="BD107" s="12">
        <f>'MCH2'!BD107/'MCH2'!BD3</f>
        <v>55.33298245614035</v>
      </c>
      <c r="BE107" s="12">
        <f>'MCH2'!BE107/'MCH2'!BE3</f>
        <v>89.431831501831496</v>
      </c>
      <c r="BF107" s="12">
        <f t="shared" ref="BF107:BF116" si="68">SUM(E107:BE107)</f>
        <v>1563.5250758460807</v>
      </c>
      <c r="BG107" s="12">
        <f t="shared" ref="BG107:BG116" si="69">SUM(E107:W107)</f>
        <v>475.74355392899281</v>
      </c>
      <c r="BH107" s="12">
        <f t="shared" ref="BH107:BH116" si="70">SUM(X107:AJ107)</f>
        <v>247.10961309025126</v>
      </c>
      <c r="BI107" s="12">
        <f t="shared" ref="BI107:BI116" si="71">SUM(AK107:BE107)</f>
        <v>840.67190882683622</v>
      </c>
    </row>
    <row r="108" spans="2:61" x14ac:dyDescent="0.25">
      <c r="C108" s="7">
        <v>441</v>
      </c>
      <c r="D108" s="7" t="s">
        <v>163</v>
      </c>
      <c r="E108" s="12">
        <f>'MCH2'!E108/'MCH2'!E3</f>
        <v>10.956782334384858</v>
      </c>
      <c r="F108" s="12">
        <f>'MCH2'!F108/'MCH2'!F3</f>
        <v>0</v>
      </c>
      <c r="G108" s="12">
        <f>'MCH2'!G108/'MCH2'!G3</f>
        <v>0</v>
      </c>
      <c r="H108" s="12">
        <f>'MCH2'!H108/'MCH2'!H3</f>
        <v>0</v>
      </c>
      <c r="I108" s="12">
        <f>'MCH2'!I108/'MCH2'!I3</f>
        <v>0</v>
      </c>
      <c r="J108" s="12">
        <f>'MCH2'!J108/'MCH2'!J3</f>
        <v>0</v>
      </c>
      <c r="K108" s="12">
        <f>'MCH2'!K108/'MCH2'!K3</f>
        <v>0</v>
      </c>
      <c r="L108" s="12">
        <f>'MCH2'!L108/'MCH2'!L3</f>
        <v>0</v>
      </c>
      <c r="M108" s="12">
        <f>'MCH2'!M108/'MCH2'!M3</f>
        <v>0</v>
      </c>
      <c r="N108" s="12">
        <f>'MCH2'!N108/'MCH2'!N3</f>
        <v>0</v>
      </c>
      <c r="O108" s="12">
        <f>'MCH2'!O108/'MCH2'!O3</f>
        <v>0</v>
      </c>
      <c r="P108" s="12">
        <f>'MCH2'!P108/'MCH2'!P3</f>
        <v>0</v>
      </c>
      <c r="Q108" s="12">
        <f>'MCH2'!Q108/'MCH2'!Q3</f>
        <v>0</v>
      </c>
      <c r="R108" s="12">
        <f>'MCH2'!R108/'MCH2'!R3</f>
        <v>0</v>
      </c>
      <c r="S108" s="12">
        <f>'MCH2'!S108/'MCH2'!S3</f>
        <v>0</v>
      </c>
      <c r="T108" s="12">
        <f>'MCH2'!T108/'MCH2'!T3</f>
        <v>0</v>
      </c>
      <c r="U108" s="12">
        <f>'MCH2'!U108/'MCH2'!U3</f>
        <v>0</v>
      </c>
      <c r="V108" s="12">
        <f>'MCH2'!V108/'MCH2'!V3</f>
        <v>0</v>
      </c>
      <c r="W108" s="12">
        <f>'MCH2'!W108/'MCH2'!W3</f>
        <v>3.8051750380517504</v>
      </c>
      <c r="X108" s="12">
        <f>'MCH2'!X108/'MCH2'!X3</f>
        <v>-175.4383116883117</v>
      </c>
      <c r="Y108" s="12">
        <f>'MCH2'!Y108/'MCH2'!Y3</f>
        <v>0</v>
      </c>
      <c r="Z108" s="12">
        <f>'MCH2'!Z108/'MCH2'!Z3</f>
        <v>0</v>
      </c>
      <c r="AA108" s="12">
        <f>'MCH2'!AA108/'MCH2'!AA3</f>
        <v>0</v>
      </c>
      <c r="AB108" s="12">
        <f>'MCH2'!AB108/'MCH2'!AB3</f>
        <v>0</v>
      </c>
      <c r="AC108" s="12">
        <f>'MCH2'!AC108/'MCH2'!AC3</f>
        <v>0</v>
      </c>
      <c r="AD108" s="12">
        <f>'MCH2'!AD108/'MCH2'!AD3</f>
        <v>41.327659574468086</v>
      </c>
      <c r="AE108" s="12">
        <f>'MCH2'!AE108/'MCH2'!AE3</f>
        <v>0</v>
      </c>
      <c r="AF108" s="12">
        <f>'MCH2'!AF108/'MCH2'!AF3</f>
        <v>0</v>
      </c>
      <c r="AG108" s="12">
        <f>'MCH2'!AG108/'MCH2'!AG3</f>
        <v>4.3217665615141954</v>
      </c>
      <c r="AH108" s="12">
        <f>'MCH2'!AH108/'MCH2'!AH3</f>
        <v>1.6699029126213592E-2</v>
      </c>
      <c r="AI108" s="12">
        <f>'MCH2'!AI108/'MCH2'!AI3</f>
        <v>0</v>
      </c>
      <c r="AJ108" s="12">
        <f>'MCH2'!AJ108/'MCH2'!AJ3</f>
        <v>1562.156779661017</v>
      </c>
      <c r="AK108" s="12">
        <f>'MCH2'!AK108/'MCH2'!AK3</f>
        <v>0</v>
      </c>
      <c r="AL108" s="12">
        <f>'MCH2'!AL108/'MCH2'!AL3</f>
        <v>0</v>
      </c>
      <c r="AM108" s="12">
        <f>'MCH2'!AM108/'MCH2'!AM3</f>
        <v>0</v>
      </c>
      <c r="AN108" s="12">
        <f>'MCH2'!AN108/'MCH2'!AN3</f>
        <v>0</v>
      </c>
      <c r="AO108" s="12">
        <f>'MCH2'!AO108/'MCH2'!AO3</f>
        <v>0</v>
      </c>
      <c r="AP108" s="12">
        <f>'MCH2'!AP108/'MCH2'!AP3</f>
        <v>0</v>
      </c>
      <c r="AQ108" s="12">
        <f>'MCH2'!AQ108/'MCH2'!AQ3</f>
        <v>0</v>
      </c>
      <c r="AR108" s="12">
        <f>'MCH2'!AR108/'MCH2'!AR3</f>
        <v>0</v>
      </c>
      <c r="AS108" s="12">
        <f>'MCH2'!AS108/'MCH2'!AS3</f>
        <v>0</v>
      </c>
      <c r="AT108" s="12">
        <f>'MCH2'!AT108/'MCH2'!AT3</f>
        <v>0</v>
      </c>
      <c r="AU108" s="12">
        <f>'MCH2'!AU108/'MCH2'!AU3</f>
        <v>0</v>
      </c>
      <c r="AV108" s="12">
        <f>'MCH2'!AV108/'MCH2'!AV3</f>
        <v>0</v>
      </c>
      <c r="AW108" s="12">
        <f>'MCH2'!AW108/'MCH2'!AW3</f>
        <v>0</v>
      </c>
      <c r="AX108" s="12">
        <f>'MCH2'!AX108/'MCH2'!AX3</f>
        <v>0</v>
      </c>
      <c r="AY108" s="12">
        <f>'MCH2'!AY108/'MCH2'!AY3</f>
        <v>0</v>
      </c>
      <c r="AZ108" s="12">
        <f>'MCH2'!AZ108/'MCH2'!AZ3</f>
        <v>0</v>
      </c>
      <c r="BA108" s="12">
        <f>'MCH2'!BA108/'MCH2'!BA3</f>
        <v>0</v>
      </c>
      <c r="BB108" s="12">
        <f>'MCH2'!BB108/'MCH2'!BB3</f>
        <v>15.527566539923955</v>
      </c>
      <c r="BC108" s="12">
        <f>'MCH2'!BC108/'MCH2'!BC3</f>
        <v>0</v>
      </c>
      <c r="BD108" s="12">
        <f>'MCH2'!BD108/'MCH2'!BD3</f>
        <v>0</v>
      </c>
      <c r="BE108" s="12">
        <f>'MCH2'!BE108/'MCH2'!BE3</f>
        <v>0</v>
      </c>
      <c r="BF108" s="12">
        <f t="shared" si="68"/>
        <v>1462.6741170501743</v>
      </c>
      <c r="BG108" s="12">
        <f t="shared" si="69"/>
        <v>14.761957372436608</v>
      </c>
      <c r="BH108" s="12">
        <f t="shared" si="70"/>
        <v>1432.3845931378139</v>
      </c>
      <c r="BI108" s="12">
        <f t="shared" si="71"/>
        <v>15.527566539923955</v>
      </c>
    </row>
    <row r="109" spans="2:61" x14ac:dyDescent="0.25">
      <c r="C109" s="7">
        <v>442</v>
      </c>
      <c r="D109" s="7" t="s">
        <v>164</v>
      </c>
      <c r="E109" s="12">
        <f>'MCH2'!E109/'MCH2'!E3</f>
        <v>0.18611987381703471</v>
      </c>
      <c r="F109" s="12">
        <f>'MCH2'!F109/'MCH2'!F3</f>
        <v>0</v>
      </c>
      <c r="G109" s="12">
        <f>'MCH2'!G109/'MCH2'!G3</f>
        <v>0</v>
      </c>
      <c r="H109" s="12">
        <f>'MCH2'!H109/'MCH2'!H3</f>
        <v>0</v>
      </c>
      <c r="I109" s="12">
        <f>'MCH2'!I109/'MCH2'!I3</f>
        <v>1.7658708627238198</v>
      </c>
      <c r="J109" s="12">
        <f>'MCH2'!J109/'MCH2'!J3</f>
        <v>1.0866284334440085E-2</v>
      </c>
      <c r="K109" s="12">
        <f>'MCH2'!K109/'MCH2'!K3</f>
        <v>0</v>
      </c>
      <c r="L109" s="12">
        <f>'MCH2'!L109/'MCH2'!L3</f>
        <v>1.742133586578031</v>
      </c>
      <c r="M109" s="12">
        <f>'MCH2'!M109/'MCH2'!M3</f>
        <v>0</v>
      </c>
      <c r="N109" s="12">
        <f>'MCH2'!N109/'MCH2'!N3</f>
        <v>0</v>
      </c>
      <c r="O109" s="12">
        <f>'MCH2'!O109/'MCH2'!O3</f>
        <v>0.54092089083208084</v>
      </c>
      <c r="P109" s="12">
        <f>'MCH2'!P109/'MCH2'!P3</f>
        <v>0</v>
      </c>
      <c r="Q109" s="12">
        <f>'MCH2'!Q109/'MCH2'!Q3</f>
        <v>0.19811320754716982</v>
      </c>
      <c r="R109" s="12">
        <f>'MCH2'!R109/'MCH2'!R3</f>
        <v>0</v>
      </c>
      <c r="S109" s="12">
        <f>'MCH2'!S109/'MCH2'!S3</f>
        <v>9.285714285714286E-3</v>
      </c>
      <c r="T109" s="12">
        <f>'MCH2'!T109/'MCH2'!T3</f>
        <v>0.44338335607094131</v>
      </c>
      <c r="U109" s="12">
        <f>'MCH2'!U109/'MCH2'!U3</f>
        <v>0</v>
      </c>
      <c r="V109" s="12">
        <f>'MCH2'!V109/'MCH2'!V3</f>
        <v>0</v>
      </c>
      <c r="W109" s="12">
        <f>'MCH2'!W109/'MCH2'!W3</f>
        <v>6.3318112633181128E-2</v>
      </c>
      <c r="X109" s="12">
        <f>'MCH2'!X109/'MCH2'!X3</f>
        <v>1.6233766233766232E-2</v>
      </c>
      <c r="Y109" s="12">
        <f>'MCH2'!Y109/'MCH2'!Y3</f>
        <v>0</v>
      </c>
      <c r="Z109" s="12">
        <f>'MCH2'!Z109/'MCH2'!Z3</f>
        <v>0</v>
      </c>
      <c r="AA109" s="12">
        <f>'MCH2'!AA109/'MCH2'!AA3</f>
        <v>0</v>
      </c>
      <c r="AB109" s="12">
        <f>'MCH2'!AB109/'MCH2'!AB3</f>
        <v>0</v>
      </c>
      <c r="AC109" s="12">
        <f>'MCH2'!AC109/'MCH2'!AC3</f>
        <v>0</v>
      </c>
      <c r="AD109" s="12">
        <f>'MCH2'!AD109/'MCH2'!AD3</f>
        <v>2.2695035460992909E-2</v>
      </c>
      <c r="AE109" s="12">
        <f>'MCH2'!AE109/'MCH2'!AE3</f>
        <v>0</v>
      </c>
      <c r="AF109" s="12">
        <f>'MCH2'!AF109/'MCH2'!AF3</f>
        <v>0</v>
      </c>
      <c r="AG109" s="12">
        <f>'MCH2'!AG109/'MCH2'!AG3</f>
        <v>4.5820189274447953</v>
      </c>
      <c r="AH109" s="12">
        <f>'MCH2'!AH109/'MCH2'!AH3</f>
        <v>0</v>
      </c>
      <c r="AI109" s="12">
        <f>'MCH2'!AI109/'MCH2'!AI3</f>
        <v>0</v>
      </c>
      <c r="AJ109" s="12">
        <f>'MCH2'!AJ109/'MCH2'!AJ3</f>
        <v>0</v>
      </c>
      <c r="AK109" s="12">
        <f>'MCH2'!AK109/'MCH2'!AK3</f>
        <v>0</v>
      </c>
      <c r="AL109" s="12">
        <f>'MCH2'!AL109/'MCH2'!AL3</f>
        <v>0.91023339317773788</v>
      </c>
      <c r="AM109" s="12">
        <f>'MCH2'!AM109/'MCH2'!AM3</f>
        <v>0</v>
      </c>
      <c r="AN109" s="12">
        <f>'MCH2'!AN109/'MCH2'!AN3</f>
        <v>0</v>
      </c>
      <c r="AO109" s="12">
        <f>'MCH2'!AO109/'MCH2'!AO3</f>
        <v>0</v>
      </c>
      <c r="AP109" s="12">
        <f>'MCH2'!AP109/'MCH2'!AP3</f>
        <v>6.4000000000000001E-2</v>
      </c>
      <c r="AQ109" s="12">
        <f>'MCH2'!AQ109/'MCH2'!AQ3</f>
        <v>0</v>
      </c>
      <c r="AR109" s="12">
        <f>'MCH2'!AR109/'MCH2'!AR3</f>
        <v>6.3331372549019607</v>
      </c>
      <c r="AS109" s="12">
        <f>'MCH2'!AS109/'MCH2'!AS3</f>
        <v>0</v>
      </c>
      <c r="AT109" s="12">
        <f>'MCH2'!AT109/'MCH2'!AT3</f>
        <v>0.37328094302554027</v>
      </c>
      <c r="AU109" s="12">
        <f>'MCH2'!AU109/'MCH2'!AU3</f>
        <v>0</v>
      </c>
      <c r="AV109" s="12">
        <f>'MCH2'!AV109/'MCH2'!AV3</f>
        <v>0.67043121149897333</v>
      </c>
      <c r="AW109" s="12">
        <f>'MCH2'!AW109/'MCH2'!AW3</f>
        <v>2.8028625954198474</v>
      </c>
      <c r="AX109" s="12">
        <f>'MCH2'!AX109/'MCH2'!AX3</f>
        <v>0</v>
      </c>
      <c r="AY109" s="12">
        <f>'MCH2'!AY109/'MCH2'!AY3</f>
        <v>0</v>
      </c>
      <c r="AZ109" s="12">
        <f>'MCH2'!AZ109/'MCH2'!AZ3</f>
        <v>0</v>
      </c>
      <c r="BA109" s="12">
        <f>'MCH2'!BA109/'MCH2'!BA3</f>
        <v>0</v>
      </c>
      <c r="BB109" s="12">
        <f>'MCH2'!BB109/'MCH2'!BB3</f>
        <v>0.10324144486692015</v>
      </c>
      <c r="BC109" s="12">
        <f>'MCH2'!BC109/'MCH2'!BC3</f>
        <v>0</v>
      </c>
      <c r="BD109" s="12">
        <f>'MCH2'!BD109/'MCH2'!BD3</f>
        <v>5.4847073435801894</v>
      </c>
      <c r="BE109" s="12">
        <f>'MCH2'!BE109/'MCH2'!BE3</f>
        <v>3.6630036630036632E-2</v>
      </c>
      <c r="BF109" s="12">
        <f t="shared" si="68"/>
        <v>26.35948384106317</v>
      </c>
      <c r="BG109" s="12">
        <f t="shared" si="69"/>
        <v>4.9600118888224127</v>
      </c>
      <c r="BH109" s="12">
        <f t="shared" si="70"/>
        <v>4.6209477291395542</v>
      </c>
      <c r="BI109" s="12">
        <f t="shared" si="71"/>
        <v>16.778524223101208</v>
      </c>
    </row>
    <row r="110" spans="2:61" x14ac:dyDescent="0.25">
      <c r="C110" s="7">
        <v>443</v>
      </c>
      <c r="D110" s="7" t="s">
        <v>165</v>
      </c>
      <c r="E110" s="12">
        <f>'MCH2'!E110/'MCH2'!E3</f>
        <v>25.059411146161935</v>
      </c>
      <c r="F110" s="12">
        <f>'MCH2'!F110/'MCH2'!F3</f>
        <v>86.511627906976742</v>
      </c>
      <c r="G110" s="12">
        <f>'MCH2'!G110/'MCH2'!G3</f>
        <v>216.24713375796176</v>
      </c>
      <c r="H110" s="12">
        <f>'MCH2'!H110/'MCH2'!H3</f>
        <v>171.12244897959184</v>
      </c>
      <c r="I110" s="12">
        <f>'MCH2'!I110/'MCH2'!I3</f>
        <v>105.87443027672275</v>
      </c>
      <c r="J110" s="12">
        <f>'MCH2'!J110/'MCH2'!J3</f>
        <v>39.731361303954117</v>
      </c>
      <c r="K110" s="12">
        <f>'MCH2'!K110/'MCH2'!K3</f>
        <v>47.151544837980403</v>
      </c>
      <c r="L110" s="12">
        <f>'MCH2'!L110/'MCH2'!L3</f>
        <v>65.239834599556829</v>
      </c>
      <c r="M110" s="12">
        <f>'MCH2'!M110/'MCH2'!M3</f>
        <v>14.619191176470586</v>
      </c>
      <c r="N110" s="12">
        <f>'MCH2'!N110/'MCH2'!N3</f>
        <v>188.83928571428572</v>
      </c>
      <c r="O110" s="12">
        <f>'MCH2'!O110/'MCH2'!O3</f>
        <v>14.845094958327641</v>
      </c>
      <c r="P110" s="12">
        <f>'MCH2'!P110/'MCH2'!P3</f>
        <v>43.659003831417621</v>
      </c>
      <c r="Q110" s="12">
        <f>'MCH2'!Q110/'MCH2'!Q3</f>
        <v>95.660377358490564</v>
      </c>
      <c r="R110" s="12">
        <f>'MCH2'!R110/'MCH2'!R3</f>
        <v>67.482352941176472</v>
      </c>
      <c r="S110" s="12">
        <f>'MCH2'!S110/'MCH2'!S3</f>
        <v>41.828571428571429</v>
      </c>
      <c r="T110" s="12">
        <f>'MCH2'!T110/'MCH2'!T3</f>
        <v>59.317871759890856</v>
      </c>
      <c r="U110" s="12">
        <f>'MCH2'!U110/'MCH2'!U3</f>
        <v>0</v>
      </c>
      <c r="V110" s="12">
        <f>'MCH2'!V110/'MCH2'!V3</f>
        <v>47.973621103117509</v>
      </c>
      <c r="W110" s="12">
        <f>'MCH2'!W110/'MCH2'!W3</f>
        <v>47.370563165905629</v>
      </c>
      <c r="X110" s="12">
        <f>'MCH2'!X110/'MCH2'!X3</f>
        <v>4.837662337662338</v>
      </c>
      <c r="Y110" s="12">
        <f>'MCH2'!Y110/'MCH2'!Y3</f>
        <v>34.503179650238472</v>
      </c>
      <c r="Z110" s="12">
        <f>'MCH2'!Z110/'MCH2'!Z3</f>
        <v>5.7290026246719163</v>
      </c>
      <c r="AA110" s="12">
        <f>'MCH2'!AA110/'MCH2'!AA3</f>
        <v>172.80459770114942</v>
      </c>
      <c r="AB110" s="12">
        <f>'MCH2'!AB110/'MCH2'!AB3</f>
        <v>162.11538461538461</v>
      </c>
      <c r="AC110" s="12">
        <f>'MCH2'!AC110/'MCH2'!AC3</f>
        <v>80.640392156862745</v>
      </c>
      <c r="AD110" s="12">
        <f>'MCH2'!AD110/'MCH2'!AD3</f>
        <v>114.2758865248227</v>
      </c>
      <c r="AE110" s="12">
        <f>'MCH2'!AE110/'MCH2'!AE3</f>
        <v>3.2849364791288567</v>
      </c>
      <c r="AF110" s="12">
        <f>'MCH2'!AF110/'MCH2'!AF3</f>
        <v>148.58062622309197</v>
      </c>
      <c r="AG110" s="12">
        <f>'MCH2'!AG110/'MCH2'!AG3</f>
        <v>45.928916929547846</v>
      </c>
      <c r="AH110" s="12">
        <f>'MCH2'!AH110/'MCH2'!AH3</f>
        <v>15.219029126213591</v>
      </c>
      <c r="AI110" s="12">
        <f>'MCH2'!AI110/'MCH2'!AI3</f>
        <v>0</v>
      </c>
      <c r="AJ110" s="12">
        <f>'MCH2'!AJ110/'MCH2'!AJ3</f>
        <v>226.86440677966101</v>
      </c>
      <c r="AK110" s="12">
        <f>'MCH2'!AK110/'MCH2'!AK3</f>
        <v>0</v>
      </c>
      <c r="AL110" s="12">
        <f>'MCH2'!AL110/'MCH2'!AL3</f>
        <v>127.03716337522441</v>
      </c>
      <c r="AM110" s="12">
        <f>'MCH2'!AM110/'MCH2'!AM3</f>
        <v>58.927485620377979</v>
      </c>
      <c r="AN110" s="12">
        <f>'MCH2'!AN110/'MCH2'!AN3</f>
        <v>63.589743589743591</v>
      </c>
      <c r="AO110" s="12">
        <f>'MCH2'!AO110/'MCH2'!AO3</f>
        <v>176.20585062240664</v>
      </c>
      <c r="AP110" s="12">
        <f>'MCH2'!AP110/'MCH2'!AP3</f>
        <v>40.677599999999998</v>
      </c>
      <c r="AQ110" s="12">
        <f>'MCH2'!AQ110/'MCH2'!AQ3</f>
        <v>32.210935023771789</v>
      </c>
      <c r="AR110" s="12">
        <f>'MCH2'!AR110/'MCH2'!AR3</f>
        <v>331.77670588235293</v>
      </c>
      <c r="AS110" s="12">
        <f>'MCH2'!AS110/'MCH2'!AS3</f>
        <v>21.897493036211699</v>
      </c>
      <c r="AT110" s="12">
        <f>'MCH2'!AT110/'MCH2'!AT3</f>
        <v>67.287328094302552</v>
      </c>
      <c r="AU110" s="12">
        <f>'MCH2'!AU110/'MCH2'!AU3</f>
        <v>106.60170648464164</v>
      </c>
      <c r="AV110" s="12">
        <f>'MCH2'!AV110/'MCH2'!AV3</f>
        <v>0</v>
      </c>
      <c r="AW110" s="12">
        <f>'MCH2'!AW110/'MCH2'!AW3</f>
        <v>36.200445292620863</v>
      </c>
      <c r="AX110" s="12">
        <f>'MCH2'!AX110/'MCH2'!AX3</f>
        <v>14.375</v>
      </c>
      <c r="AY110" s="12">
        <f>'MCH2'!AY110/'MCH2'!AY3</f>
        <v>120.06546546546548</v>
      </c>
      <c r="AZ110" s="12">
        <f>'MCH2'!AZ110/'MCH2'!AZ3</f>
        <v>37.99277180406213</v>
      </c>
      <c r="BA110" s="12">
        <f>'MCH2'!BA110/'MCH2'!BA3</f>
        <v>85.447953964194383</v>
      </c>
      <c r="BB110" s="12">
        <f>'MCH2'!BB110/'MCH2'!BB3</f>
        <v>93.352709125475286</v>
      </c>
      <c r="BC110" s="12">
        <f>'MCH2'!BC110/'MCH2'!BC3</f>
        <v>227.74193548387098</v>
      </c>
      <c r="BD110" s="12">
        <f>'MCH2'!BD110/'MCH2'!BD3</f>
        <v>45.823102002794592</v>
      </c>
      <c r="BE110" s="12">
        <f>'MCH2'!BE110/'MCH2'!BE3</f>
        <v>81.158608058608053</v>
      </c>
      <c r="BF110" s="12">
        <f t="shared" si="68"/>
        <v>4161.6877503211208</v>
      </c>
      <c r="BG110" s="12">
        <f t="shared" si="69"/>
        <v>1378.5337262465603</v>
      </c>
      <c r="BH110" s="12">
        <f t="shared" si="70"/>
        <v>1014.7840211484356</v>
      </c>
      <c r="BI110" s="12">
        <f t="shared" si="71"/>
        <v>1768.3700029261247</v>
      </c>
    </row>
    <row r="111" spans="2:61" x14ac:dyDescent="0.25">
      <c r="C111" s="7">
        <v>444</v>
      </c>
      <c r="D111" s="7" t="s">
        <v>105</v>
      </c>
      <c r="E111" s="12">
        <f>'MCH2'!E111/'MCH2'!E3</f>
        <v>0</v>
      </c>
      <c r="F111" s="12">
        <f>'MCH2'!F111/'MCH2'!F3</f>
        <v>0</v>
      </c>
      <c r="G111" s="12">
        <f>'MCH2'!G111/'MCH2'!G3</f>
        <v>275.58014861995753</v>
      </c>
      <c r="H111" s="12">
        <f>'MCH2'!H111/'MCH2'!H3</f>
        <v>0</v>
      </c>
      <c r="I111" s="12">
        <f>'MCH2'!I111/'MCH2'!I3</f>
        <v>4.9050461204557783</v>
      </c>
      <c r="J111" s="12">
        <f>'MCH2'!J111/'MCH2'!J3</f>
        <v>1.2073649260488983E-2</v>
      </c>
      <c r="K111" s="12">
        <f>'MCH2'!K111/'MCH2'!K3</f>
        <v>0</v>
      </c>
      <c r="L111" s="12">
        <f>'MCH2'!L111/'MCH2'!L3</f>
        <v>0</v>
      </c>
      <c r="M111" s="12">
        <f>'MCH2'!M111/'MCH2'!M3</f>
        <v>2.9411764705882353E-2</v>
      </c>
      <c r="N111" s="12">
        <f>'MCH2'!N111/'MCH2'!N3</f>
        <v>0</v>
      </c>
      <c r="O111" s="12">
        <f>'MCH2'!O111/'MCH2'!O3</f>
        <v>1.2776335564967891</v>
      </c>
      <c r="P111" s="12">
        <f>'MCH2'!P111/'MCH2'!P3</f>
        <v>0</v>
      </c>
      <c r="Q111" s="12">
        <f>'MCH2'!Q111/'MCH2'!Q3</f>
        <v>0.18867924528301888</v>
      </c>
      <c r="R111" s="12">
        <f>'MCH2'!R111/'MCH2'!R3</f>
        <v>0</v>
      </c>
      <c r="S111" s="12">
        <f>'MCH2'!S111/'MCH2'!S3</f>
        <v>0</v>
      </c>
      <c r="T111" s="12">
        <f>'MCH2'!T111/'MCH2'!T3</f>
        <v>0</v>
      </c>
      <c r="U111" s="12">
        <f>'MCH2'!U111/'MCH2'!U3</f>
        <v>0</v>
      </c>
      <c r="V111" s="12">
        <f>'MCH2'!V111/'MCH2'!V3</f>
        <v>0</v>
      </c>
      <c r="W111" s="12">
        <f>'MCH2'!W111/'MCH2'!W3</f>
        <v>0.73028919330289188</v>
      </c>
      <c r="X111" s="12">
        <f>'MCH2'!X111/'MCH2'!X3</f>
        <v>3.246753246753247E-3</v>
      </c>
      <c r="Y111" s="12">
        <f>'MCH2'!Y111/'MCH2'!Y3</f>
        <v>0</v>
      </c>
      <c r="Z111" s="12">
        <f>'MCH2'!Z111/'MCH2'!Z3</f>
        <v>0</v>
      </c>
      <c r="AA111" s="12">
        <f>'MCH2'!AA111/'MCH2'!AA3</f>
        <v>0.11954022988505747</v>
      </c>
      <c r="AB111" s="12">
        <f>'MCH2'!AB111/'MCH2'!AB3</f>
        <v>15.487179487179487</v>
      </c>
      <c r="AC111" s="12">
        <f>'MCH2'!AC111/'MCH2'!AC3</f>
        <v>6.1960784313725492</v>
      </c>
      <c r="AD111" s="12">
        <f>'MCH2'!AD111/'MCH2'!AD3</f>
        <v>2.8368794326241134E-2</v>
      </c>
      <c r="AE111" s="12">
        <f>'MCH2'!AE111/'MCH2'!AE3</f>
        <v>0.18148820326678766</v>
      </c>
      <c r="AF111" s="12">
        <f>'MCH2'!AF111/'MCH2'!AF3</f>
        <v>0</v>
      </c>
      <c r="AG111" s="12">
        <f>'MCH2'!AG111/'MCH2'!AG3</f>
        <v>13.291272344900106</v>
      </c>
      <c r="AH111" s="12">
        <f>'MCH2'!AH111/'MCH2'!AH3</f>
        <v>3.1844660194174756</v>
      </c>
      <c r="AI111" s="12">
        <f>'MCH2'!AI111/'MCH2'!AI3</f>
        <v>0</v>
      </c>
      <c r="AJ111" s="12">
        <f>'MCH2'!AJ111/'MCH2'!AJ3</f>
        <v>0.50847457627118642</v>
      </c>
      <c r="AK111" s="12">
        <f>'MCH2'!AK111/'MCH2'!AK3</f>
        <v>0</v>
      </c>
      <c r="AL111" s="12">
        <f>'MCH2'!AL111/'MCH2'!AL3</f>
        <v>4.2549371633752244</v>
      </c>
      <c r="AM111" s="12">
        <f>'MCH2'!AM111/'MCH2'!AM3</f>
        <v>0</v>
      </c>
      <c r="AN111" s="12">
        <f>'MCH2'!AN111/'MCH2'!AN3</f>
        <v>0</v>
      </c>
      <c r="AO111" s="12">
        <f>'MCH2'!AO111/'MCH2'!AO3</f>
        <v>0</v>
      </c>
      <c r="AP111" s="12">
        <f>'MCH2'!AP111/'MCH2'!AP3</f>
        <v>0</v>
      </c>
      <c r="AQ111" s="12">
        <f>'MCH2'!AQ111/'MCH2'!AQ3</f>
        <v>9.5087163232963547</v>
      </c>
      <c r="AR111" s="12">
        <f>'MCH2'!AR111/'MCH2'!AR3</f>
        <v>0</v>
      </c>
      <c r="AS111" s="12">
        <f>'MCH2'!AS111/'MCH2'!AS3</f>
        <v>27.506963788300837</v>
      </c>
      <c r="AT111" s="12">
        <f>'MCH2'!AT111/'MCH2'!AT3</f>
        <v>1.9646365422396856E-2</v>
      </c>
      <c r="AU111" s="12">
        <f>'MCH2'!AU111/'MCH2'!AU3</f>
        <v>0</v>
      </c>
      <c r="AV111" s="12">
        <f>'MCH2'!AV111/'MCH2'!AV3</f>
        <v>0</v>
      </c>
      <c r="AW111" s="12">
        <f>'MCH2'!AW111/'MCH2'!AW3</f>
        <v>8.0407124681933837</v>
      </c>
      <c r="AX111" s="12">
        <f>'MCH2'!AX111/'MCH2'!AX3</f>
        <v>0</v>
      </c>
      <c r="AY111" s="12">
        <f>'MCH2'!AY111/'MCH2'!AY3</f>
        <v>0</v>
      </c>
      <c r="AZ111" s="12">
        <f>'MCH2'!AZ111/'MCH2'!AZ3</f>
        <v>5.2568697729988054</v>
      </c>
      <c r="BA111" s="12">
        <f>'MCH2'!BA111/'MCH2'!BA3</f>
        <v>0.10230179028132992</v>
      </c>
      <c r="BB111" s="12">
        <f>'MCH2'!BB111/'MCH2'!BB3</f>
        <v>3.5171102661596958</v>
      </c>
      <c r="BC111" s="12">
        <f>'MCH2'!BC111/'MCH2'!BC3</f>
        <v>0</v>
      </c>
      <c r="BD111" s="12">
        <f>'MCH2'!BD111/'MCH2'!BD3</f>
        <v>141.18228380686227</v>
      </c>
      <c r="BE111" s="12">
        <f>'MCH2'!BE111/'MCH2'!BE3</f>
        <v>0</v>
      </c>
      <c r="BF111" s="12">
        <f t="shared" si="68"/>
        <v>521.11293873421823</v>
      </c>
      <c r="BG111" s="12">
        <f t="shared" si="69"/>
        <v>282.72328214946236</v>
      </c>
      <c r="BH111" s="12">
        <f t="shared" si="70"/>
        <v>39.000114839865645</v>
      </c>
      <c r="BI111" s="12">
        <f t="shared" si="71"/>
        <v>199.38954174489029</v>
      </c>
    </row>
    <row r="112" spans="2:61" x14ac:dyDescent="0.25">
      <c r="C112" s="7">
        <v>445</v>
      </c>
      <c r="D112" s="7" t="s">
        <v>166</v>
      </c>
      <c r="E112" s="12">
        <f>'MCH2'!E112/'MCH2'!E3</f>
        <v>0</v>
      </c>
      <c r="F112" s="12">
        <f>'MCH2'!F112/'MCH2'!F3</f>
        <v>0</v>
      </c>
      <c r="G112" s="12">
        <f>'MCH2'!G112/'MCH2'!G3</f>
        <v>0</v>
      </c>
      <c r="H112" s="12">
        <f>'MCH2'!H112/'MCH2'!H3</f>
        <v>0</v>
      </c>
      <c r="I112" s="12">
        <f>'MCH2'!I112/'MCH2'!I3</f>
        <v>0</v>
      </c>
      <c r="J112" s="12">
        <f>'MCH2'!J112/'MCH2'!J3</f>
        <v>0</v>
      </c>
      <c r="K112" s="12">
        <f>'MCH2'!K112/'MCH2'!K3</f>
        <v>0</v>
      </c>
      <c r="L112" s="12">
        <f>'MCH2'!L112/'MCH2'!L3</f>
        <v>7.7401076289965181</v>
      </c>
      <c r="M112" s="12">
        <f>'MCH2'!M112/'MCH2'!M3</f>
        <v>0</v>
      </c>
      <c r="N112" s="12">
        <f>'MCH2'!N112/'MCH2'!N3</f>
        <v>0</v>
      </c>
      <c r="O112" s="12">
        <f>'MCH2'!O112/'MCH2'!O3</f>
        <v>0</v>
      </c>
      <c r="P112" s="12">
        <f>'MCH2'!P112/'MCH2'!P3</f>
        <v>0</v>
      </c>
      <c r="Q112" s="12">
        <f>'MCH2'!Q112/'MCH2'!Q3</f>
        <v>0</v>
      </c>
      <c r="R112" s="12">
        <f>'MCH2'!R112/'MCH2'!R3</f>
        <v>0</v>
      </c>
      <c r="S112" s="12">
        <f>'MCH2'!S112/'MCH2'!S3</f>
        <v>0</v>
      </c>
      <c r="T112" s="12">
        <f>'MCH2'!T112/'MCH2'!T3</f>
        <v>0</v>
      </c>
      <c r="U112" s="12">
        <f>'MCH2'!U112/'MCH2'!U3</f>
        <v>0</v>
      </c>
      <c r="V112" s="12">
        <f>'MCH2'!V112/'MCH2'!V3</f>
        <v>0</v>
      </c>
      <c r="W112" s="12">
        <f>'MCH2'!W112/'MCH2'!W3</f>
        <v>0</v>
      </c>
      <c r="X112" s="12">
        <f>'MCH2'!X112/'MCH2'!X3</f>
        <v>0</v>
      </c>
      <c r="Y112" s="12">
        <f>'MCH2'!Y112/'MCH2'!Y3</f>
        <v>0</v>
      </c>
      <c r="Z112" s="12">
        <f>'MCH2'!Z112/'MCH2'!Z3</f>
        <v>0</v>
      </c>
      <c r="AA112" s="12">
        <f>'MCH2'!AA112/'MCH2'!AA3</f>
        <v>0</v>
      </c>
      <c r="AB112" s="12">
        <f>'MCH2'!AB112/'MCH2'!AB3</f>
        <v>0</v>
      </c>
      <c r="AC112" s="12">
        <f>'MCH2'!AC112/'MCH2'!AC3</f>
        <v>0</v>
      </c>
      <c r="AD112" s="12">
        <f>'MCH2'!AD112/'MCH2'!AD3</f>
        <v>0</v>
      </c>
      <c r="AE112" s="12">
        <f>'MCH2'!AE112/'MCH2'!AE3</f>
        <v>0</v>
      </c>
      <c r="AF112" s="12">
        <f>'MCH2'!AF112/'MCH2'!AF3</f>
        <v>0</v>
      </c>
      <c r="AG112" s="12">
        <f>'MCH2'!AG112/'MCH2'!AG3</f>
        <v>0</v>
      </c>
      <c r="AH112" s="12">
        <f>'MCH2'!AH112/'MCH2'!AH3</f>
        <v>0</v>
      </c>
      <c r="AI112" s="12">
        <f>'MCH2'!AI112/'MCH2'!AI3</f>
        <v>0</v>
      </c>
      <c r="AJ112" s="12">
        <f>'MCH2'!AJ112/'MCH2'!AJ3</f>
        <v>0</v>
      </c>
      <c r="AK112" s="12">
        <f>'MCH2'!AK112/'MCH2'!AK3</f>
        <v>0</v>
      </c>
      <c r="AL112" s="12">
        <f>'MCH2'!AL112/'MCH2'!AL3</f>
        <v>0</v>
      </c>
      <c r="AM112" s="12">
        <f>'MCH2'!AM112/'MCH2'!AM3</f>
        <v>0</v>
      </c>
      <c r="AN112" s="12">
        <f>'MCH2'!AN112/'MCH2'!AN3</f>
        <v>0</v>
      </c>
      <c r="AO112" s="12">
        <f>'MCH2'!AO112/'MCH2'!AO3</f>
        <v>0</v>
      </c>
      <c r="AP112" s="12">
        <f>'MCH2'!AP112/'MCH2'!AP3</f>
        <v>0</v>
      </c>
      <c r="AQ112" s="12">
        <f>'MCH2'!AQ112/'MCH2'!AQ3</f>
        <v>0</v>
      </c>
      <c r="AR112" s="12">
        <f>'MCH2'!AR112/'MCH2'!AR3</f>
        <v>0</v>
      </c>
      <c r="AS112" s="12">
        <f>'MCH2'!AS112/'MCH2'!AS3</f>
        <v>0</v>
      </c>
      <c r="AT112" s="12">
        <f>'MCH2'!AT112/'MCH2'!AT3</f>
        <v>0</v>
      </c>
      <c r="AU112" s="12">
        <f>'MCH2'!AU112/'MCH2'!AU3</f>
        <v>0</v>
      </c>
      <c r="AV112" s="12">
        <f>'MCH2'!AV112/'MCH2'!AV3</f>
        <v>0</v>
      </c>
      <c r="AW112" s="12">
        <f>'MCH2'!AW112/'MCH2'!AW3</f>
        <v>0</v>
      </c>
      <c r="AX112" s="12">
        <f>'MCH2'!AX112/'MCH2'!AX3</f>
        <v>0</v>
      </c>
      <c r="AY112" s="12">
        <f>'MCH2'!AY112/'MCH2'!AY3</f>
        <v>0</v>
      </c>
      <c r="AZ112" s="12">
        <f>'MCH2'!AZ112/'MCH2'!AZ3</f>
        <v>0</v>
      </c>
      <c r="BA112" s="12">
        <f>'MCH2'!BA112/'MCH2'!BA3</f>
        <v>0</v>
      </c>
      <c r="BB112" s="12">
        <f>'MCH2'!BB112/'MCH2'!BB3</f>
        <v>0</v>
      </c>
      <c r="BC112" s="12">
        <f>'MCH2'!BC112/'MCH2'!BC3</f>
        <v>0</v>
      </c>
      <c r="BD112" s="12">
        <f>'MCH2'!BD112/'MCH2'!BD3</f>
        <v>0</v>
      </c>
      <c r="BE112" s="12">
        <f>'MCH2'!BE112/'MCH2'!BE3</f>
        <v>0</v>
      </c>
      <c r="BF112" s="12">
        <f t="shared" si="68"/>
        <v>7.7401076289965181</v>
      </c>
      <c r="BG112" s="12">
        <f t="shared" si="69"/>
        <v>7.7401076289965181</v>
      </c>
      <c r="BH112" s="12">
        <f t="shared" si="70"/>
        <v>0</v>
      </c>
      <c r="BI112" s="12">
        <f t="shared" si="71"/>
        <v>0</v>
      </c>
    </row>
    <row r="113" spans="2:61" x14ac:dyDescent="0.25">
      <c r="C113" s="7">
        <v>446</v>
      </c>
      <c r="D113" s="7" t="s">
        <v>167</v>
      </c>
      <c r="E113" s="12">
        <f>'MCH2'!E113/'MCH2'!E3</f>
        <v>0</v>
      </c>
      <c r="F113" s="12">
        <f>'MCH2'!F113/'MCH2'!F3</f>
        <v>0</v>
      </c>
      <c r="G113" s="12">
        <f>'MCH2'!G113/'MCH2'!G3</f>
        <v>0</v>
      </c>
      <c r="H113" s="12">
        <f>'MCH2'!H113/'MCH2'!H3</f>
        <v>0</v>
      </c>
      <c r="I113" s="12">
        <f>'MCH2'!I113/'MCH2'!I3</f>
        <v>0</v>
      </c>
      <c r="J113" s="12">
        <f>'MCH2'!J113/'MCH2'!J3</f>
        <v>0</v>
      </c>
      <c r="K113" s="12">
        <f>'MCH2'!K113/'MCH2'!K3</f>
        <v>0</v>
      </c>
      <c r="L113" s="12">
        <f>'MCH2'!L113/'MCH2'!L3</f>
        <v>0</v>
      </c>
      <c r="M113" s="12">
        <f>'MCH2'!M113/'MCH2'!M3</f>
        <v>0</v>
      </c>
      <c r="N113" s="12">
        <f>'MCH2'!N113/'MCH2'!N3</f>
        <v>0</v>
      </c>
      <c r="O113" s="12">
        <f>'MCH2'!O113/'MCH2'!O3</f>
        <v>0</v>
      </c>
      <c r="P113" s="12">
        <f>'MCH2'!P113/'MCH2'!P3</f>
        <v>0</v>
      </c>
      <c r="Q113" s="12">
        <f>'MCH2'!Q113/'MCH2'!Q3</f>
        <v>0</v>
      </c>
      <c r="R113" s="12">
        <f>'MCH2'!R113/'MCH2'!R3</f>
        <v>0</v>
      </c>
      <c r="S113" s="12">
        <f>'MCH2'!S113/'MCH2'!S3</f>
        <v>0</v>
      </c>
      <c r="T113" s="12">
        <f>'MCH2'!T113/'MCH2'!T3</f>
        <v>0</v>
      </c>
      <c r="U113" s="12">
        <f>'MCH2'!U113/'MCH2'!U3</f>
        <v>0</v>
      </c>
      <c r="V113" s="12">
        <f>'MCH2'!V113/'MCH2'!V3</f>
        <v>0</v>
      </c>
      <c r="W113" s="12">
        <f>'MCH2'!W113/'MCH2'!W3</f>
        <v>0</v>
      </c>
      <c r="X113" s="12">
        <f>'MCH2'!X113/'MCH2'!X3</f>
        <v>0</v>
      </c>
      <c r="Y113" s="12">
        <f>'MCH2'!Y113/'MCH2'!Y3</f>
        <v>0</v>
      </c>
      <c r="Z113" s="12">
        <f>'MCH2'!Z113/'MCH2'!Z3</f>
        <v>0</v>
      </c>
      <c r="AA113" s="12">
        <f>'MCH2'!AA113/'MCH2'!AA3</f>
        <v>0</v>
      </c>
      <c r="AB113" s="12">
        <f>'MCH2'!AB113/'MCH2'!AB3</f>
        <v>0</v>
      </c>
      <c r="AC113" s="12">
        <f>'MCH2'!AC113/'MCH2'!AC3</f>
        <v>0</v>
      </c>
      <c r="AD113" s="12">
        <f>'MCH2'!AD113/'MCH2'!AD3</f>
        <v>0</v>
      </c>
      <c r="AE113" s="12">
        <f>'MCH2'!AE113/'MCH2'!AE3</f>
        <v>0</v>
      </c>
      <c r="AF113" s="12">
        <f>'MCH2'!AF113/'MCH2'!AF3</f>
        <v>0</v>
      </c>
      <c r="AG113" s="12">
        <f>'MCH2'!AG113/'MCH2'!AG3</f>
        <v>0</v>
      </c>
      <c r="AH113" s="12">
        <f>'MCH2'!AH113/'MCH2'!AH3</f>
        <v>0</v>
      </c>
      <c r="AI113" s="12">
        <f>'MCH2'!AI113/'MCH2'!AI3</f>
        <v>0</v>
      </c>
      <c r="AJ113" s="12">
        <f>'MCH2'!AJ113/'MCH2'!AJ3</f>
        <v>0</v>
      </c>
      <c r="AK113" s="12">
        <f>'MCH2'!AK113/'MCH2'!AK3</f>
        <v>0</v>
      </c>
      <c r="AL113" s="12">
        <f>'MCH2'!AL113/'MCH2'!AL3</f>
        <v>0</v>
      </c>
      <c r="AM113" s="12">
        <f>'MCH2'!AM113/'MCH2'!AM3</f>
        <v>0</v>
      </c>
      <c r="AN113" s="12">
        <f>'MCH2'!AN113/'MCH2'!AN3</f>
        <v>0</v>
      </c>
      <c r="AO113" s="12">
        <f>'MCH2'!AO113/'MCH2'!AO3</f>
        <v>0</v>
      </c>
      <c r="AP113" s="12">
        <f>'MCH2'!AP113/'MCH2'!AP3</f>
        <v>0</v>
      </c>
      <c r="AQ113" s="12">
        <f>'MCH2'!AQ113/'MCH2'!AQ3</f>
        <v>0</v>
      </c>
      <c r="AR113" s="12">
        <f>'MCH2'!AR113/'MCH2'!AR3</f>
        <v>0</v>
      </c>
      <c r="AS113" s="12">
        <f>'MCH2'!AS113/'MCH2'!AS3</f>
        <v>0</v>
      </c>
      <c r="AT113" s="12">
        <f>'MCH2'!AT113/'MCH2'!AT3</f>
        <v>0</v>
      </c>
      <c r="AU113" s="12">
        <f>'MCH2'!AU113/'MCH2'!AU3</f>
        <v>0</v>
      </c>
      <c r="AV113" s="12">
        <f>'MCH2'!AV113/'MCH2'!AV3</f>
        <v>0</v>
      </c>
      <c r="AW113" s="12">
        <f>'MCH2'!AW113/'MCH2'!AW3</f>
        <v>0</v>
      </c>
      <c r="AX113" s="12">
        <f>'MCH2'!AX113/'MCH2'!AX3</f>
        <v>0</v>
      </c>
      <c r="AY113" s="12">
        <f>'MCH2'!AY113/'MCH2'!AY3</f>
        <v>0</v>
      </c>
      <c r="AZ113" s="12">
        <f>'MCH2'!AZ113/'MCH2'!AZ3</f>
        <v>0</v>
      </c>
      <c r="BA113" s="12">
        <f>'MCH2'!BA113/'MCH2'!BA3</f>
        <v>0</v>
      </c>
      <c r="BB113" s="12">
        <f>'MCH2'!BB113/'MCH2'!BB3</f>
        <v>0</v>
      </c>
      <c r="BC113" s="12">
        <f>'MCH2'!BC113/'MCH2'!BC3</f>
        <v>0</v>
      </c>
      <c r="BD113" s="12">
        <f>'MCH2'!BD113/'MCH2'!BD3</f>
        <v>0</v>
      </c>
      <c r="BE113" s="12">
        <f>'MCH2'!BE113/'MCH2'!BE3</f>
        <v>0</v>
      </c>
      <c r="BF113" s="12">
        <f t="shared" si="68"/>
        <v>0</v>
      </c>
      <c r="BG113" s="12">
        <f t="shared" si="69"/>
        <v>0</v>
      </c>
      <c r="BH113" s="12">
        <f t="shared" si="70"/>
        <v>0</v>
      </c>
      <c r="BI113" s="12">
        <f t="shared" si="71"/>
        <v>0</v>
      </c>
    </row>
    <row r="114" spans="2:61" x14ac:dyDescent="0.25">
      <c r="C114" s="7">
        <v>447</v>
      </c>
      <c r="D114" s="7" t="s">
        <v>168</v>
      </c>
      <c r="E114" s="12">
        <f>'MCH2'!E114/'MCH2'!E3</f>
        <v>3.1352260778128285</v>
      </c>
      <c r="F114" s="12">
        <f>'MCH2'!F114/'MCH2'!F3</f>
        <v>15.542635658914728</v>
      </c>
      <c r="G114" s="12">
        <f>'MCH2'!G114/'MCH2'!G3</f>
        <v>6.5180467091295116</v>
      </c>
      <c r="H114" s="12">
        <f>'MCH2'!H114/'MCH2'!H3</f>
        <v>117.47619047619048</v>
      </c>
      <c r="I114" s="12">
        <f>'MCH2'!I114/'MCH2'!I3</f>
        <v>19.153768312533909</v>
      </c>
      <c r="J114" s="12">
        <f>'MCH2'!J114/'MCH2'!J3</f>
        <v>23.23279203139149</v>
      </c>
      <c r="K114" s="12">
        <f>'MCH2'!K114/'MCH2'!K3</f>
        <v>40.53598342125094</v>
      </c>
      <c r="L114" s="12">
        <f>'MCH2'!L114/'MCH2'!L3</f>
        <v>121.23846945235834</v>
      </c>
      <c r="M114" s="12">
        <f>'MCH2'!M114/'MCH2'!M3</f>
        <v>20.831580882352942</v>
      </c>
      <c r="N114" s="12">
        <f>'MCH2'!N114/'MCH2'!N3</f>
        <v>0</v>
      </c>
      <c r="O114" s="12">
        <f>'MCH2'!O114/'MCH2'!O3</f>
        <v>43.56946987293346</v>
      </c>
      <c r="P114" s="12">
        <f>'MCH2'!P114/'MCH2'!P3</f>
        <v>83.620689655172413</v>
      </c>
      <c r="Q114" s="12">
        <f>'MCH2'!Q114/'MCH2'!Q3</f>
        <v>58.952830188679243</v>
      </c>
      <c r="R114" s="12">
        <f>'MCH2'!R114/'MCH2'!R3</f>
        <v>7.5461176470588232</v>
      </c>
      <c r="S114" s="12">
        <f>'MCH2'!S114/'MCH2'!S3</f>
        <v>11.171428571428571</v>
      </c>
      <c r="T114" s="12">
        <f>'MCH2'!T114/'MCH2'!T3</f>
        <v>18.147339699863576</v>
      </c>
      <c r="U114" s="12">
        <f>'MCH2'!U114/'MCH2'!U3</f>
        <v>85.088888888888889</v>
      </c>
      <c r="V114" s="12">
        <f>'MCH2'!V114/'MCH2'!V3</f>
        <v>87.790887290167873</v>
      </c>
      <c r="W114" s="12">
        <f>'MCH2'!W114/'MCH2'!W3</f>
        <v>67.301452054794524</v>
      </c>
      <c r="X114" s="12">
        <f>'MCH2'!X114/'MCH2'!X3</f>
        <v>190.96753246753246</v>
      </c>
      <c r="Y114" s="12">
        <f>'MCH2'!Y114/'MCH2'!Y3</f>
        <v>19.720985691573926</v>
      </c>
      <c r="Z114" s="12">
        <f>'MCH2'!Z114/'MCH2'!Z3</f>
        <v>17.201049868766404</v>
      </c>
      <c r="AA114" s="12">
        <f>'MCH2'!AA114/'MCH2'!AA3</f>
        <v>170.11494252873564</v>
      </c>
      <c r="AB114" s="12">
        <f>'MCH2'!AB114/'MCH2'!AB3</f>
        <v>0</v>
      </c>
      <c r="AC114" s="12">
        <f>'MCH2'!AC114/'MCH2'!AC3</f>
        <v>86.535980392156858</v>
      </c>
      <c r="AD114" s="12">
        <f>'MCH2'!AD114/'MCH2'!AD3</f>
        <v>88.494964539007086</v>
      </c>
      <c r="AE114" s="12">
        <f>'MCH2'!AE114/'MCH2'!AE3</f>
        <v>30.707803992740473</v>
      </c>
      <c r="AF114" s="12">
        <f>'MCH2'!AF114/'MCH2'!AF3</f>
        <v>99.367906066536207</v>
      </c>
      <c r="AG114" s="12">
        <f>'MCH2'!AG114/'MCH2'!AG3</f>
        <v>50.728180862250262</v>
      </c>
      <c r="AH114" s="12">
        <f>'MCH2'!AH114/'MCH2'!AH3</f>
        <v>77.78662135922329</v>
      </c>
      <c r="AI114" s="12">
        <f>'MCH2'!AI114/'MCH2'!AI3</f>
        <v>0</v>
      </c>
      <c r="AJ114" s="12">
        <f>'MCH2'!AJ114/'MCH2'!AJ3</f>
        <v>3.5593220338983049</v>
      </c>
      <c r="AK114" s="12">
        <f>'MCH2'!AK114/'MCH2'!AK3</f>
        <v>59.613204038257173</v>
      </c>
      <c r="AL114" s="12">
        <f>'MCH2'!AL114/'MCH2'!AL3</f>
        <v>371.70736086175941</v>
      </c>
      <c r="AM114" s="12">
        <f>'MCH2'!AM114/'MCH2'!AM3</f>
        <v>47.645521774856199</v>
      </c>
      <c r="AN114" s="12">
        <f>'MCH2'!AN114/'MCH2'!AN3</f>
        <v>98.269230769230774</v>
      </c>
      <c r="AO114" s="12">
        <f>'MCH2'!AO114/'MCH2'!AO3</f>
        <v>12.48058091286307</v>
      </c>
      <c r="AP114" s="12">
        <f>'MCH2'!AP114/'MCH2'!AP3</f>
        <v>106.66568000000001</v>
      </c>
      <c r="AQ114" s="12">
        <f>'MCH2'!AQ114/'MCH2'!AQ3</f>
        <v>62.171949286846278</v>
      </c>
      <c r="AR114" s="12">
        <f>'MCH2'!AR114/'MCH2'!AR3</f>
        <v>117.73303529411764</v>
      </c>
      <c r="AS114" s="12">
        <f>'MCH2'!AS114/'MCH2'!AS3</f>
        <v>80.966295264623966</v>
      </c>
      <c r="AT114" s="12">
        <f>'MCH2'!AT114/'MCH2'!AT3</f>
        <v>70.115962671905706</v>
      </c>
      <c r="AU114" s="12">
        <f>'MCH2'!AU114/'MCH2'!AU3</f>
        <v>41.638225255972699</v>
      </c>
      <c r="AV114" s="12">
        <f>'MCH2'!AV114/'MCH2'!AV3</f>
        <v>35.73687885010267</v>
      </c>
      <c r="AW114" s="12">
        <f>'MCH2'!AW114/'MCH2'!AW3</f>
        <v>14.790076335877863</v>
      </c>
      <c r="AX114" s="12">
        <f>'MCH2'!AX114/'MCH2'!AX3</f>
        <v>63.333695652173908</v>
      </c>
      <c r="AY114" s="12">
        <f>'MCH2'!AY114/'MCH2'!AY3</f>
        <v>36.442492492492491</v>
      </c>
      <c r="AZ114" s="12">
        <f>'MCH2'!AZ114/'MCH2'!AZ3</f>
        <v>15.531302270011949</v>
      </c>
      <c r="BA114" s="12">
        <f>'MCH2'!BA114/'MCH2'!BA3</f>
        <v>4.2199488491048589</v>
      </c>
      <c r="BB114" s="12">
        <f>'MCH2'!BB114/'MCH2'!BB3</f>
        <v>128.1272338403042</v>
      </c>
      <c r="BC114" s="12">
        <f>'MCH2'!BC114/'MCH2'!BC3</f>
        <v>41.437903225806451</v>
      </c>
      <c r="BD114" s="12">
        <f>'MCH2'!BD114/'MCH2'!BD3</f>
        <v>146.38178698959788</v>
      </c>
      <c r="BE114" s="12">
        <f>'MCH2'!BE114/'MCH2'!BE3</f>
        <v>31.529304029304029</v>
      </c>
      <c r="BF114" s="12">
        <f t="shared" si="68"/>
        <v>3252.5767553585533</v>
      </c>
      <c r="BG114" s="12">
        <f t="shared" si="69"/>
        <v>830.85379689092258</v>
      </c>
      <c r="BH114" s="12">
        <f t="shared" si="70"/>
        <v>835.18528980242093</v>
      </c>
      <c r="BI114" s="12">
        <f t="shared" si="71"/>
        <v>1586.5376686652089</v>
      </c>
    </row>
    <row r="115" spans="2:61" x14ac:dyDescent="0.25">
      <c r="C115" s="7">
        <v>448</v>
      </c>
      <c r="D115" s="7" t="s">
        <v>169</v>
      </c>
      <c r="E115" s="12">
        <f>'MCH2'!E115/'MCH2'!E3</f>
        <v>0</v>
      </c>
      <c r="F115" s="12">
        <f>'MCH2'!F115/'MCH2'!F3</f>
        <v>0</v>
      </c>
      <c r="G115" s="12">
        <f>'MCH2'!G115/'MCH2'!G3</f>
        <v>0</v>
      </c>
      <c r="H115" s="12">
        <f>'MCH2'!H115/'MCH2'!H3</f>
        <v>0</v>
      </c>
      <c r="I115" s="12">
        <f>'MCH2'!I115/'MCH2'!I3</f>
        <v>0</v>
      </c>
      <c r="J115" s="12">
        <f>'MCH2'!J115/'MCH2'!J3</f>
        <v>0</v>
      </c>
      <c r="K115" s="12">
        <f>'MCH2'!K115/'MCH2'!K3</f>
        <v>0</v>
      </c>
      <c r="L115" s="12">
        <f>'MCH2'!L115/'MCH2'!L3</f>
        <v>0</v>
      </c>
      <c r="M115" s="12">
        <f>'MCH2'!M115/'MCH2'!M3</f>
        <v>0</v>
      </c>
      <c r="N115" s="12">
        <f>'MCH2'!N115/'MCH2'!N3</f>
        <v>0</v>
      </c>
      <c r="O115" s="12">
        <f>'MCH2'!O115/'MCH2'!O3</f>
        <v>0</v>
      </c>
      <c r="P115" s="12">
        <f>'MCH2'!P115/'MCH2'!P3</f>
        <v>0</v>
      </c>
      <c r="Q115" s="12">
        <f>'MCH2'!Q115/'MCH2'!Q3</f>
        <v>0</v>
      </c>
      <c r="R115" s="12">
        <f>'MCH2'!R115/'MCH2'!R3</f>
        <v>0</v>
      </c>
      <c r="S115" s="12">
        <f>'MCH2'!S115/'MCH2'!S3</f>
        <v>0</v>
      </c>
      <c r="T115" s="12">
        <f>'MCH2'!T115/'MCH2'!T3</f>
        <v>0</v>
      </c>
      <c r="U115" s="12">
        <f>'MCH2'!U115/'MCH2'!U3</f>
        <v>0</v>
      </c>
      <c r="V115" s="12">
        <f>'MCH2'!V115/'MCH2'!V3</f>
        <v>0</v>
      </c>
      <c r="W115" s="12">
        <f>'MCH2'!W115/'MCH2'!W3</f>
        <v>0</v>
      </c>
      <c r="X115" s="12">
        <f>'MCH2'!X115/'MCH2'!X3</f>
        <v>0.48701298701298701</v>
      </c>
      <c r="Y115" s="12">
        <f>'MCH2'!Y115/'MCH2'!Y3</f>
        <v>0</v>
      </c>
      <c r="Z115" s="12">
        <f>'MCH2'!Z115/'MCH2'!Z3</f>
        <v>0</v>
      </c>
      <c r="AA115" s="12">
        <f>'MCH2'!AA115/'MCH2'!AA3</f>
        <v>0</v>
      </c>
      <c r="AB115" s="12">
        <f>'MCH2'!AB115/'MCH2'!AB3</f>
        <v>0</v>
      </c>
      <c r="AC115" s="12">
        <f>'MCH2'!AC115/'MCH2'!AC3</f>
        <v>0</v>
      </c>
      <c r="AD115" s="12">
        <f>'MCH2'!AD115/'MCH2'!AD3</f>
        <v>0</v>
      </c>
      <c r="AE115" s="12">
        <f>'MCH2'!AE115/'MCH2'!AE3</f>
        <v>0</v>
      </c>
      <c r="AF115" s="12">
        <f>'MCH2'!AF115/'MCH2'!AF3</f>
        <v>0</v>
      </c>
      <c r="AG115" s="12">
        <f>'MCH2'!AG115/'MCH2'!AG3</f>
        <v>0</v>
      </c>
      <c r="AH115" s="12">
        <f>'MCH2'!AH115/'MCH2'!AH3</f>
        <v>0</v>
      </c>
      <c r="AI115" s="12">
        <f>'MCH2'!AI115/'MCH2'!AI3</f>
        <v>122.06052631578947</v>
      </c>
      <c r="AJ115" s="12">
        <f>'MCH2'!AJ115/'MCH2'!AJ3</f>
        <v>0</v>
      </c>
      <c r="AK115" s="12">
        <f>'MCH2'!AK115/'MCH2'!AK3</f>
        <v>0</v>
      </c>
      <c r="AL115" s="12">
        <f>'MCH2'!AL115/'MCH2'!AL3</f>
        <v>0</v>
      </c>
      <c r="AM115" s="12">
        <f>'MCH2'!AM115/'MCH2'!AM3</f>
        <v>0</v>
      </c>
      <c r="AN115" s="12">
        <f>'MCH2'!AN115/'MCH2'!AN3</f>
        <v>0</v>
      </c>
      <c r="AO115" s="12">
        <f>'MCH2'!AO115/'MCH2'!AO3</f>
        <v>0</v>
      </c>
      <c r="AP115" s="12">
        <f>'MCH2'!AP115/'MCH2'!AP3</f>
        <v>0</v>
      </c>
      <c r="AQ115" s="12">
        <f>'MCH2'!AQ115/'MCH2'!AQ3</f>
        <v>0</v>
      </c>
      <c r="AR115" s="12">
        <f>'MCH2'!AR115/'MCH2'!AR3</f>
        <v>0</v>
      </c>
      <c r="AS115" s="12">
        <f>'MCH2'!AS115/'MCH2'!AS3</f>
        <v>0</v>
      </c>
      <c r="AT115" s="12">
        <f>'MCH2'!AT115/'MCH2'!AT3</f>
        <v>0</v>
      </c>
      <c r="AU115" s="12">
        <f>'MCH2'!AU115/'MCH2'!AU3</f>
        <v>0</v>
      </c>
      <c r="AV115" s="12">
        <f>'MCH2'!AV115/'MCH2'!AV3</f>
        <v>0</v>
      </c>
      <c r="AW115" s="12">
        <f>'MCH2'!AW115/'MCH2'!AW3</f>
        <v>0</v>
      </c>
      <c r="AX115" s="12">
        <f>'MCH2'!AX115/'MCH2'!AX3</f>
        <v>0</v>
      </c>
      <c r="AY115" s="12">
        <f>'MCH2'!AY115/'MCH2'!AY3</f>
        <v>0</v>
      </c>
      <c r="AZ115" s="12">
        <f>'MCH2'!AZ115/'MCH2'!AZ3</f>
        <v>0</v>
      </c>
      <c r="BA115" s="12">
        <f>'MCH2'!BA115/'MCH2'!BA3</f>
        <v>0</v>
      </c>
      <c r="BB115" s="12">
        <f>'MCH2'!BB115/'MCH2'!BB3</f>
        <v>0</v>
      </c>
      <c r="BC115" s="12">
        <f>'MCH2'!BC115/'MCH2'!BC3</f>
        <v>0</v>
      </c>
      <c r="BD115" s="12">
        <f>'MCH2'!BD115/'MCH2'!BD3</f>
        <v>0</v>
      </c>
      <c r="BE115" s="12">
        <f>'MCH2'!BE115/'MCH2'!BE3</f>
        <v>0</v>
      </c>
      <c r="BF115" s="12">
        <f t="shared" si="68"/>
        <v>122.54753930280246</v>
      </c>
      <c r="BG115" s="12">
        <f t="shared" si="69"/>
        <v>0</v>
      </c>
      <c r="BH115" s="12">
        <f t="shared" si="70"/>
        <v>122.54753930280246</v>
      </c>
      <c r="BI115" s="12">
        <f t="shared" si="71"/>
        <v>0</v>
      </c>
    </row>
    <row r="116" spans="2:61" x14ac:dyDescent="0.25">
      <c r="C116" s="7">
        <v>449</v>
      </c>
      <c r="D116" s="7" t="s">
        <v>170</v>
      </c>
      <c r="E116" s="12">
        <f>'MCH2'!E116/'MCH2'!E3</f>
        <v>0</v>
      </c>
      <c r="F116" s="12">
        <f>'MCH2'!F116/'MCH2'!F3</f>
        <v>0</v>
      </c>
      <c r="G116" s="12">
        <f>'MCH2'!G116/'MCH2'!G3</f>
        <v>0</v>
      </c>
      <c r="H116" s="12">
        <f>'MCH2'!H116/'MCH2'!H3</f>
        <v>0</v>
      </c>
      <c r="I116" s="12">
        <f>'MCH2'!I116/'MCH2'!I3</f>
        <v>-0.10099565925122084</v>
      </c>
      <c r="J116" s="12">
        <f>'MCH2'!J116/'MCH2'!J3</f>
        <v>0</v>
      </c>
      <c r="K116" s="12">
        <f>'MCH2'!K116/'MCH2'!K3</f>
        <v>0</v>
      </c>
      <c r="L116" s="12">
        <f>'MCH2'!L116/'MCH2'!L3</f>
        <v>0</v>
      </c>
      <c r="M116" s="12">
        <f>'MCH2'!M116/'MCH2'!M3</f>
        <v>0</v>
      </c>
      <c r="N116" s="12">
        <f>'MCH2'!N116/'MCH2'!N3</f>
        <v>0</v>
      </c>
      <c r="O116" s="12">
        <f>'MCH2'!O116/'MCH2'!O3</f>
        <v>1.156071867741495</v>
      </c>
      <c r="P116" s="12">
        <f>'MCH2'!P116/'MCH2'!P3</f>
        <v>0</v>
      </c>
      <c r="Q116" s="12">
        <f>'MCH2'!Q116/'MCH2'!Q3</f>
        <v>0</v>
      </c>
      <c r="R116" s="12">
        <f>'MCH2'!R116/'MCH2'!R3</f>
        <v>0</v>
      </c>
      <c r="S116" s="12">
        <f>'MCH2'!S116/'MCH2'!S3</f>
        <v>0</v>
      </c>
      <c r="T116" s="12">
        <f>'MCH2'!T116/'MCH2'!T3</f>
        <v>0</v>
      </c>
      <c r="U116" s="12">
        <f>'MCH2'!U116/'MCH2'!U3</f>
        <v>4.6666666666666669E-2</v>
      </c>
      <c r="V116" s="12">
        <f>'MCH2'!V116/'MCH2'!V3</f>
        <v>0</v>
      </c>
      <c r="W116" s="12">
        <f>'MCH2'!W116/'MCH2'!W3</f>
        <v>0</v>
      </c>
      <c r="X116" s="12">
        <f>'MCH2'!X116/'MCH2'!X3</f>
        <v>0</v>
      </c>
      <c r="Y116" s="12">
        <f>'MCH2'!Y116/'MCH2'!Y3</f>
        <v>0</v>
      </c>
      <c r="Z116" s="12">
        <f>'MCH2'!Z116/'MCH2'!Z3</f>
        <v>-3.2893963254593177</v>
      </c>
      <c r="AA116" s="12">
        <f>'MCH2'!AA116/'MCH2'!AA3</f>
        <v>0</v>
      </c>
      <c r="AB116" s="12">
        <f>'MCH2'!AB116/'MCH2'!AB3</f>
        <v>0</v>
      </c>
      <c r="AC116" s="12">
        <f>'MCH2'!AC116/'MCH2'!AC3</f>
        <v>0</v>
      </c>
      <c r="AD116" s="12">
        <f>'MCH2'!AD116/'MCH2'!AD3</f>
        <v>0</v>
      </c>
      <c r="AE116" s="12">
        <f>'MCH2'!AE116/'MCH2'!AE3</f>
        <v>0</v>
      </c>
      <c r="AF116" s="12">
        <f>'MCH2'!AF116/'MCH2'!AF3</f>
        <v>0</v>
      </c>
      <c r="AG116" s="12">
        <f>'MCH2'!AG116/'MCH2'!AG3</f>
        <v>1.1624605678233438E-2</v>
      </c>
      <c r="AH116" s="12">
        <f>'MCH2'!AH116/'MCH2'!AH3</f>
        <v>0</v>
      </c>
      <c r="AI116" s="12">
        <f>'MCH2'!AI116/'MCH2'!AI3</f>
        <v>0</v>
      </c>
      <c r="AJ116" s="12">
        <f>'MCH2'!AJ116/'MCH2'!AJ3</f>
        <v>0</v>
      </c>
      <c r="AK116" s="12">
        <f>'MCH2'!AK116/'MCH2'!AK3</f>
        <v>0</v>
      </c>
      <c r="AL116" s="12">
        <f>'MCH2'!AL116/'MCH2'!AL3</f>
        <v>0.54151705565529618</v>
      </c>
      <c r="AM116" s="12">
        <f>'MCH2'!AM116/'MCH2'!AM3</f>
        <v>0</v>
      </c>
      <c r="AN116" s="12">
        <f>'MCH2'!AN116/'MCH2'!AN3</f>
        <v>0</v>
      </c>
      <c r="AO116" s="12">
        <f>'MCH2'!AO116/'MCH2'!AO3</f>
        <v>0</v>
      </c>
      <c r="AP116" s="12">
        <f>'MCH2'!AP116/'MCH2'!AP3</f>
        <v>0</v>
      </c>
      <c r="AQ116" s="12">
        <f>'MCH2'!AQ116/'MCH2'!AQ3</f>
        <v>0</v>
      </c>
      <c r="AR116" s="12">
        <f>'MCH2'!AR116/'MCH2'!AR3</f>
        <v>0</v>
      </c>
      <c r="AS116" s="12">
        <f>'MCH2'!AS116/'MCH2'!AS3</f>
        <v>0</v>
      </c>
      <c r="AT116" s="12">
        <f>'MCH2'!AT116/'MCH2'!AT3</f>
        <v>-1.0982318271119843E-2</v>
      </c>
      <c r="AU116" s="12">
        <f>'MCH2'!AU116/'MCH2'!AU3</f>
        <v>0</v>
      </c>
      <c r="AV116" s="12">
        <f>'MCH2'!AV116/'MCH2'!AV3</f>
        <v>2.4451745379876797E-2</v>
      </c>
      <c r="AW116" s="12">
        <f>'MCH2'!AW116/'MCH2'!AW3</f>
        <v>0</v>
      </c>
      <c r="AX116" s="12">
        <f>'MCH2'!AX116/'MCH2'!AX3</f>
        <v>0</v>
      </c>
      <c r="AY116" s="12">
        <f>'MCH2'!AY116/'MCH2'!AY3</f>
        <v>0</v>
      </c>
      <c r="AZ116" s="12">
        <f>'MCH2'!AZ116/'MCH2'!AZ3</f>
        <v>0</v>
      </c>
      <c r="BA116" s="12">
        <f>'MCH2'!BA116/'MCH2'!BA3</f>
        <v>0.2813299232736573</v>
      </c>
      <c r="BB116" s="12">
        <f>'MCH2'!BB116/'MCH2'!BB3</f>
        <v>0</v>
      </c>
      <c r="BC116" s="12">
        <f>'MCH2'!BC116/'MCH2'!BC3</f>
        <v>0</v>
      </c>
      <c r="BD116" s="12">
        <f>'MCH2'!BD116/'MCH2'!BD3</f>
        <v>0.40455364073901567</v>
      </c>
      <c r="BE116" s="12">
        <f>'MCH2'!BE116/'MCH2'!BE3</f>
        <v>0</v>
      </c>
      <c r="BF116" s="12">
        <f t="shared" si="68"/>
        <v>-0.93515879784741729</v>
      </c>
      <c r="BG116" s="12">
        <f t="shared" si="69"/>
        <v>1.1017428751569407</v>
      </c>
      <c r="BH116" s="12">
        <f t="shared" si="70"/>
        <v>-3.2777717197810841</v>
      </c>
      <c r="BI116" s="12">
        <f t="shared" si="71"/>
        <v>1.2408700467767262</v>
      </c>
    </row>
    <row r="117" spans="2:61" x14ac:dyDescent="0.25">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row>
    <row r="118" spans="2:61" x14ac:dyDescent="0.25">
      <c r="B118" s="68">
        <v>45</v>
      </c>
      <c r="C118" s="68"/>
      <c r="D118" s="68" t="s">
        <v>173</v>
      </c>
      <c r="E118" s="69">
        <f>E119+E120</f>
        <v>2.3497371188222922</v>
      </c>
      <c r="F118" s="69">
        <f t="shared" ref="F118:BI118" si="72">F119+F120</f>
        <v>0</v>
      </c>
      <c r="G118" s="69">
        <f t="shared" si="72"/>
        <v>2.3107218683651802</v>
      </c>
      <c r="H118" s="69">
        <f t="shared" si="72"/>
        <v>0</v>
      </c>
      <c r="I118" s="69">
        <f t="shared" si="72"/>
        <v>4.100651112316875</v>
      </c>
      <c r="J118" s="69">
        <f t="shared" si="72"/>
        <v>29.881014186537879</v>
      </c>
      <c r="K118" s="69">
        <f t="shared" si="72"/>
        <v>58.827125094197442</v>
      </c>
      <c r="L118" s="69">
        <f t="shared" si="72"/>
        <v>2.6842236467236464</v>
      </c>
      <c r="M118" s="69">
        <f t="shared" si="72"/>
        <v>380.1934926470588</v>
      </c>
      <c r="N118" s="69">
        <f t="shared" si="72"/>
        <v>0</v>
      </c>
      <c r="O118" s="69">
        <f t="shared" si="72"/>
        <v>47.872673862549526</v>
      </c>
      <c r="P118" s="69">
        <f t="shared" si="72"/>
        <v>0</v>
      </c>
      <c r="Q118" s="69">
        <f t="shared" si="72"/>
        <v>0</v>
      </c>
      <c r="R118" s="69">
        <f t="shared" si="72"/>
        <v>2.3302352941176472</v>
      </c>
      <c r="S118" s="69">
        <f t="shared" si="72"/>
        <v>2.3105714285714285</v>
      </c>
      <c r="T118" s="69">
        <f t="shared" si="72"/>
        <v>2.2901091405184175</v>
      </c>
      <c r="U118" s="69">
        <f t="shared" si="72"/>
        <v>0</v>
      </c>
      <c r="V118" s="69">
        <f t="shared" si="72"/>
        <v>1.0668345323741006</v>
      </c>
      <c r="W118" s="69">
        <f t="shared" si="72"/>
        <v>54.575598173515985</v>
      </c>
      <c r="X118" s="69">
        <f t="shared" si="72"/>
        <v>166.56542207792208</v>
      </c>
      <c r="Y118" s="69">
        <f t="shared" si="72"/>
        <v>6.8932829888712241</v>
      </c>
      <c r="Z118" s="69">
        <f t="shared" si="72"/>
        <v>89.698950131233602</v>
      </c>
      <c r="AA118" s="69">
        <f t="shared" si="72"/>
        <v>0</v>
      </c>
      <c r="AB118" s="69">
        <f t="shared" si="72"/>
        <v>1085.9838461538461</v>
      </c>
      <c r="AC118" s="69">
        <f t="shared" si="72"/>
        <v>0</v>
      </c>
      <c r="AD118" s="69">
        <f t="shared" si="72"/>
        <v>125.49177304964539</v>
      </c>
      <c r="AE118" s="69">
        <f t="shared" si="72"/>
        <v>5.9337568058076222</v>
      </c>
      <c r="AF118" s="69">
        <f t="shared" si="72"/>
        <v>2.4521526418786692</v>
      </c>
      <c r="AG118" s="69">
        <f t="shared" si="72"/>
        <v>30.913880126182963</v>
      </c>
      <c r="AH118" s="69">
        <f t="shared" si="72"/>
        <v>3.6341747572815537</v>
      </c>
      <c r="AI118" s="69">
        <f t="shared" si="72"/>
        <v>6.6543859649122812</v>
      </c>
      <c r="AJ118" s="69">
        <f t="shared" si="72"/>
        <v>1269.5030508474574</v>
      </c>
      <c r="AK118" s="69">
        <f t="shared" si="72"/>
        <v>0</v>
      </c>
      <c r="AL118" s="69">
        <f t="shared" si="72"/>
        <v>39.694883303411132</v>
      </c>
      <c r="AM118" s="69">
        <f t="shared" si="72"/>
        <v>23.007395234182415</v>
      </c>
      <c r="AN118" s="69">
        <f t="shared" si="72"/>
        <v>2.3316239316239318</v>
      </c>
      <c r="AO118" s="69">
        <f t="shared" si="72"/>
        <v>8.2987551867219924</v>
      </c>
      <c r="AP118" s="69">
        <f t="shared" si="72"/>
        <v>2.2599999999999998</v>
      </c>
      <c r="AQ118" s="69">
        <f t="shared" si="72"/>
        <v>0</v>
      </c>
      <c r="AR118" s="69">
        <f t="shared" si="72"/>
        <v>671.7153176470589</v>
      </c>
      <c r="AS118" s="69">
        <f t="shared" si="72"/>
        <v>126.75870473537604</v>
      </c>
      <c r="AT118" s="69">
        <f t="shared" si="72"/>
        <v>105.56209233791749</v>
      </c>
      <c r="AU118" s="69">
        <f t="shared" si="72"/>
        <v>204.9849829351536</v>
      </c>
      <c r="AV118" s="69">
        <f t="shared" si="72"/>
        <v>132.21427104722792</v>
      </c>
      <c r="AW118" s="69">
        <f t="shared" si="72"/>
        <v>13.9426844783715</v>
      </c>
      <c r="AX118" s="69">
        <f t="shared" si="72"/>
        <v>228.36059782608694</v>
      </c>
      <c r="AY118" s="69">
        <f t="shared" si="72"/>
        <v>16.642642642642642</v>
      </c>
      <c r="AZ118" s="69">
        <f t="shared" si="72"/>
        <v>42.403434886499404</v>
      </c>
      <c r="BA118" s="69">
        <f t="shared" si="72"/>
        <v>11.508951406649617</v>
      </c>
      <c r="BB118" s="69">
        <f t="shared" si="72"/>
        <v>50.401283269961972</v>
      </c>
      <c r="BC118" s="69">
        <f t="shared" si="72"/>
        <v>0</v>
      </c>
      <c r="BD118" s="69">
        <f t="shared" si="72"/>
        <v>31.725559695699424</v>
      </c>
      <c r="BE118" s="69">
        <f t="shared" si="72"/>
        <v>103.46501831501831</v>
      </c>
      <c r="BF118" s="69">
        <f t="shared" si="72"/>
        <v>5199.7958625303108</v>
      </c>
      <c r="BG118" s="69">
        <f t="shared" si="72"/>
        <v>590.79298810566922</v>
      </c>
      <c r="BH118" s="69">
        <f t="shared" si="72"/>
        <v>2793.7246755450387</v>
      </c>
      <c r="BI118" s="69">
        <f t="shared" si="72"/>
        <v>1815.278198879603</v>
      </c>
    </row>
    <row r="119" spans="2:61" x14ac:dyDescent="0.25">
      <c r="C119" s="7">
        <v>450</v>
      </c>
      <c r="D119" s="7" t="s">
        <v>171</v>
      </c>
      <c r="E119" s="12">
        <f>'MCH2'!E119/'MCH2'!E3</f>
        <v>2.3497371188222922</v>
      </c>
      <c r="F119" s="12">
        <f>'MCH2'!F119/'MCH2'!F3</f>
        <v>0</v>
      </c>
      <c r="G119" s="12">
        <f>'MCH2'!G119/'MCH2'!G3</f>
        <v>2.3107218683651802</v>
      </c>
      <c r="H119" s="12">
        <f>'MCH2'!H119/'MCH2'!H3</f>
        <v>0</v>
      </c>
      <c r="I119" s="12">
        <f>'MCH2'!I119/'MCH2'!I3</f>
        <v>4.100651112316875</v>
      </c>
      <c r="J119" s="12">
        <f>'MCH2'!J119/'MCH2'!J3</f>
        <v>2.3593721702384545</v>
      </c>
      <c r="K119" s="12">
        <f>'MCH2'!K119/'MCH2'!K3</f>
        <v>5.1912773172569704</v>
      </c>
      <c r="L119" s="12">
        <f>'MCH2'!L119/'MCH2'!L3</f>
        <v>2.6842236467236464</v>
      </c>
      <c r="M119" s="12">
        <f>'MCH2'!M119/'MCH2'!M3</f>
        <v>2.3320588235294117</v>
      </c>
      <c r="N119" s="12">
        <f>'MCH2'!N119/'MCH2'!N3</f>
        <v>0</v>
      </c>
      <c r="O119" s="12">
        <f>'MCH2'!O119/'MCH2'!O3</f>
        <v>4.750840278726602</v>
      </c>
      <c r="P119" s="12">
        <f>'MCH2'!P119/'MCH2'!P3</f>
        <v>0</v>
      </c>
      <c r="Q119" s="12">
        <f>'MCH2'!Q119/'MCH2'!Q3</f>
        <v>0</v>
      </c>
      <c r="R119" s="12">
        <f>'MCH2'!R119/'MCH2'!R3</f>
        <v>2.3302352941176472</v>
      </c>
      <c r="S119" s="12">
        <f>'MCH2'!S119/'MCH2'!S3</f>
        <v>2.3105714285714285</v>
      </c>
      <c r="T119" s="12">
        <f>'MCH2'!T119/'MCH2'!T3</f>
        <v>2.2901091405184175</v>
      </c>
      <c r="U119" s="12">
        <f>'MCH2'!U119/'MCH2'!U3</f>
        <v>0</v>
      </c>
      <c r="V119" s="12">
        <f>'MCH2'!V119/'MCH2'!V3</f>
        <v>1.0668345323741006</v>
      </c>
      <c r="W119" s="12">
        <f>'MCH2'!W119/'MCH2'!W3</f>
        <v>2.3108675799086758</v>
      </c>
      <c r="X119" s="12">
        <f>'MCH2'!X119/'MCH2'!X3</f>
        <v>0</v>
      </c>
      <c r="Y119" s="12">
        <f>'MCH2'!Y119/'MCH2'!Y3</f>
        <v>6.8932829888712241</v>
      </c>
      <c r="Z119" s="12">
        <f>'MCH2'!Z119/'MCH2'!Z3</f>
        <v>2.3058398950131234</v>
      </c>
      <c r="AA119" s="12">
        <f>'MCH2'!AA119/'MCH2'!AA3</f>
        <v>0</v>
      </c>
      <c r="AB119" s="12">
        <f>'MCH2'!AB119/'MCH2'!AB3</f>
        <v>2.2185897435897437</v>
      </c>
      <c r="AC119" s="12">
        <f>'MCH2'!AC119/'MCH2'!AC3</f>
        <v>0</v>
      </c>
      <c r="AD119" s="12">
        <f>'MCH2'!AD119/'MCH2'!AD3</f>
        <v>0</v>
      </c>
      <c r="AE119" s="12">
        <f>'MCH2'!AE119/'MCH2'!AE3</f>
        <v>5.9337568058076222</v>
      </c>
      <c r="AF119" s="12">
        <f>'MCH2'!AF119/'MCH2'!AF3</f>
        <v>2.4521526418786692</v>
      </c>
      <c r="AG119" s="12">
        <f>'MCH2'!AG119/'MCH2'!AG3</f>
        <v>2.3467402733964247</v>
      </c>
      <c r="AH119" s="12">
        <f>'MCH2'!AH119/'MCH2'!AH3</f>
        <v>2.3309514563106797</v>
      </c>
      <c r="AI119" s="12">
        <f>'MCH2'!AI119/'MCH2'!AI3</f>
        <v>2.266885964912281</v>
      </c>
      <c r="AJ119" s="12">
        <f>'MCH2'!AJ119/'MCH2'!AJ3</f>
        <v>0</v>
      </c>
      <c r="AK119" s="12">
        <f>'MCH2'!AK119/'MCH2'!AK3</f>
        <v>0</v>
      </c>
      <c r="AL119" s="12">
        <f>'MCH2'!AL119/'MCH2'!AL3</f>
        <v>0</v>
      </c>
      <c r="AM119" s="12">
        <f>'MCH2'!AM119/'MCH2'!AM3</f>
        <v>0</v>
      </c>
      <c r="AN119" s="12">
        <f>'MCH2'!AN119/'MCH2'!AN3</f>
        <v>2.3316239316239318</v>
      </c>
      <c r="AO119" s="12">
        <f>'MCH2'!AO119/'MCH2'!AO3</f>
        <v>0</v>
      </c>
      <c r="AP119" s="12">
        <f>'MCH2'!AP119/'MCH2'!AP3</f>
        <v>0</v>
      </c>
      <c r="AQ119" s="12">
        <f>'MCH2'!AQ119/'MCH2'!AQ3</f>
        <v>0</v>
      </c>
      <c r="AR119" s="12">
        <f>'MCH2'!AR119/'MCH2'!AR3</f>
        <v>2.3679999999999999</v>
      </c>
      <c r="AS119" s="12">
        <f>'MCH2'!AS119/'MCH2'!AS3</f>
        <v>0</v>
      </c>
      <c r="AT119" s="12">
        <f>'MCH2'!AT119/'MCH2'!AT3</f>
        <v>14.609626719056974</v>
      </c>
      <c r="AU119" s="12">
        <f>'MCH2'!AU119/'MCH2'!AU3</f>
        <v>12.647440273037542</v>
      </c>
      <c r="AV119" s="12">
        <f>'MCH2'!AV119/'MCH2'!AV3</f>
        <v>1.1544147843942505</v>
      </c>
      <c r="AW119" s="12">
        <f>'MCH2'!AW119/'MCH2'!AW3</f>
        <v>2.1742366412213743</v>
      </c>
      <c r="AX119" s="12">
        <f>'MCH2'!AX119/'MCH2'!AX3</f>
        <v>2.3701086956521742</v>
      </c>
      <c r="AY119" s="12">
        <f>'MCH2'!AY119/'MCH2'!AY3</f>
        <v>2.3783783783783785</v>
      </c>
      <c r="AZ119" s="12">
        <f>'MCH2'!AZ119/'MCH2'!AZ3</f>
        <v>2.3751493428912784</v>
      </c>
      <c r="BA119" s="12">
        <f>'MCH2'!BA119/'MCH2'!BA3</f>
        <v>0</v>
      </c>
      <c r="BB119" s="12">
        <f>'MCH2'!BB119/'MCH2'!BB3</f>
        <v>2.3754277566539921</v>
      </c>
      <c r="BC119" s="12">
        <f>'MCH2'!BC119/'MCH2'!BC3</f>
        <v>0</v>
      </c>
      <c r="BD119" s="12">
        <f>'MCH2'!BD119/'MCH2'!BD3</f>
        <v>9.0685064430988973</v>
      </c>
      <c r="BE119" s="12">
        <f>'MCH2'!BE119/'MCH2'!BE3</f>
        <v>0</v>
      </c>
      <c r="BF119" s="12">
        <f t="shared" ref="BF119:BF120" si="73">SUM(E119:BE119)</f>
        <v>116.98861304725824</v>
      </c>
      <c r="BG119" s="12">
        <f t="shared" ref="BG119:BG120" si="74">SUM(E119:W119)</f>
        <v>36.387500311469694</v>
      </c>
      <c r="BH119" s="12">
        <f t="shared" ref="BH119:BH120" si="75">SUM(X119:AJ119)</f>
        <v>26.748199769779767</v>
      </c>
      <c r="BI119" s="12">
        <f t="shared" ref="BI119:BI120" si="76">SUM(AK119:BE119)</f>
        <v>53.852912966008795</v>
      </c>
    </row>
    <row r="120" spans="2:61" x14ac:dyDescent="0.25">
      <c r="C120" s="7">
        <v>451</v>
      </c>
      <c r="D120" s="7" t="s">
        <v>172</v>
      </c>
      <c r="E120" s="12">
        <f>'MCH2'!E120/'MCH2'!E3</f>
        <v>0</v>
      </c>
      <c r="F120" s="12">
        <f>'MCH2'!F120/'MCH2'!F3</f>
        <v>0</v>
      </c>
      <c r="G120" s="12">
        <f>'MCH2'!G120/'MCH2'!G3</f>
        <v>0</v>
      </c>
      <c r="H120" s="12">
        <f>'MCH2'!H120/'MCH2'!H3</f>
        <v>0</v>
      </c>
      <c r="I120" s="12">
        <f>'MCH2'!I120/'MCH2'!I3</f>
        <v>0</v>
      </c>
      <c r="J120" s="12">
        <f>'MCH2'!J120/'MCH2'!J3</f>
        <v>27.521642016299424</v>
      </c>
      <c r="K120" s="12">
        <f>'MCH2'!K120/'MCH2'!K3</f>
        <v>53.635847776940473</v>
      </c>
      <c r="L120" s="12">
        <f>'MCH2'!L120/'MCH2'!L3</f>
        <v>0</v>
      </c>
      <c r="M120" s="12">
        <f>'MCH2'!M120/'MCH2'!M3</f>
        <v>377.86143382352941</v>
      </c>
      <c r="N120" s="12">
        <f>'MCH2'!N120/'MCH2'!N3</f>
        <v>0</v>
      </c>
      <c r="O120" s="12">
        <f>'MCH2'!O120/'MCH2'!O3</f>
        <v>43.121833583822927</v>
      </c>
      <c r="P120" s="12">
        <f>'MCH2'!P120/'MCH2'!P3</f>
        <v>0</v>
      </c>
      <c r="Q120" s="12">
        <f>'MCH2'!Q120/'MCH2'!Q3</f>
        <v>0</v>
      </c>
      <c r="R120" s="12">
        <f>'MCH2'!R120/'MCH2'!R3</f>
        <v>0</v>
      </c>
      <c r="S120" s="12">
        <f>'MCH2'!S120/'MCH2'!S3</f>
        <v>0</v>
      </c>
      <c r="T120" s="12">
        <f>'MCH2'!T120/'MCH2'!T3</f>
        <v>0</v>
      </c>
      <c r="U120" s="12">
        <f>'MCH2'!U120/'MCH2'!U3</f>
        <v>0</v>
      </c>
      <c r="V120" s="12">
        <f>'MCH2'!V120/'MCH2'!V3</f>
        <v>0</v>
      </c>
      <c r="W120" s="12">
        <f>'MCH2'!W120/'MCH2'!W3</f>
        <v>52.264730593607311</v>
      </c>
      <c r="X120" s="12">
        <f>'MCH2'!X120/'MCH2'!X3</f>
        <v>166.56542207792208</v>
      </c>
      <c r="Y120" s="12">
        <f>'MCH2'!Y120/'MCH2'!Y3</f>
        <v>0</v>
      </c>
      <c r="Z120" s="12">
        <f>'MCH2'!Z120/'MCH2'!Z3</f>
        <v>87.39311023622048</v>
      </c>
      <c r="AA120" s="12">
        <f>'MCH2'!AA120/'MCH2'!AA3</f>
        <v>0</v>
      </c>
      <c r="AB120" s="12">
        <f>'MCH2'!AB120/'MCH2'!AB3</f>
        <v>1083.7652564102564</v>
      </c>
      <c r="AC120" s="12">
        <f>'MCH2'!AC120/'MCH2'!AC3</f>
        <v>0</v>
      </c>
      <c r="AD120" s="12">
        <f>'MCH2'!AD120/'MCH2'!AD3</f>
        <v>125.49177304964539</v>
      </c>
      <c r="AE120" s="12">
        <f>'MCH2'!AE120/'MCH2'!AE3</f>
        <v>0</v>
      </c>
      <c r="AF120" s="12">
        <f>'MCH2'!AF120/'MCH2'!AF3</f>
        <v>0</v>
      </c>
      <c r="AG120" s="12">
        <f>'MCH2'!AG120/'MCH2'!AG3</f>
        <v>28.567139852786539</v>
      </c>
      <c r="AH120" s="12">
        <f>'MCH2'!AH120/'MCH2'!AH3</f>
        <v>1.3032233009708738</v>
      </c>
      <c r="AI120" s="12">
        <f>'MCH2'!AI120/'MCH2'!AI3</f>
        <v>4.3875000000000002</v>
      </c>
      <c r="AJ120" s="12">
        <f>'MCH2'!AJ120/'MCH2'!AJ3</f>
        <v>1269.5030508474574</v>
      </c>
      <c r="AK120" s="12">
        <f>'MCH2'!AK120/'MCH2'!AK3</f>
        <v>0</v>
      </c>
      <c r="AL120" s="12">
        <f>'MCH2'!AL120/'MCH2'!AL3</f>
        <v>39.694883303411132</v>
      </c>
      <c r="AM120" s="12">
        <f>'MCH2'!AM120/'MCH2'!AM3</f>
        <v>23.007395234182415</v>
      </c>
      <c r="AN120" s="12">
        <f>'MCH2'!AN120/'MCH2'!AN3</f>
        <v>0</v>
      </c>
      <c r="AO120" s="12">
        <f>'MCH2'!AO120/'MCH2'!AO3</f>
        <v>8.2987551867219924</v>
      </c>
      <c r="AP120" s="12">
        <f>'MCH2'!AP120/'MCH2'!AP3</f>
        <v>2.2599999999999998</v>
      </c>
      <c r="AQ120" s="12">
        <f>'MCH2'!AQ120/'MCH2'!AQ3</f>
        <v>0</v>
      </c>
      <c r="AR120" s="12">
        <f>'MCH2'!AR120/'MCH2'!AR3</f>
        <v>669.34731764705884</v>
      </c>
      <c r="AS120" s="12">
        <f>'MCH2'!AS120/'MCH2'!AS3</f>
        <v>126.75870473537604</v>
      </c>
      <c r="AT120" s="12">
        <f>'MCH2'!AT120/'MCH2'!AT3</f>
        <v>90.952465618860515</v>
      </c>
      <c r="AU120" s="12">
        <f>'MCH2'!AU120/'MCH2'!AU3</f>
        <v>192.33754266211605</v>
      </c>
      <c r="AV120" s="12">
        <f>'MCH2'!AV120/'MCH2'!AV3</f>
        <v>131.05985626283368</v>
      </c>
      <c r="AW120" s="12">
        <f>'MCH2'!AW120/'MCH2'!AW3</f>
        <v>11.768447837150127</v>
      </c>
      <c r="AX120" s="12">
        <f>'MCH2'!AX120/'MCH2'!AX3</f>
        <v>225.99048913043478</v>
      </c>
      <c r="AY120" s="12">
        <f>'MCH2'!AY120/'MCH2'!AY3</f>
        <v>14.264264264264265</v>
      </c>
      <c r="AZ120" s="12">
        <f>'MCH2'!AZ120/'MCH2'!AZ3</f>
        <v>40.028285543608128</v>
      </c>
      <c r="BA120" s="12">
        <f>'MCH2'!BA120/'MCH2'!BA3</f>
        <v>11.508951406649617</v>
      </c>
      <c r="BB120" s="12">
        <f>'MCH2'!BB120/'MCH2'!BB3</f>
        <v>48.025855513307981</v>
      </c>
      <c r="BC120" s="12">
        <f>'MCH2'!BC120/'MCH2'!BC3</f>
        <v>0</v>
      </c>
      <c r="BD120" s="12">
        <f>'MCH2'!BD120/'MCH2'!BD3</f>
        <v>22.657053252600527</v>
      </c>
      <c r="BE120" s="12">
        <f>'MCH2'!BE120/'MCH2'!BE3</f>
        <v>103.46501831501831</v>
      </c>
      <c r="BF120" s="12">
        <f t="shared" si="73"/>
        <v>5082.8072494830521</v>
      </c>
      <c r="BG120" s="12">
        <f t="shared" si="74"/>
        <v>554.40548779419953</v>
      </c>
      <c r="BH120" s="12">
        <f t="shared" si="75"/>
        <v>2766.9764757752591</v>
      </c>
      <c r="BI120" s="12">
        <f t="shared" si="76"/>
        <v>1761.4252859135943</v>
      </c>
    </row>
    <row r="121" spans="2:61" x14ac:dyDescent="0.25">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row>
    <row r="122" spans="2:61" x14ac:dyDescent="0.25">
      <c r="B122" s="68">
        <v>46</v>
      </c>
      <c r="C122" s="68"/>
      <c r="D122" s="68" t="s">
        <v>174</v>
      </c>
      <c r="E122" s="69">
        <f>E123+E124+E125+E126+E127</f>
        <v>433.73464773922183</v>
      </c>
      <c r="F122" s="69">
        <f t="shared" ref="F122:BI122" si="77">F123+F124+F125+F126+F127</f>
        <v>960.37034883720935</v>
      </c>
      <c r="G122" s="69">
        <f t="shared" si="77"/>
        <v>236.9487261146497</v>
      </c>
      <c r="H122" s="69">
        <f t="shared" si="77"/>
        <v>331.96519274376413</v>
      </c>
      <c r="I122" s="69">
        <f t="shared" si="77"/>
        <v>554.17504340748781</v>
      </c>
      <c r="J122" s="69">
        <f t="shared" si="77"/>
        <v>326.98660126773319</v>
      </c>
      <c r="K122" s="69">
        <f t="shared" si="77"/>
        <v>343.224574227581</v>
      </c>
      <c r="L122" s="69">
        <f t="shared" si="77"/>
        <v>1733.8472103513768</v>
      </c>
      <c r="M122" s="69">
        <f t="shared" si="77"/>
        <v>878.42415441176468</v>
      </c>
      <c r="N122" s="69">
        <f t="shared" si="77"/>
        <v>1144.9019642857143</v>
      </c>
      <c r="O122" s="69">
        <f t="shared" si="77"/>
        <v>575.81834813499108</v>
      </c>
      <c r="P122" s="69">
        <f t="shared" si="77"/>
        <v>665.25459770114935</v>
      </c>
      <c r="Q122" s="69">
        <f t="shared" si="77"/>
        <v>721.75915094339621</v>
      </c>
      <c r="R122" s="69">
        <f t="shared" si="77"/>
        <v>454.40011764705883</v>
      </c>
      <c r="S122" s="69">
        <f t="shared" si="77"/>
        <v>877.63699999999994</v>
      </c>
      <c r="T122" s="69">
        <f t="shared" si="77"/>
        <v>132.4000136425648</v>
      </c>
      <c r="U122" s="69">
        <f t="shared" si="77"/>
        <v>607.47037037037035</v>
      </c>
      <c r="V122" s="69">
        <f t="shared" si="77"/>
        <v>1039.008824940048</v>
      </c>
      <c r="W122" s="69">
        <f t="shared" si="77"/>
        <v>576.4371385083715</v>
      </c>
      <c r="X122" s="69">
        <f t="shared" si="77"/>
        <v>1768.7001623376625</v>
      </c>
      <c r="Y122" s="69">
        <f t="shared" si="77"/>
        <v>665.83097774244834</v>
      </c>
      <c r="Z122" s="69">
        <f t="shared" si="77"/>
        <v>1287.8107152230973</v>
      </c>
      <c r="AA122" s="69">
        <f t="shared" si="77"/>
        <v>774.76494252873567</v>
      </c>
      <c r="AB122" s="69">
        <f t="shared" si="77"/>
        <v>856.34134615384619</v>
      </c>
      <c r="AC122" s="69">
        <f t="shared" si="77"/>
        <v>580.49843137254902</v>
      </c>
      <c r="AD122" s="69">
        <f t="shared" si="77"/>
        <v>1145.6726808510639</v>
      </c>
      <c r="AE122" s="69">
        <f t="shared" si="77"/>
        <v>937.01324863883849</v>
      </c>
      <c r="AF122" s="69">
        <f t="shared" si="77"/>
        <v>476.78434442270054</v>
      </c>
      <c r="AG122" s="69">
        <f t="shared" si="77"/>
        <v>449.77726077812832</v>
      </c>
      <c r="AH122" s="69">
        <f t="shared" si="77"/>
        <v>520.62633009708748</v>
      </c>
      <c r="AI122" s="69">
        <f t="shared" si="77"/>
        <v>927.66162280701758</v>
      </c>
      <c r="AJ122" s="69">
        <f t="shared" si="77"/>
        <v>1181.5177966101694</v>
      </c>
      <c r="AK122" s="69">
        <f t="shared" si="77"/>
        <v>622.51137619553663</v>
      </c>
      <c r="AL122" s="69">
        <f t="shared" si="77"/>
        <v>948.83709156193902</v>
      </c>
      <c r="AM122" s="69">
        <f t="shared" si="77"/>
        <v>1080.8728430566969</v>
      </c>
      <c r="AN122" s="69">
        <f t="shared" si="77"/>
        <v>430.73803418803419</v>
      </c>
      <c r="AO122" s="69">
        <f t="shared" si="77"/>
        <v>317.0660995850622</v>
      </c>
      <c r="AP122" s="69">
        <f t="shared" si="77"/>
        <v>1376.3440640000001</v>
      </c>
      <c r="AQ122" s="69">
        <f t="shared" si="77"/>
        <v>212.30942947702061</v>
      </c>
      <c r="AR122" s="69">
        <f t="shared" si="77"/>
        <v>1444.365607843137</v>
      </c>
      <c r="AS122" s="69">
        <f t="shared" si="77"/>
        <v>681.46225626740943</v>
      </c>
      <c r="AT122" s="69">
        <f t="shared" si="77"/>
        <v>805.79742632612977</v>
      </c>
      <c r="AU122" s="69">
        <f t="shared" si="77"/>
        <v>433.79774744027304</v>
      </c>
      <c r="AV122" s="69">
        <f t="shared" si="77"/>
        <v>813.42156057494856</v>
      </c>
      <c r="AW122" s="69">
        <f t="shared" si="77"/>
        <v>272.2709923664122</v>
      </c>
      <c r="AX122" s="69">
        <f t="shared" si="77"/>
        <v>613.55586956521734</v>
      </c>
      <c r="AY122" s="69">
        <f t="shared" si="77"/>
        <v>497.50360360360361</v>
      </c>
      <c r="AZ122" s="69">
        <f t="shared" si="77"/>
        <v>391.1544205495818</v>
      </c>
      <c r="BA122" s="69">
        <f t="shared" si="77"/>
        <v>946.54181585677748</v>
      </c>
      <c r="BB122" s="69">
        <f t="shared" si="77"/>
        <v>881.0164163498099</v>
      </c>
      <c r="BC122" s="69">
        <f t="shared" si="77"/>
        <v>895.82446236559144</v>
      </c>
      <c r="BD122" s="69">
        <f t="shared" si="77"/>
        <v>1386.7577581120945</v>
      </c>
      <c r="BE122" s="69">
        <f t="shared" si="77"/>
        <v>826.0052197802197</v>
      </c>
      <c r="BF122" s="69">
        <f t="shared" si="77"/>
        <v>40045.917979903294</v>
      </c>
      <c r="BG122" s="69">
        <f t="shared" si="77"/>
        <v>12594.764025274453</v>
      </c>
      <c r="BH122" s="69">
        <f t="shared" si="77"/>
        <v>11572.999859563344</v>
      </c>
      <c r="BI122" s="69">
        <f t="shared" si="77"/>
        <v>15878.154095065496</v>
      </c>
    </row>
    <row r="123" spans="2:61" x14ac:dyDescent="0.25">
      <c r="C123" s="7">
        <v>460</v>
      </c>
      <c r="D123" s="7" t="s">
        <v>175</v>
      </c>
      <c r="E123" s="12">
        <f>'MCH2'!E123/'MCH2'!E3</f>
        <v>9.1093585699263926</v>
      </c>
      <c r="F123" s="12">
        <f>'MCH2'!F123/'MCH2'!F3</f>
        <v>17.282945736434108</v>
      </c>
      <c r="G123" s="12">
        <f>'MCH2'!G123/'MCH2'!G3</f>
        <v>4.4585987261146496</v>
      </c>
      <c r="H123" s="12">
        <f>'MCH2'!H123/'MCH2'!H3</f>
        <v>0</v>
      </c>
      <c r="I123" s="12">
        <f>'MCH2'!I123/'MCH2'!I3</f>
        <v>7.5130222463374929</v>
      </c>
      <c r="J123" s="12">
        <f>'MCH2'!J123/'MCH2'!J3</f>
        <v>22.26320555387866</v>
      </c>
      <c r="K123" s="12">
        <f>'MCH2'!K123/'MCH2'!K3</f>
        <v>20.008289374529014</v>
      </c>
      <c r="L123" s="12">
        <f>'MCH2'!L123/'MCH2'!L3</f>
        <v>37.621003482114595</v>
      </c>
      <c r="M123" s="12">
        <f>'MCH2'!M123/'MCH2'!M3</f>
        <v>29.503676470588236</v>
      </c>
      <c r="N123" s="12">
        <f>'MCH2'!N123/'MCH2'!N3</f>
        <v>2.7321428571428572</v>
      </c>
      <c r="O123" s="12">
        <f>'MCH2'!O123/'MCH2'!O3</f>
        <v>0</v>
      </c>
      <c r="P123" s="12">
        <f>'MCH2'!P123/'MCH2'!P3</f>
        <v>0</v>
      </c>
      <c r="Q123" s="12">
        <f>'MCH2'!Q123/'MCH2'!Q3</f>
        <v>16.764622641509433</v>
      </c>
      <c r="R123" s="12">
        <f>'MCH2'!R123/'MCH2'!R3</f>
        <v>0</v>
      </c>
      <c r="S123" s="12">
        <f>'MCH2'!S123/'MCH2'!S3</f>
        <v>0</v>
      </c>
      <c r="T123" s="12">
        <f>'MCH2'!T123/'MCH2'!T3</f>
        <v>3.4392905866302863</v>
      </c>
      <c r="U123" s="12">
        <f>'MCH2'!U123/'MCH2'!U3</f>
        <v>1.2074074074074075</v>
      </c>
      <c r="V123" s="12">
        <f>'MCH2'!V123/'MCH2'!V3</f>
        <v>56.195803357314155</v>
      </c>
      <c r="W123" s="12">
        <f>'MCH2'!W123/'MCH2'!W3</f>
        <v>28.543896499238965</v>
      </c>
      <c r="X123" s="12">
        <f>'MCH2'!X123/'MCH2'!X3</f>
        <v>0.42532467532467533</v>
      </c>
      <c r="Y123" s="12">
        <f>'MCH2'!Y123/'MCH2'!Y3</f>
        <v>7.2806041335453102</v>
      </c>
      <c r="Z123" s="12">
        <f>'MCH2'!Z123/'MCH2'!Z3</f>
        <v>307.96522309711287</v>
      </c>
      <c r="AA123" s="12">
        <f>'MCH2'!AA123/'MCH2'!AA3</f>
        <v>0</v>
      </c>
      <c r="AB123" s="12">
        <f>'MCH2'!AB123/'MCH2'!AB3</f>
        <v>2.5</v>
      </c>
      <c r="AC123" s="12">
        <f>'MCH2'!AC123/'MCH2'!AC3</f>
        <v>10.103235294117646</v>
      </c>
      <c r="AD123" s="12">
        <f>'MCH2'!AD123/'MCH2'!AD3</f>
        <v>4.3163120567375888</v>
      </c>
      <c r="AE123" s="12">
        <f>'MCH2'!AE123/'MCH2'!AE3</f>
        <v>0</v>
      </c>
      <c r="AF123" s="12">
        <f>'MCH2'!AF123/'MCH2'!AF3</f>
        <v>0</v>
      </c>
      <c r="AG123" s="12">
        <f>'MCH2'!AG123/'MCH2'!AG3</f>
        <v>55.523133543638274</v>
      </c>
      <c r="AH123" s="12">
        <f>'MCH2'!AH123/'MCH2'!AH3</f>
        <v>12.936699029126213</v>
      </c>
      <c r="AI123" s="12">
        <f>'MCH2'!AI123/'MCH2'!AI3</f>
        <v>0</v>
      </c>
      <c r="AJ123" s="12">
        <f>'MCH2'!AJ123/'MCH2'!AJ3</f>
        <v>0</v>
      </c>
      <c r="AK123" s="12">
        <f>'MCH2'!AK123/'MCH2'!AK3</f>
        <v>25.075754516471839</v>
      </c>
      <c r="AL123" s="12">
        <f>'MCH2'!AL123/'MCH2'!AL3</f>
        <v>0</v>
      </c>
      <c r="AM123" s="12">
        <f>'MCH2'!AM123/'MCH2'!AM3</f>
        <v>1.8414133114215283</v>
      </c>
      <c r="AN123" s="12">
        <f>'MCH2'!AN123/'MCH2'!AN3</f>
        <v>0</v>
      </c>
      <c r="AO123" s="12">
        <f>'MCH2'!AO123/'MCH2'!AO3</f>
        <v>178.18506224066391</v>
      </c>
      <c r="AP123" s="12">
        <f>'MCH2'!AP123/'MCH2'!AP3</f>
        <v>28.8368</v>
      </c>
      <c r="AQ123" s="12">
        <f>'MCH2'!AQ123/'MCH2'!AQ3</f>
        <v>3.7892234548335977</v>
      </c>
      <c r="AR123" s="12">
        <f>'MCH2'!AR123/'MCH2'!AR3</f>
        <v>2.7615686274509805</v>
      </c>
      <c r="AS123" s="12">
        <f>'MCH2'!AS123/'MCH2'!AS3</f>
        <v>1.5459610027855153</v>
      </c>
      <c r="AT123" s="12">
        <f>'MCH2'!AT123/'MCH2'!AT3</f>
        <v>4.0805500982318268</v>
      </c>
      <c r="AU123" s="12">
        <f>'MCH2'!AU123/'MCH2'!AU3</f>
        <v>0</v>
      </c>
      <c r="AV123" s="12">
        <f>'MCH2'!AV123/'MCH2'!AV3</f>
        <v>22.635318275154003</v>
      </c>
      <c r="AW123" s="12">
        <f>'MCH2'!AW123/'MCH2'!AW3</f>
        <v>26.573791348600508</v>
      </c>
      <c r="AX123" s="12">
        <f>'MCH2'!AX123/'MCH2'!AX3</f>
        <v>0</v>
      </c>
      <c r="AY123" s="12">
        <f>'MCH2'!AY123/'MCH2'!AY3</f>
        <v>0</v>
      </c>
      <c r="AZ123" s="12">
        <f>'MCH2'!AZ123/'MCH2'!AZ3</f>
        <v>2.6875746714456392</v>
      </c>
      <c r="BA123" s="12">
        <f>'MCH2'!BA123/'MCH2'!BA3</f>
        <v>1.4884910485933505</v>
      </c>
      <c r="BB123" s="12">
        <f>'MCH2'!BB123/'MCH2'!BB3</f>
        <v>36.701520912547529</v>
      </c>
      <c r="BC123" s="12">
        <f>'MCH2'!BC123/'MCH2'!BC3</f>
        <v>0.30107526881720431</v>
      </c>
      <c r="BD123" s="12">
        <f>'MCH2'!BD123/'MCH2'!BD3</f>
        <v>31.701599130569786</v>
      </c>
      <c r="BE123" s="12">
        <f>'MCH2'!BE123/'MCH2'!BE3</f>
        <v>7.228937728937729</v>
      </c>
      <c r="BF123" s="12">
        <f t="shared" ref="BF123:BF127" si="78">SUM(E123:BE123)</f>
        <v>1033.1284369752939</v>
      </c>
      <c r="BG123" s="12">
        <f t="shared" ref="BG123:BG127" si="79">SUM(E123:W123)</f>
        <v>256.64326350916627</v>
      </c>
      <c r="BH123" s="12">
        <f t="shared" ref="BH123:BH127" si="80">SUM(X123:AJ123)</f>
        <v>401.05053182960262</v>
      </c>
      <c r="BI123" s="12">
        <f t="shared" ref="BI123:BI127" si="81">SUM(AK123:BE123)</f>
        <v>375.43464163652499</v>
      </c>
    </row>
    <row r="124" spans="2:61" x14ac:dyDescent="0.25">
      <c r="C124" s="7">
        <v>461</v>
      </c>
      <c r="D124" s="7" t="s">
        <v>176</v>
      </c>
      <c r="E124" s="12">
        <f>'MCH2'!E124/'MCH2'!E3</f>
        <v>358.13254468980017</v>
      </c>
      <c r="F124" s="12">
        <f>'MCH2'!F124/'MCH2'!F3</f>
        <v>38.397480620155036</v>
      </c>
      <c r="G124" s="12">
        <f>'MCH2'!G124/'MCH2'!G3</f>
        <v>47.147133757961782</v>
      </c>
      <c r="H124" s="12">
        <f>'MCH2'!H124/'MCH2'!H3</f>
        <v>3.7936507936507935</v>
      </c>
      <c r="I124" s="12">
        <f>'MCH2'!I124/'MCH2'!I3</f>
        <v>126.9313103635377</v>
      </c>
      <c r="J124" s="12">
        <f>'MCH2'!J124/'MCH2'!J3</f>
        <v>84.388614548747356</v>
      </c>
      <c r="K124" s="12">
        <f>'MCH2'!K124/'MCH2'!K3</f>
        <v>247.72554634513941</v>
      </c>
      <c r="L124" s="12">
        <f>'MCH2'!L124/'MCH2'!L3</f>
        <v>861.19093621399179</v>
      </c>
      <c r="M124" s="12">
        <f>'MCH2'!M124/'MCH2'!M3</f>
        <v>495.31915441176471</v>
      </c>
      <c r="N124" s="12">
        <f>'MCH2'!N124/'MCH2'!N3</f>
        <v>-427.54491071428572</v>
      </c>
      <c r="O124" s="12">
        <f>'MCH2'!O124/'MCH2'!O3</f>
        <v>141.87973630277361</v>
      </c>
      <c r="P124" s="12">
        <f>'MCH2'!P124/'MCH2'!P3</f>
        <v>11.593390804597702</v>
      </c>
      <c r="Q124" s="12">
        <f>'MCH2'!Q124/'MCH2'!Q3</f>
        <v>3.4954716981132075</v>
      </c>
      <c r="R124" s="12">
        <f>'MCH2'!R124/'MCH2'!R3</f>
        <v>47.570470588235295</v>
      </c>
      <c r="S124" s="12">
        <f>'MCH2'!S124/'MCH2'!S3</f>
        <v>182.10885714285715</v>
      </c>
      <c r="T124" s="12">
        <f>'MCH2'!T124/'MCH2'!T3</f>
        <v>59.907039563437927</v>
      </c>
      <c r="U124" s="12">
        <f>'MCH2'!U124/'MCH2'!U3</f>
        <v>1.5781481481481483</v>
      </c>
      <c r="V124" s="12">
        <f>'MCH2'!V124/'MCH2'!V3</f>
        <v>830.52405275779381</v>
      </c>
      <c r="W124" s="12">
        <f>'MCH2'!W124/'MCH2'!W3</f>
        <v>119.16404870624049</v>
      </c>
      <c r="X124" s="12">
        <f>'MCH2'!X124/'MCH2'!X3</f>
        <v>35.849512987012986</v>
      </c>
      <c r="Y124" s="12">
        <f>'MCH2'!Y124/'MCH2'!Y3</f>
        <v>554.05446740858508</v>
      </c>
      <c r="Z124" s="12">
        <f>'MCH2'!Z124/'MCH2'!Z3</f>
        <v>654.38722440944878</v>
      </c>
      <c r="AA124" s="12">
        <f>'MCH2'!AA124/'MCH2'!AA3</f>
        <v>66.489080459770122</v>
      </c>
      <c r="AB124" s="12">
        <f>'MCH2'!AB124/'MCH2'!AB3</f>
        <v>229.29038461538462</v>
      </c>
      <c r="AC124" s="12">
        <f>'MCH2'!AC124/'MCH2'!AC3</f>
        <v>163.16401960784313</v>
      </c>
      <c r="AD124" s="12">
        <f>'MCH2'!AD124/'MCH2'!AD3</f>
        <v>568.11459574468086</v>
      </c>
      <c r="AE124" s="12">
        <f>'MCH2'!AE124/'MCH2'!AE3</f>
        <v>247.27050816696914</v>
      </c>
      <c r="AF124" s="12">
        <f>'MCH2'!AF124/'MCH2'!AF3</f>
        <v>3.528375733855186</v>
      </c>
      <c r="AG124" s="12">
        <f>'MCH2'!AG124/'MCH2'!AG3</f>
        <v>266.09282334384858</v>
      </c>
      <c r="AH124" s="12">
        <f>'MCH2'!AH124/'MCH2'!AH3</f>
        <v>109.73415533980582</v>
      </c>
      <c r="AI124" s="12">
        <f>'MCH2'!AI124/'MCH2'!AI3</f>
        <v>173.2671052631579</v>
      </c>
      <c r="AJ124" s="12">
        <f>'MCH2'!AJ124/'MCH2'!AJ3</f>
        <v>292.69406779661017</v>
      </c>
      <c r="AK124" s="12">
        <f>'MCH2'!AK124/'MCH2'!AK3</f>
        <v>372.35182784272052</v>
      </c>
      <c r="AL124" s="12">
        <f>'MCH2'!AL124/'MCH2'!AL3</f>
        <v>78.567298025134647</v>
      </c>
      <c r="AM124" s="12">
        <f>'MCH2'!AM124/'MCH2'!AM3</f>
        <v>468.42945768282664</v>
      </c>
      <c r="AN124" s="12">
        <f>'MCH2'!AN124/'MCH2'!AN3</f>
        <v>29.992307692307691</v>
      </c>
      <c r="AO124" s="12">
        <f>'MCH2'!AO124/'MCH2'!AO3</f>
        <v>10.292946058091287</v>
      </c>
      <c r="AP124" s="12">
        <f>'MCH2'!AP124/'MCH2'!AP3</f>
        <v>1182.7908640000001</v>
      </c>
      <c r="AQ124" s="12">
        <f>'MCH2'!AQ124/'MCH2'!AQ3</f>
        <v>38.027654516640254</v>
      </c>
      <c r="AR124" s="12">
        <f>'MCH2'!AR124/'MCH2'!AR3</f>
        <v>821.99470588235295</v>
      </c>
      <c r="AS124" s="12">
        <f>'MCH2'!AS124/'MCH2'!AS3</f>
        <v>128.41413649025071</v>
      </c>
      <c r="AT124" s="12">
        <f>'MCH2'!AT124/'MCH2'!AT3</f>
        <v>79.16090373280943</v>
      </c>
      <c r="AU124" s="12">
        <f>'MCH2'!AU124/'MCH2'!AU3</f>
        <v>334.3281228668942</v>
      </c>
      <c r="AV124" s="12">
        <f>'MCH2'!AV124/'MCH2'!AV3</f>
        <v>599.76726899383982</v>
      </c>
      <c r="AW124" s="12">
        <f>'MCH2'!AW124/'MCH2'!AW3</f>
        <v>59.060114503816791</v>
      </c>
      <c r="AX124" s="12">
        <f>'MCH2'!AX124/'MCH2'!AX3</f>
        <v>3.4189130434782613</v>
      </c>
      <c r="AY124" s="12">
        <f>'MCH2'!AY124/'MCH2'!AY3</f>
        <v>19.589189189189188</v>
      </c>
      <c r="AZ124" s="12">
        <f>'MCH2'!AZ124/'MCH2'!AZ3</f>
        <v>185.83222819593789</v>
      </c>
      <c r="BA124" s="12">
        <f>'MCH2'!BA124/'MCH2'!BA3</f>
        <v>466.7410485933504</v>
      </c>
      <c r="BB124" s="12">
        <f>'MCH2'!BB124/'MCH2'!BB3</f>
        <v>656.29417300380226</v>
      </c>
      <c r="BC124" s="12">
        <f>'MCH2'!BC124/'MCH2'!BC3</f>
        <v>2.7841397849462366</v>
      </c>
      <c r="BD124" s="12">
        <f>'MCH2'!BD124/'MCH2'!BD3</f>
        <v>1112.1966076696165</v>
      </c>
      <c r="BE124" s="12">
        <f>'MCH2'!BE124/'MCH2'!BE3</f>
        <v>340.68205128205125</v>
      </c>
      <c r="BF124" s="12">
        <f t="shared" si="78"/>
        <v>13587.95495666969</v>
      </c>
      <c r="BG124" s="12">
        <f t="shared" si="79"/>
        <v>3233.3026767426604</v>
      </c>
      <c r="BH124" s="12">
        <f t="shared" si="80"/>
        <v>3363.9363208769728</v>
      </c>
      <c r="BI124" s="12">
        <f t="shared" si="81"/>
        <v>6990.7159590500569</v>
      </c>
    </row>
    <row r="125" spans="2:61" x14ac:dyDescent="0.25">
      <c r="C125" s="7">
        <v>462</v>
      </c>
      <c r="D125" s="7" t="s">
        <v>112</v>
      </c>
      <c r="E125" s="12">
        <f>'MCH2'!E125/'MCH2'!E3</f>
        <v>0</v>
      </c>
      <c r="F125" s="12">
        <f>'MCH2'!F125/'MCH2'!F3</f>
        <v>494.43023255813955</v>
      </c>
      <c r="G125" s="12">
        <f>'MCH2'!G125/'MCH2'!G3</f>
        <v>138.49681528662421</v>
      </c>
      <c r="H125" s="12">
        <f>'MCH2'!H125/'MCH2'!H3</f>
        <v>311.05215419501133</v>
      </c>
      <c r="I125" s="12">
        <f>'MCH2'!I125/'MCH2'!I3</f>
        <v>366.46337493217578</v>
      </c>
      <c r="J125" s="12">
        <f>'MCH2'!J125/'MCH2'!J3</f>
        <v>4.5575007546030788</v>
      </c>
      <c r="K125" s="12">
        <f>'MCH2'!K125/'MCH2'!K3</f>
        <v>0</v>
      </c>
      <c r="L125" s="12">
        <f>'MCH2'!L125/'MCH2'!L3</f>
        <v>69.828885723330174</v>
      </c>
      <c r="M125" s="12">
        <f>'MCH2'!M125/'MCH2'!M3</f>
        <v>41.526470588235291</v>
      </c>
      <c r="N125" s="12">
        <f>'MCH2'!N125/'MCH2'!N3</f>
        <v>1136.1071428571429</v>
      </c>
      <c r="O125" s="12">
        <f>'MCH2'!O125/'MCH2'!O3</f>
        <v>330.92294029238968</v>
      </c>
      <c r="P125" s="12">
        <f>'MCH2'!P125/'MCH2'!P3</f>
        <v>578.48659003831415</v>
      </c>
      <c r="Q125" s="12">
        <f>'MCH2'!Q125/'MCH2'!Q3</f>
        <v>648.57547169811323</v>
      </c>
      <c r="R125" s="12">
        <f>'MCH2'!R125/'MCH2'!R3</f>
        <v>334.83294117647057</v>
      </c>
      <c r="S125" s="12">
        <f>'MCH2'!S125/'MCH2'!S3</f>
        <v>637.91428571428571</v>
      </c>
      <c r="T125" s="12">
        <f>'MCH2'!T125/'MCH2'!T3</f>
        <v>0</v>
      </c>
      <c r="U125" s="12">
        <f>'MCH2'!U125/'MCH2'!U3</f>
        <v>410.45185185185187</v>
      </c>
      <c r="V125" s="12">
        <f>'MCH2'!V125/'MCH2'!V3</f>
        <v>0</v>
      </c>
      <c r="W125" s="12">
        <f>'MCH2'!W125/'MCH2'!W3</f>
        <v>347.59573820395741</v>
      </c>
      <c r="X125" s="12">
        <f>'MCH2'!X125/'MCH2'!X3</f>
        <v>113.51948051948052</v>
      </c>
      <c r="Y125" s="12">
        <f>'MCH2'!Y125/'MCH2'!Y3</f>
        <v>18.125596184419713</v>
      </c>
      <c r="Z125" s="12">
        <f>'MCH2'!Z125/'MCH2'!Z3</f>
        <v>18.34776902887139</v>
      </c>
      <c r="AA125" s="12">
        <f>'MCH2'!AA125/'MCH2'!AA3</f>
        <v>511.51724137931035</v>
      </c>
      <c r="AB125" s="12">
        <f>'MCH2'!AB125/'MCH2'!AB3</f>
        <v>537.17948717948718</v>
      </c>
      <c r="AC125" s="12">
        <f>'MCH2'!AC125/'MCH2'!AC3</f>
        <v>181.60392156862744</v>
      </c>
      <c r="AD125" s="12">
        <f>'MCH2'!AD125/'MCH2'!AD3</f>
        <v>410.55177304964536</v>
      </c>
      <c r="AE125" s="12">
        <f>'MCH2'!AE125/'MCH2'!AE3</f>
        <v>474.60617059891109</v>
      </c>
      <c r="AF125" s="12">
        <f>'MCH2'!AF125/'MCH2'!AF3</f>
        <v>0</v>
      </c>
      <c r="AG125" s="12">
        <f>'MCH2'!AG125/'MCH2'!AG3</f>
        <v>0</v>
      </c>
      <c r="AH125" s="12">
        <f>'MCH2'!AH125/'MCH2'!AH3</f>
        <v>118.03961165048544</v>
      </c>
      <c r="AI125" s="12">
        <f>'MCH2'!AI125/'MCH2'!AI3</f>
        <v>565.90350877192986</v>
      </c>
      <c r="AJ125" s="12">
        <f>'MCH2'!AJ125/'MCH2'!AJ3</f>
        <v>718.03389830508479</v>
      </c>
      <c r="AK125" s="12">
        <f>'MCH2'!AK125/'MCH2'!AK3</f>
        <v>135.69181721572795</v>
      </c>
      <c r="AL125" s="12">
        <f>'MCH2'!AL125/'MCH2'!AL3</f>
        <v>585.24236983842013</v>
      </c>
      <c r="AM125" s="12">
        <f>'MCH2'!AM125/'MCH2'!AM3</f>
        <v>455.41824157764995</v>
      </c>
      <c r="AN125" s="12">
        <f>'MCH2'!AN125/'MCH2'!AN3</f>
        <v>171.45299145299145</v>
      </c>
      <c r="AO125" s="12">
        <f>'MCH2'!AO125/'MCH2'!AO3</f>
        <v>0</v>
      </c>
      <c r="AP125" s="12">
        <f>'MCH2'!AP125/'MCH2'!AP3</f>
        <v>0</v>
      </c>
      <c r="AQ125" s="12">
        <f>'MCH2'!AQ125/'MCH2'!AQ3</f>
        <v>98.602218700475433</v>
      </c>
      <c r="AR125" s="12">
        <f>'MCH2'!AR125/'MCH2'!AR3</f>
        <v>279.14196078431371</v>
      </c>
      <c r="AS125" s="12">
        <f>'MCH2'!AS125/'MCH2'!AS3</f>
        <v>469.75487465181061</v>
      </c>
      <c r="AT125" s="12">
        <f>'MCH2'!AT125/'MCH2'!AT3</f>
        <v>301.57367387033401</v>
      </c>
      <c r="AU125" s="12">
        <f>'MCH2'!AU125/'MCH2'!AU3</f>
        <v>0</v>
      </c>
      <c r="AV125" s="12">
        <f>'MCH2'!AV125/'MCH2'!AV3</f>
        <v>144.67926078028748</v>
      </c>
      <c r="AW125" s="12">
        <f>'MCH2'!AW125/'MCH2'!AW3</f>
        <v>37.613231552162851</v>
      </c>
      <c r="AX125" s="12">
        <f>'MCH2'!AX125/'MCH2'!AX3</f>
        <v>412.79347826086956</v>
      </c>
      <c r="AY125" s="12">
        <f>'MCH2'!AY125/'MCH2'!AY3</f>
        <v>413.90390390390388</v>
      </c>
      <c r="AZ125" s="12">
        <f>'MCH2'!AZ125/'MCH2'!AZ3</f>
        <v>135.81481481481481</v>
      </c>
      <c r="BA125" s="12">
        <f>'MCH2'!BA125/'MCH2'!BA3</f>
        <v>376.96675191815859</v>
      </c>
      <c r="BB125" s="12">
        <f>'MCH2'!BB125/'MCH2'!BB3</f>
        <v>0</v>
      </c>
      <c r="BC125" s="12">
        <f>'MCH2'!BC125/'MCH2'!BC3</f>
        <v>744.77419354838707</v>
      </c>
      <c r="BD125" s="12">
        <f>'MCH2'!BD125/'MCH2'!BD3</f>
        <v>64.801560316721009</v>
      </c>
      <c r="BE125" s="12">
        <f>'MCH2'!BE125/'MCH2'!BE3</f>
        <v>375.26373626373629</v>
      </c>
      <c r="BF125" s="12">
        <f t="shared" si="78"/>
        <v>14722.159933557667</v>
      </c>
      <c r="BG125" s="12">
        <f t="shared" si="79"/>
        <v>5851.2423958706459</v>
      </c>
      <c r="BH125" s="12">
        <f t="shared" si="80"/>
        <v>3667.4284582362525</v>
      </c>
      <c r="BI125" s="12">
        <f t="shared" si="81"/>
        <v>5203.4890794507646</v>
      </c>
    </row>
    <row r="126" spans="2:61" x14ac:dyDescent="0.25">
      <c r="C126" s="7">
        <v>463</v>
      </c>
      <c r="D126" s="7" t="s">
        <v>177</v>
      </c>
      <c r="E126" s="12">
        <f>'MCH2'!E126/'MCH2'!E3</f>
        <v>66.150052576235538</v>
      </c>
      <c r="F126" s="12">
        <f>'MCH2'!F126/'MCH2'!F3</f>
        <v>410.15891472868219</v>
      </c>
      <c r="G126" s="12">
        <f>'MCH2'!G126/'MCH2'!G3</f>
        <v>46.846178343949042</v>
      </c>
      <c r="H126" s="12">
        <f>'MCH2'!H126/'MCH2'!H3</f>
        <v>16.745691609977325</v>
      </c>
      <c r="I126" s="12">
        <f>'MCH2'!I126/'MCH2'!I3</f>
        <v>52.759807379272921</v>
      </c>
      <c r="J126" s="12">
        <f>'MCH2'!J126/'MCH2'!J3</f>
        <v>215.17163597947479</v>
      </c>
      <c r="K126" s="12">
        <f>'MCH2'!K126/'MCH2'!K3</f>
        <v>75.26070836473248</v>
      </c>
      <c r="L126" s="12">
        <f>'MCH2'!L126/'MCH2'!L3</f>
        <v>189.92016540044318</v>
      </c>
      <c r="M126" s="12">
        <f>'MCH2'!M126/'MCH2'!M3</f>
        <v>45.510845588235291</v>
      </c>
      <c r="N126" s="12">
        <f>'MCH2'!N126/'MCH2'!N3</f>
        <v>433.60758928571431</v>
      </c>
      <c r="O126" s="12">
        <f>'MCH2'!O126/'MCH2'!O3</f>
        <v>99.147301543926758</v>
      </c>
      <c r="P126" s="12">
        <f>'MCH2'!P126/'MCH2'!P3</f>
        <v>75.174616858237556</v>
      </c>
      <c r="Q126" s="12">
        <f>'MCH2'!Q126/'MCH2'!Q3</f>
        <v>52.661320754716982</v>
      </c>
      <c r="R126" s="12">
        <f>'MCH2'!R126/'MCH2'!R3</f>
        <v>71.594470588235296</v>
      </c>
      <c r="S126" s="12">
        <f>'MCH2'!S126/'MCH2'!S3</f>
        <v>57.390571428571434</v>
      </c>
      <c r="T126" s="12">
        <f>'MCH2'!T126/'MCH2'!T3</f>
        <v>69.053683492496589</v>
      </c>
      <c r="U126" s="12">
        <f>'MCH2'!U126/'MCH2'!U3</f>
        <v>193.96629629629629</v>
      </c>
      <c r="V126" s="12">
        <f>'MCH2'!V126/'MCH2'!V3</f>
        <v>151.77434052757795</v>
      </c>
      <c r="W126" s="12">
        <f>'MCH2'!W126/'MCH2'!W3</f>
        <v>80.687427701674281</v>
      </c>
      <c r="X126" s="12">
        <f>'MCH2'!X126/'MCH2'!X3</f>
        <v>1615.8925324675326</v>
      </c>
      <c r="Y126" s="12">
        <f>'MCH2'!Y126/'MCH2'!Y3</f>
        <v>83.529292527821937</v>
      </c>
      <c r="Z126" s="12">
        <f>'MCH2'!Z126/'MCH2'!Z3</f>
        <v>306.37053805774281</v>
      </c>
      <c r="AA126" s="12">
        <f>'MCH2'!AA126/'MCH2'!AA3</f>
        <v>196.75862068965517</v>
      </c>
      <c r="AB126" s="12">
        <f>'MCH2'!AB126/'MCH2'!AB3</f>
        <v>83.781410256410254</v>
      </c>
      <c r="AC126" s="12">
        <f>'MCH2'!AC126/'MCH2'!AC3</f>
        <v>222.70490196078433</v>
      </c>
      <c r="AD126" s="12">
        <f>'MCH2'!AD126/'MCH2'!AD3</f>
        <v>160.55503546099291</v>
      </c>
      <c r="AE126" s="12">
        <f>'MCH2'!AE126/'MCH2'!AE3</f>
        <v>214.76960072595281</v>
      </c>
      <c r="AF126" s="12">
        <f>'MCH2'!AF126/'MCH2'!AF3</f>
        <v>473.25596868884537</v>
      </c>
      <c r="AG126" s="12">
        <f>'MCH2'!AG126/'MCH2'!AG3</f>
        <v>126.56677181913776</v>
      </c>
      <c r="AH126" s="12">
        <f>'MCH2'!AH126/'MCH2'!AH3</f>
        <v>279.44081553398058</v>
      </c>
      <c r="AI126" s="12">
        <f>'MCH2'!AI126/'MCH2'!AI3</f>
        <v>186.39232456140348</v>
      </c>
      <c r="AJ126" s="12">
        <f>'MCH2'!AJ126/'MCH2'!AJ3</f>
        <v>161.96016949152542</v>
      </c>
      <c r="AK126" s="12">
        <f>'MCH2'!AK126/'MCH2'!AK3</f>
        <v>83.948777895855471</v>
      </c>
      <c r="AL126" s="12">
        <f>'MCH2'!AL126/'MCH2'!AL3</f>
        <v>246.58877917414725</v>
      </c>
      <c r="AM126" s="12">
        <f>'MCH2'!AM126/'MCH2'!AM3</f>
        <v>146.31717337715693</v>
      </c>
      <c r="AN126" s="12">
        <f>'MCH2'!AN126/'MCH2'!AN3</f>
        <v>222.83931623931625</v>
      </c>
      <c r="AO126" s="12">
        <f>'MCH2'!AO126/'MCH2'!AO3</f>
        <v>127.86788381742737</v>
      </c>
      <c r="AP126" s="12">
        <f>'MCH2'!AP126/'MCH2'!AP3</f>
        <v>160.85911999999999</v>
      </c>
      <c r="AQ126" s="12">
        <f>'MCH2'!AQ126/'MCH2'!AQ3</f>
        <v>62.747860538827261</v>
      </c>
      <c r="AR126" s="12">
        <f>'MCH2'!AR126/'MCH2'!AR3</f>
        <v>331.21984313725488</v>
      </c>
      <c r="AS126" s="12">
        <f>'MCH2'!AS126/'MCH2'!AS3</f>
        <v>78.953064066852377</v>
      </c>
      <c r="AT126" s="12">
        <f>'MCH2'!AT126/'MCH2'!AT3</f>
        <v>420.70174852652258</v>
      </c>
      <c r="AU126" s="12">
        <f>'MCH2'!AU126/'MCH2'!AU3</f>
        <v>97.086689419795221</v>
      </c>
      <c r="AV126" s="12">
        <f>'MCH2'!AV126/'MCH2'!AV3</f>
        <v>46.056180698151955</v>
      </c>
      <c r="AW126" s="12">
        <f>'MCH2'!AW126/'MCH2'!AW3</f>
        <v>147.46965648854962</v>
      </c>
      <c r="AX126" s="12">
        <f>'MCH2'!AX126/'MCH2'!AX3</f>
        <v>186.01222826086956</v>
      </c>
      <c r="AY126" s="12">
        <f>'MCH2'!AY126/'MCH2'!AY3</f>
        <v>55.191141141141145</v>
      </c>
      <c r="AZ126" s="12">
        <f>'MCH2'!AZ126/'MCH2'!AZ3</f>
        <v>66.466816009557945</v>
      </c>
      <c r="BA126" s="12">
        <f>'MCH2'!BA126/'MCH2'!BA3</f>
        <v>101.12800511508952</v>
      </c>
      <c r="BB126" s="12">
        <f>'MCH2'!BB126/'MCH2'!BB3</f>
        <v>187.18217680608365</v>
      </c>
      <c r="BC126" s="12">
        <f>'MCH2'!BC126/'MCH2'!BC3</f>
        <v>137.33440860215055</v>
      </c>
      <c r="BD126" s="12">
        <f>'MCH2'!BD126/'MCH2'!BD3</f>
        <v>166.22128861977956</v>
      </c>
      <c r="BE126" s="12">
        <f>'MCH2'!BE126/'MCH2'!BE3</f>
        <v>90.08113553113553</v>
      </c>
      <c r="BF126" s="12">
        <f t="shared" si="78"/>
        <v>9677.8328941558975</v>
      </c>
      <c r="BG126" s="12">
        <f t="shared" si="79"/>
        <v>2403.5816184484497</v>
      </c>
      <c r="BH126" s="12">
        <f t="shared" si="80"/>
        <v>4111.977982241785</v>
      </c>
      <c r="BI126" s="12">
        <f t="shared" si="81"/>
        <v>3162.2732934656647</v>
      </c>
    </row>
    <row r="127" spans="2:61" x14ac:dyDescent="0.25">
      <c r="C127" s="7">
        <v>469</v>
      </c>
      <c r="D127" s="7" t="s">
        <v>178</v>
      </c>
      <c r="E127" s="12">
        <f>'MCH2'!E127/'MCH2'!E3</f>
        <v>0.34269190325972659</v>
      </c>
      <c r="F127" s="12">
        <f>'MCH2'!F127/'MCH2'!F3</f>
        <v>0.10077519379844961</v>
      </c>
      <c r="G127" s="12">
        <f>'MCH2'!G127/'MCH2'!G3</f>
        <v>0</v>
      </c>
      <c r="H127" s="12">
        <f>'MCH2'!H127/'MCH2'!H3</f>
        <v>0.37369614512471661</v>
      </c>
      <c r="I127" s="12">
        <f>'MCH2'!I127/'MCH2'!I3</f>
        <v>0.50752848616386326</v>
      </c>
      <c r="J127" s="12">
        <f>'MCH2'!J127/'MCH2'!J3</f>
        <v>0.60564443102927856</v>
      </c>
      <c r="K127" s="12">
        <f>'MCH2'!K127/'MCH2'!K3</f>
        <v>0.23003014318010551</v>
      </c>
      <c r="L127" s="12">
        <f>'MCH2'!L127/'MCH2'!L3</f>
        <v>575.2862195314973</v>
      </c>
      <c r="M127" s="12">
        <f>'MCH2'!M127/'MCH2'!M3</f>
        <v>266.56400735294119</v>
      </c>
      <c r="N127" s="12">
        <f>'MCH2'!N127/'MCH2'!N3</f>
        <v>0</v>
      </c>
      <c r="O127" s="12">
        <f>'MCH2'!O127/'MCH2'!O3</f>
        <v>3.8683699959010793</v>
      </c>
      <c r="P127" s="12">
        <f>'MCH2'!P127/'MCH2'!P3</f>
        <v>0</v>
      </c>
      <c r="Q127" s="12">
        <f>'MCH2'!Q127/'MCH2'!Q3</f>
        <v>0.26226415094339622</v>
      </c>
      <c r="R127" s="12">
        <f>'MCH2'!R127/'MCH2'!R3</f>
        <v>0.40223529411764702</v>
      </c>
      <c r="S127" s="12">
        <f>'MCH2'!S127/'MCH2'!S3</f>
        <v>0.22328571428571431</v>
      </c>
      <c r="T127" s="12">
        <f>'MCH2'!T127/'MCH2'!T3</f>
        <v>0</v>
      </c>
      <c r="U127" s="12">
        <f>'MCH2'!U127/'MCH2'!U3</f>
        <v>0.26666666666666666</v>
      </c>
      <c r="V127" s="12">
        <f>'MCH2'!V127/'MCH2'!V3</f>
        <v>0.51462829736211024</v>
      </c>
      <c r="W127" s="12">
        <f>'MCH2'!W127/'MCH2'!W3</f>
        <v>0.44602739726027396</v>
      </c>
      <c r="X127" s="12">
        <f>'MCH2'!X127/'MCH2'!X3</f>
        <v>3.0133116883116884</v>
      </c>
      <c r="Y127" s="12">
        <f>'MCH2'!Y127/'MCH2'!Y3</f>
        <v>2.8410174880763117</v>
      </c>
      <c r="Z127" s="12">
        <f>'MCH2'!Z127/'MCH2'!Z3</f>
        <v>0.73996062992125988</v>
      </c>
      <c r="AA127" s="12">
        <f>'MCH2'!AA127/'MCH2'!AA3</f>
        <v>0</v>
      </c>
      <c r="AB127" s="12">
        <f>'MCH2'!AB127/'MCH2'!AB3</f>
        <v>3.5900641025641025</v>
      </c>
      <c r="AC127" s="12">
        <f>'MCH2'!AC127/'MCH2'!AC3</f>
        <v>2.9223529411764706</v>
      </c>
      <c r="AD127" s="12">
        <f>'MCH2'!AD127/'MCH2'!AD3</f>
        <v>2.1349645390070924</v>
      </c>
      <c r="AE127" s="12">
        <f>'MCH2'!AE127/'MCH2'!AE3</f>
        <v>0.36696914700544464</v>
      </c>
      <c r="AF127" s="12">
        <f>'MCH2'!AF127/'MCH2'!AF3</f>
        <v>0</v>
      </c>
      <c r="AG127" s="12">
        <f>'MCH2'!AG127/'MCH2'!AG3</f>
        <v>1.5945320715036804</v>
      </c>
      <c r="AH127" s="12">
        <f>'MCH2'!AH127/'MCH2'!AH3</f>
        <v>0.47504854368932037</v>
      </c>
      <c r="AI127" s="12">
        <f>'MCH2'!AI127/'MCH2'!AI3</f>
        <v>2.0986842105263159</v>
      </c>
      <c r="AJ127" s="12">
        <f>'MCH2'!AJ127/'MCH2'!AJ3</f>
        <v>8.829661016949153</v>
      </c>
      <c r="AK127" s="12">
        <f>'MCH2'!AK127/'MCH2'!AK3</f>
        <v>5.4431987247608928</v>
      </c>
      <c r="AL127" s="12">
        <f>'MCH2'!AL127/'MCH2'!AL3</f>
        <v>38.438644524236985</v>
      </c>
      <c r="AM127" s="12">
        <f>'MCH2'!AM127/'MCH2'!AM3</f>
        <v>8.8665571076417429</v>
      </c>
      <c r="AN127" s="12">
        <f>'MCH2'!AN127/'MCH2'!AN3</f>
        <v>6.4534188034188027</v>
      </c>
      <c r="AO127" s="12">
        <f>'MCH2'!AO127/'MCH2'!AO3</f>
        <v>0.72020746887966802</v>
      </c>
      <c r="AP127" s="12">
        <f>'MCH2'!AP127/'MCH2'!AP3</f>
        <v>3.8572800000000003</v>
      </c>
      <c r="AQ127" s="12">
        <f>'MCH2'!AQ127/'MCH2'!AQ3</f>
        <v>9.1424722662440558</v>
      </c>
      <c r="AR127" s="12">
        <f>'MCH2'!AR127/'MCH2'!AR3</f>
        <v>9.247529411764706</v>
      </c>
      <c r="AS127" s="12">
        <f>'MCH2'!AS127/'MCH2'!AS3</f>
        <v>2.7942200557103063</v>
      </c>
      <c r="AT127" s="12">
        <f>'MCH2'!AT127/'MCH2'!AT3</f>
        <v>0.28055009823182714</v>
      </c>
      <c r="AU127" s="12">
        <f>'MCH2'!AU127/'MCH2'!AU3</f>
        <v>2.3829351535836181</v>
      </c>
      <c r="AV127" s="12">
        <f>'MCH2'!AV127/'MCH2'!AV3</f>
        <v>0.2835318275154004</v>
      </c>
      <c r="AW127" s="12">
        <f>'MCH2'!AW127/'MCH2'!AW3</f>
        <v>1.5541984732824425</v>
      </c>
      <c r="AX127" s="12">
        <f>'MCH2'!AX127/'MCH2'!AX3</f>
        <v>11.331249999999999</v>
      </c>
      <c r="AY127" s="12">
        <f>'MCH2'!AY127/'MCH2'!AY3</f>
        <v>8.8193693693693689</v>
      </c>
      <c r="AZ127" s="12">
        <f>'MCH2'!AZ127/'MCH2'!AZ3</f>
        <v>0.35298685782556749</v>
      </c>
      <c r="BA127" s="12">
        <f>'MCH2'!BA127/'MCH2'!BA3</f>
        <v>0.21751918158567773</v>
      </c>
      <c r="BB127" s="12">
        <f>'MCH2'!BB127/'MCH2'!BB3</f>
        <v>0.8385456273764258</v>
      </c>
      <c r="BC127" s="12">
        <f>'MCH2'!BC127/'MCH2'!BC3</f>
        <v>10.630645161290323</v>
      </c>
      <c r="BD127" s="12">
        <f>'MCH2'!BD127/'MCH2'!BD3</f>
        <v>11.836702375407546</v>
      </c>
      <c r="BE127" s="12">
        <f>'MCH2'!BE127/'MCH2'!BE3</f>
        <v>12.749358974358973</v>
      </c>
      <c r="BF127" s="12">
        <f t="shared" si="78"/>
        <v>1024.8417585447467</v>
      </c>
      <c r="BG127" s="12">
        <f t="shared" si="79"/>
        <v>849.99407070353152</v>
      </c>
      <c r="BH127" s="12">
        <f t="shared" si="80"/>
        <v>28.60656637873084</v>
      </c>
      <c r="BI127" s="12">
        <f t="shared" si="81"/>
        <v>146.24112146248433</v>
      </c>
    </row>
    <row r="128" spans="2:61" x14ac:dyDescent="0.25">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row>
    <row r="129" spans="2:61" x14ac:dyDescent="0.25">
      <c r="B129" s="68">
        <v>47</v>
      </c>
      <c r="C129" s="68"/>
      <c r="D129" s="68" t="s">
        <v>118</v>
      </c>
      <c r="E129" s="69">
        <f>E130</f>
        <v>0</v>
      </c>
      <c r="F129" s="69">
        <f t="shared" ref="F129:BI129" si="82">F130</f>
        <v>0</v>
      </c>
      <c r="G129" s="69">
        <f t="shared" si="82"/>
        <v>0</v>
      </c>
      <c r="H129" s="69">
        <f t="shared" si="82"/>
        <v>0</v>
      </c>
      <c r="I129" s="69">
        <f t="shared" si="82"/>
        <v>0</v>
      </c>
      <c r="J129" s="69">
        <f t="shared" si="82"/>
        <v>0</v>
      </c>
      <c r="K129" s="69">
        <f t="shared" si="82"/>
        <v>0</v>
      </c>
      <c r="L129" s="69">
        <f t="shared" si="82"/>
        <v>0</v>
      </c>
      <c r="M129" s="69">
        <f t="shared" si="82"/>
        <v>0</v>
      </c>
      <c r="N129" s="69">
        <f t="shared" si="82"/>
        <v>0</v>
      </c>
      <c r="O129" s="69">
        <f t="shared" si="82"/>
        <v>0</v>
      </c>
      <c r="P129" s="69">
        <f t="shared" si="82"/>
        <v>0</v>
      </c>
      <c r="Q129" s="69">
        <f t="shared" si="82"/>
        <v>0</v>
      </c>
      <c r="R129" s="69">
        <f t="shared" si="82"/>
        <v>0</v>
      </c>
      <c r="S129" s="69">
        <f t="shared" si="82"/>
        <v>0</v>
      </c>
      <c r="T129" s="69">
        <f t="shared" si="82"/>
        <v>0</v>
      </c>
      <c r="U129" s="69">
        <f t="shared" si="82"/>
        <v>0</v>
      </c>
      <c r="V129" s="69">
        <f t="shared" si="82"/>
        <v>0</v>
      </c>
      <c r="W129" s="69">
        <f t="shared" si="82"/>
        <v>0</v>
      </c>
      <c r="X129" s="69">
        <f t="shared" si="82"/>
        <v>0</v>
      </c>
      <c r="Y129" s="69">
        <f t="shared" si="82"/>
        <v>0</v>
      </c>
      <c r="Z129" s="69">
        <f t="shared" si="82"/>
        <v>281.4882217847769</v>
      </c>
      <c r="AA129" s="69">
        <f t="shared" si="82"/>
        <v>1836.7988505747126</v>
      </c>
      <c r="AB129" s="69">
        <f t="shared" si="82"/>
        <v>1295.636217948718</v>
      </c>
      <c r="AC129" s="69">
        <f t="shared" si="82"/>
        <v>308.22470588235296</v>
      </c>
      <c r="AD129" s="69">
        <f t="shared" si="82"/>
        <v>0</v>
      </c>
      <c r="AE129" s="69">
        <f t="shared" si="82"/>
        <v>434.03901996370234</v>
      </c>
      <c r="AF129" s="69">
        <f t="shared" si="82"/>
        <v>1162.0851272015655</v>
      </c>
      <c r="AG129" s="69">
        <f t="shared" si="82"/>
        <v>221.19634595162987</v>
      </c>
      <c r="AH129" s="69">
        <f t="shared" si="82"/>
        <v>0</v>
      </c>
      <c r="AI129" s="69">
        <f t="shared" si="82"/>
        <v>18.34407894736842</v>
      </c>
      <c r="AJ129" s="69">
        <f t="shared" si="82"/>
        <v>0</v>
      </c>
      <c r="AK129" s="69">
        <f t="shared" si="82"/>
        <v>0</v>
      </c>
      <c r="AL129" s="69">
        <f t="shared" si="82"/>
        <v>0</v>
      </c>
      <c r="AM129" s="69">
        <f t="shared" si="82"/>
        <v>0</v>
      </c>
      <c r="AN129" s="69">
        <f t="shared" si="82"/>
        <v>0</v>
      </c>
      <c r="AO129" s="69">
        <f t="shared" si="82"/>
        <v>0</v>
      </c>
      <c r="AP129" s="69">
        <f t="shared" si="82"/>
        <v>0</v>
      </c>
      <c r="AQ129" s="69">
        <f t="shared" si="82"/>
        <v>0</v>
      </c>
      <c r="AR129" s="69">
        <f t="shared" si="82"/>
        <v>44.399686274509804</v>
      </c>
      <c r="AS129" s="69">
        <f t="shared" si="82"/>
        <v>0</v>
      </c>
      <c r="AT129" s="69">
        <f t="shared" si="82"/>
        <v>0</v>
      </c>
      <c r="AU129" s="69">
        <f t="shared" si="82"/>
        <v>0</v>
      </c>
      <c r="AV129" s="69">
        <f t="shared" si="82"/>
        <v>32.768952772073916</v>
      </c>
      <c r="AW129" s="69">
        <f t="shared" si="82"/>
        <v>0</v>
      </c>
      <c r="AX129" s="69">
        <f t="shared" si="82"/>
        <v>0</v>
      </c>
      <c r="AY129" s="69">
        <f t="shared" si="82"/>
        <v>0</v>
      </c>
      <c r="AZ129" s="69">
        <f t="shared" si="82"/>
        <v>0</v>
      </c>
      <c r="BA129" s="69">
        <f t="shared" si="82"/>
        <v>0</v>
      </c>
      <c r="BB129" s="69">
        <f t="shared" si="82"/>
        <v>0</v>
      </c>
      <c r="BC129" s="69">
        <f t="shared" si="82"/>
        <v>0</v>
      </c>
      <c r="BD129" s="69">
        <f t="shared" si="82"/>
        <v>0</v>
      </c>
      <c r="BE129" s="69">
        <f t="shared" si="82"/>
        <v>0</v>
      </c>
      <c r="BF129" s="69">
        <f t="shared" si="82"/>
        <v>5634.9812073014109</v>
      </c>
      <c r="BG129" s="69">
        <f t="shared" si="82"/>
        <v>0</v>
      </c>
      <c r="BH129" s="69">
        <f t="shared" si="82"/>
        <v>5557.8125682548271</v>
      </c>
      <c r="BI129" s="69">
        <f t="shared" si="82"/>
        <v>77.168639046583721</v>
      </c>
    </row>
    <row r="130" spans="2:61" x14ac:dyDescent="0.25">
      <c r="C130" s="7">
        <v>470</v>
      </c>
      <c r="D130" s="7" t="s">
        <v>179</v>
      </c>
      <c r="E130" s="12">
        <f>'MCH2'!E130/'MCH2'!E3</f>
        <v>0</v>
      </c>
      <c r="F130" s="12">
        <f>'MCH2'!F130/'MCH2'!F3</f>
        <v>0</v>
      </c>
      <c r="G130" s="12">
        <f>'MCH2'!G130/'MCH2'!G3</f>
        <v>0</v>
      </c>
      <c r="H130" s="12">
        <f>'MCH2'!H130/'MCH2'!H3</f>
        <v>0</v>
      </c>
      <c r="I130" s="12">
        <f>'MCH2'!I130/'MCH2'!I3</f>
        <v>0</v>
      </c>
      <c r="J130" s="12">
        <f>'MCH2'!J130/'MCH2'!J3</f>
        <v>0</v>
      </c>
      <c r="K130" s="12">
        <f>'MCH2'!K130/'MCH2'!K3</f>
        <v>0</v>
      </c>
      <c r="L130" s="12">
        <f>'MCH2'!L130/'MCH2'!L3</f>
        <v>0</v>
      </c>
      <c r="M130" s="12">
        <f>'MCH2'!M130/'MCH2'!M3</f>
        <v>0</v>
      </c>
      <c r="N130" s="12">
        <f>'MCH2'!N130/'MCH2'!N3</f>
        <v>0</v>
      </c>
      <c r="O130" s="12">
        <f>'MCH2'!O130/'MCH2'!O3</f>
        <v>0</v>
      </c>
      <c r="P130" s="12">
        <f>'MCH2'!P130/'MCH2'!P3</f>
        <v>0</v>
      </c>
      <c r="Q130" s="12">
        <f>'MCH2'!Q130/'MCH2'!Q3</f>
        <v>0</v>
      </c>
      <c r="R130" s="12">
        <f>'MCH2'!R130/'MCH2'!R3</f>
        <v>0</v>
      </c>
      <c r="S130" s="12">
        <f>'MCH2'!S130/'MCH2'!S3</f>
        <v>0</v>
      </c>
      <c r="T130" s="12">
        <f>'MCH2'!T130/'MCH2'!T3</f>
        <v>0</v>
      </c>
      <c r="U130" s="12">
        <f>'MCH2'!U130/'MCH2'!U3</f>
        <v>0</v>
      </c>
      <c r="V130" s="12">
        <f>'MCH2'!V130/'MCH2'!V3</f>
        <v>0</v>
      </c>
      <c r="W130" s="12">
        <f>'MCH2'!W130/'MCH2'!W3</f>
        <v>0</v>
      </c>
      <c r="X130" s="12">
        <f>'MCH2'!X130/'MCH2'!X3</f>
        <v>0</v>
      </c>
      <c r="Y130" s="12">
        <f>'MCH2'!Y130/'MCH2'!Y3</f>
        <v>0</v>
      </c>
      <c r="Z130" s="12">
        <f>'MCH2'!Z130/'MCH2'!Z3</f>
        <v>281.4882217847769</v>
      </c>
      <c r="AA130" s="12">
        <f>'MCH2'!AA130/'MCH2'!AA3</f>
        <v>1836.7988505747126</v>
      </c>
      <c r="AB130" s="12">
        <f>'MCH2'!AB130/'MCH2'!AB3</f>
        <v>1295.636217948718</v>
      </c>
      <c r="AC130" s="12">
        <f>'MCH2'!AC130/'MCH2'!AC3</f>
        <v>308.22470588235296</v>
      </c>
      <c r="AD130" s="12">
        <f>'MCH2'!AD130/'MCH2'!AD3</f>
        <v>0</v>
      </c>
      <c r="AE130" s="12">
        <f>'MCH2'!AE130/'MCH2'!AE3</f>
        <v>434.03901996370234</v>
      </c>
      <c r="AF130" s="12">
        <f>'MCH2'!AF130/'MCH2'!AF3</f>
        <v>1162.0851272015655</v>
      </c>
      <c r="AG130" s="12">
        <f>'MCH2'!AG130/'MCH2'!AG3</f>
        <v>221.19634595162987</v>
      </c>
      <c r="AH130" s="12">
        <f>'MCH2'!AH130/'MCH2'!AH3</f>
        <v>0</v>
      </c>
      <c r="AI130" s="12">
        <f>'MCH2'!AI130/'MCH2'!AI3</f>
        <v>18.34407894736842</v>
      </c>
      <c r="AJ130" s="12">
        <f>'MCH2'!AJ130/'MCH2'!AJ3</f>
        <v>0</v>
      </c>
      <c r="AK130" s="12">
        <f>'MCH2'!AK130/'MCH2'!AK3</f>
        <v>0</v>
      </c>
      <c r="AL130" s="12">
        <f>'MCH2'!AL130/'MCH2'!AL3</f>
        <v>0</v>
      </c>
      <c r="AM130" s="12">
        <f>'MCH2'!AM130/'MCH2'!AM3</f>
        <v>0</v>
      </c>
      <c r="AN130" s="12">
        <f>'MCH2'!AN130/'MCH2'!AN3</f>
        <v>0</v>
      </c>
      <c r="AO130" s="12">
        <f>'MCH2'!AO130/'MCH2'!AO3</f>
        <v>0</v>
      </c>
      <c r="AP130" s="12">
        <f>'MCH2'!AP130/'MCH2'!AP3</f>
        <v>0</v>
      </c>
      <c r="AQ130" s="12">
        <f>'MCH2'!AQ130/'MCH2'!AQ3</f>
        <v>0</v>
      </c>
      <c r="AR130" s="12">
        <f>'MCH2'!AR130/'MCH2'!AR3</f>
        <v>44.399686274509804</v>
      </c>
      <c r="AS130" s="12">
        <f>'MCH2'!AS130/'MCH2'!AS3</f>
        <v>0</v>
      </c>
      <c r="AT130" s="12">
        <f>'MCH2'!AT130/'MCH2'!AT3</f>
        <v>0</v>
      </c>
      <c r="AU130" s="12">
        <f>'MCH2'!AU130/'MCH2'!AU3</f>
        <v>0</v>
      </c>
      <c r="AV130" s="12">
        <f>'MCH2'!AV130/'MCH2'!AV3</f>
        <v>32.768952772073916</v>
      </c>
      <c r="AW130" s="12">
        <f>'MCH2'!AW130/'MCH2'!AW3</f>
        <v>0</v>
      </c>
      <c r="AX130" s="12">
        <f>'MCH2'!AX130/'MCH2'!AX3</f>
        <v>0</v>
      </c>
      <c r="AY130" s="12">
        <f>'MCH2'!AY130/'MCH2'!AY3</f>
        <v>0</v>
      </c>
      <c r="AZ130" s="12">
        <f>'MCH2'!AZ130/'MCH2'!AZ3</f>
        <v>0</v>
      </c>
      <c r="BA130" s="12">
        <f>'MCH2'!BA130/'MCH2'!BA3</f>
        <v>0</v>
      </c>
      <c r="BB130" s="12">
        <f>'MCH2'!BB130/'MCH2'!BB3</f>
        <v>0</v>
      </c>
      <c r="BC130" s="12">
        <f>'MCH2'!BC130/'MCH2'!BC3</f>
        <v>0</v>
      </c>
      <c r="BD130" s="12">
        <f>'MCH2'!BD130/'MCH2'!BD3</f>
        <v>0</v>
      </c>
      <c r="BE130" s="12">
        <f>'MCH2'!BE130/'MCH2'!BE3</f>
        <v>0</v>
      </c>
      <c r="BF130" s="12">
        <f t="shared" ref="BF130" si="83">SUM(E130:BE130)</f>
        <v>5634.9812073014109</v>
      </c>
      <c r="BG130" s="12">
        <f t="shared" ref="BG130" si="84">SUM(E130:W130)</f>
        <v>0</v>
      </c>
      <c r="BH130" s="12">
        <f t="shared" ref="BH130" si="85">SUM(X130:AJ130)</f>
        <v>5557.8125682548271</v>
      </c>
      <c r="BI130" s="12">
        <f t="shared" ref="BI130" si="86">SUM(AK130:BE130)</f>
        <v>77.168639046583721</v>
      </c>
    </row>
    <row r="131" spans="2:61" x14ac:dyDescent="0.25">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row>
    <row r="132" spans="2:61" x14ac:dyDescent="0.25">
      <c r="B132" s="68">
        <v>48</v>
      </c>
      <c r="C132" s="68"/>
      <c r="D132" s="68" t="s">
        <v>180</v>
      </c>
      <c r="E132" s="69">
        <f>E133+E134+E135+E136+E137+E138+E139</f>
        <v>7.8576971608832809</v>
      </c>
      <c r="F132" s="69">
        <f t="shared" ref="F132:BI132" si="87">F133+F134+F135+F136+F137+F138+F139</f>
        <v>0</v>
      </c>
      <c r="G132" s="69">
        <f t="shared" si="87"/>
        <v>0</v>
      </c>
      <c r="H132" s="69">
        <f t="shared" si="87"/>
        <v>0</v>
      </c>
      <c r="I132" s="69">
        <f t="shared" si="87"/>
        <v>0</v>
      </c>
      <c r="J132" s="69">
        <f t="shared" si="87"/>
        <v>57.772369453667366</v>
      </c>
      <c r="K132" s="69">
        <f t="shared" si="87"/>
        <v>55.11289751318764</v>
      </c>
      <c r="L132" s="69">
        <f t="shared" si="87"/>
        <v>197.84742006964228</v>
      </c>
      <c r="M132" s="69">
        <f t="shared" si="87"/>
        <v>7.867647058823529</v>
      </c>
      <c r="N132" s="69">
        <f t="shared" si="87"/>
        <v>0</v>
      </c>
      <c r="O132" s="69">
        <f t="shared" si="87"/>
        <v>8.2913020904495145</v>
      </c>
      <c r="P132" s="69">
        <f t="shared" si="87"/>
        <v>56.663409961685822</v>
      </c>
      <c r="Q132" s="69">
        <f t="shared" si="87"/>
        <v>21.382547169811321</v>
      </c>
      <c r="R132" s="69">
        <f t="shared" si="87"/>
        <v>0</v>
      </c>
      <c r="S132" s="69">
        <f t="shared" si="87"/>
        <v>788.24591428571432</v>
      </c>
      <c r="T132" s="69">
        <f t="shared" si="87"/>
        <v>35.607094133697132</v>
      </c>
      <c r="U132" s="69">
        <f t="shared" si="87"/>
        <v>150.62055555555557</v>
      </c>
      <c r="V132" s="69">
        <f t="shared" si="87"/>
        <v>0</v>
      </c>
      <c r="W132" s="69">
        <f t="shared" si="87"/>
        <v>40.49558599695586</v>
      </c>
      <c r="X132" s="69">
        <f t="shared" si="87"/>
        <v>0</v>
      </c>
      <c r="Y132" s="69">
        <f t="shared" si="87"/>
        <v>0</v>
      </c>
      <c r="Z132" s="69">
        <f t="shared" si="87"/>
        <v>15.748031496062993</v>
      </c>
      <c r="AA132" s="69">
        <f t="shared" si="87"/>
        <v>0</v>
      </c>
      <c r="AB132" s="69">
        <f t="shared" si="87"/>
        <v>0</v>
      </c>
      <c r="AC132" s="69">
        <f t="shared" si="87"/>
        <v>0</v>
      </c>
      <c r="AD132" s="69">
        <f t="shared" si="87"/>
        <v>2.6767375886524825</v>
      </c>
      <c r="AE132" s="69">
        <f t="shared" si="87"/>
        <v>0.17422867513611615</v>
      </c>
      <c r="AF132" s="69">
        <f t="shared" si="87"/>
        <v>0</v>
      </c>
      <c r="AG132" s="69">
        <f t="shared" si="87"/>
        <v>0</v>
      </c>
      <c r="AH132" s="69">
        <f t="shared" si="87"/>
        <v>0</v>
      </c>
      <c r="AI132" s="69">
        <f t="shared" si="87"/>
        <v>0</v>
      </c>
      <c r="AJ132" s="69">
        <f t="shared" si="87"/>
        <v>0</v>
      </c>
      <c r="AK132" s="69">
        <f t="shared" si="87"/>
        <v>0</v>
      </c>
      <c r="AL132" s="69">
        <f t="shared" si="87"/>
        <v>35.906642728904849</v>
      </c>
      <c r="AM132" s="69">
        <f t="shared" si="87"/>
        <v>0</v>
      </c>
      <c r="AN132" s="69">
        <f t="shared" si="87"/>
        <v>41.025641025641029</v>
      </c>
      <c r="AO132" s="69">
        <f t="shared" si="87"/>
        <v>0</v>
      </c>
      <c r="AP132" s="69">
        <f t="shared" si="87"/>
        <v>161.17760000000001</v>
      </c>
      <c r="AQ132" s="69">
        <f t="shared" si="87"/>
        <v>206.92076069730587</v>
      </c>
      <c r="AR132" s="69">
        <f t="shared" si="87"/>
        <v>0</v>
      </c>
      <c r="AS132" s="69">
        <f t="shared" si="87"/>
        <v>0.58774373259052926</v>
      </c>
      <c r="AT132" s="69">
        <f t="shared" si="87"/>
        <v>19.646365422396858</v>
      </c>
      <c r="AU132" s="69">
        <f t="shared" si="87"/>
        <v>171.80204778156997</v>
      </c>
      <c r="AV132" s="69">
        <f t="shared" si="87"/>
        <v>0</v>
      </c>
      <c r="AW132" s="69">
        <f t="shared" si="87"/>
        <v>0.80534351145038163</v>
      </c>
      <c r="AX132" s="69">
        <f t="shared" si="87"/>
        <v>28.298913043478262</v>
      </c>
      <c r="AY132" s="69">
        <f t="shared" si="87"/>
        <v>0.93393393393393398</v>
      </c>
      <c r="AZ132" s="69">
        <f t="shared" si="87"/>
        <v>90.559737156511346</v>
      </c>
      <c r="BA132" s="69">
        <f t="shared" si="87"/>
        <v>0.81585677749360619</v>
      </c>
      <c r="BB132" s="69">
        <f t="shared" si="87"/>
        <v>1.0294676806083649</v>
      </c>
      <c r="BC132" s="69">
        <f t="shared" si="87"/>
        <v>6.4056451612903231</v>
      </c>
      <c r="BD132" s="69">
        <f t="shared" si="87"/>
        <v>77.627697562490297</v>
      </c>
      <c r="BE132" s="69">
        <f t="shared" si="87"/>
        <v>0</v>
      </c>
      <c r="BF132" s="69">
        <f t="shared" si="87"/>
        <v>2289.9068344255911</v>
      </c>
      <c r="BG132" s="69">
        <f t="shared" si="87"/>
        <v>1427.7644404500734</v>
      </c>
      <c r="BH132" s="69">
        <f t="shared" si="87"/>
        <v>18.598997759851592</v>
      </c>
      <c r="BI132" s="69">
        <f t="shared" si="87"/>
        <v>843.54339621566567</v>
      </c>
    </row>
    <row r="133" spans="2:61" x14ac:dyDescent="0.25">
      <c r="C133" s="7">
        <v>481</v>
      </c>
      <c r="D133" s="7" t="s">
        <v>181</v>
      </c>
      <c r="E133" s="12">
        <f>'MCH2'!E133/'MCH2'!E3</f>
        <v>0</v>
      </c>
      <c r="F133" s="12">
        <f>'MCH2'!F133/'MCH2'!F3</f>
        <v>0</v>
      </c>
      <c r="G133" s="12">
        <f>'MCH2'!G133/'MCH2'!G3</f>
        <v>0</v>
      </c>
      <c r="H133" s="12">
        <f>'MCH2'!H133/'MCH2'!H3</f>
        <v>0</v>
      </c>
      <c r="I133" s="12">
        <f>'MCH2'!I133/'MCH2'!I3</f>
        <v>0</v>
      </c>
      <c r="J133" s="12">
        <f>'MCH2'!J133/'MCH2'!J3</f>
        <v>0</v>
      </c>
      <c r="K133" s="12">
        <f>'MCH2'!K133/'MCH2'!K3</f>
        <v>0</v>
      </c>
      <c r="L133" s="12">
        <f>'MCH2'!L133/'MCH2'!L3</f>
        <v>0</v>
      </c>
      <c r="M133" s="12">
        <f>'MCH2'!M133/'MCH2'!M3</f>
        <v>0</v>
      </c>
      <c r="N133" s="12">
        <f>'MCH2'!N133/'MCH2'!N3</f>
        <v>0</v>
      </c>
      <c r="O133" s="12">
        <f>'MCH2'!O133/'MCH2'!O3</f>
        <v>0</v>
      </c>
      <c r="P133" s="12">
        <f>'MCH2'!P133/'MCH2'!P3</f>
        <v>0</v>
      </c>
      <c r="Q133" s="12">
        <f>'MCH2'!Q133/'MCH2'!Q3</f>
        <v>0</v>
      </c>
      <c r="R133" s="12">
        <f>'MCH2'!R133/'MCH2'!R3</f>
        <v>0</v>
      </c>
      <c r="S133" s="12">
        <f>'MCH2'!S133/'MCH2'!S3</f>
        <v>0</v>
      </c>
      <c r="T133" s="12">
        <f>'MCH2'!T133/'MCH2'!T3</f>
        <v>0</v>
      </c>
      <c r="U133" s="12">
        <f>'MCH2'!U133/'MCH2'!U3</f>
        <v>0</v>
      </c>
      <c r="V133" s="12">
        <f>'MCH2'!V133/'MCH2'!V3</f>
        <v>0</v>
      </c>
      <c r="W133" s="12">
        <f>'MCH2'!W133/'MCH2'!W3</f>
        <v>0</v>
      </c>
      <c r="X133" s="12">
        <f>'MCH2'!X133/'MCH2'!X3</f>
        <v>0</v>
      </c>
      <c r="Y133" s="12">
        <f>'MCH2'!Y133/'MCH2'!Y3</f>
        <v>0</v>
      </c>
      <c r="Z133" s="12">
        <f>'MCH2'!Z133/'MCH2'!Z3</f>
        <v>0</v>
      </c>
      <c r="AA133" s="12">
        <f>'MCH2'!AA133/'MCH2'!AA3</f>
        <v>0</v>
      </c>
      <c r="AB133" s="12">
        <f>'MCH2'!AB133/'MCH2'!AB3</f>
        <v>0</v>
      </c>
      <c r="AC133" s="12">
        <f>'MCH2'!AC133/'MCH2'!AC3</f>
        <v>0</v>
      </c>
      <c r="AD133" s="12">
        <f>'MCH2'!AD133/'MCH2'!AD3</f>
        <v>0</v>
      </c>
      <c r="AE133" s="12">
        <f>'MCH2'!AE133/'MCH2'!AE3</f>
        <v>0</v>
      </c>
      <c r="AF133" s="12">
        <f>'MCH2'!AF133/'MCH2'!AF3</f>
        <v>0</v>
      </c>
      <c r="AG133" s="12">
        <f>'MCH2'!AG133/'MCH2'!AG3</f>
        <v>0</v>
      </c>
      <c r="AH133" s="12">
        <f>'MCH2'!AH133/'MCH2'!AH3</f>
        <v>0</v>
      </c>
      <c r="AI133" s="12">
        <f>'MCH2'!AI133/'MCH2'!AI3</f>
        <v>0</v>
      </c>
      <c r="AJ133" s="12">
        <f>'MCH2'!AJ133/'MCH2'!AJ3</f>
        <v>0</v>
      </c>
      <c r="AK133" s="12">
        <f>'MCH2'!AK133/'MCH2'!AK3</f>
        <v>0</v>
      </c>
      <c r="AL133" s="12">
        <f>'MCH2'!AL133/'MCH2'!AL3</f>
        <v>0</v>
      </c>
      <c r="AM133" s="12">
        <f>'MCH2'!AM133/'MCH2'!AM3</f>
        <v>0</v>
      </c>
      <c r="AN133" s="12">
        <f>'MCH2'!AN133/'MCH2'!AN3</f>
        <v>0</v>
      </c>
      <c r="AO133" s="12">
        <f>'MCH2'!AO133/'MCH2'!AO3</f>
        <v>0</v>
      </c>
      <c r="AP133" s="12">
        <f>'MCH2'!AP133/'MCH2'!AP3</f>
        <v>0</v>
      </c>
      <c r="AQ133" s="12">
        <f>'MCH2'!AQ133/'MCH2'!AQ3</f>
        <v>0</v>
      </c>
      <c r="AR133" s="12">
        <f>'MCH2'!AR133/'MCH2'!AR3</f>
        <v>0</v>
      </c>
      <c r="AS133" s="12">
        <f>'MCH2'!AS133/'MCH2'!AS3</f>
        <v>0</v>
      </c>
      <c r="AT133" s="12">
        <f>'MCH2'!AT133/'MCH2'!AT3</f>
        <v>0</v>
      </c>
      <c r="AU133" s="12">
        <f>'MCH2'!AU133/'MCH2'!AU3</f>
        <v>0</v>
      </c>
      <c r="AV133" s="12">
        <f>'MCH2'!AV133/'MCH2'!AV3</f>
        <v>0</v>
      </c>
      <c r="AW133" s="12">
        <f>'MCH2'!AW133/'MCH2'!AW3</f>
        <v>0</v>
      </c>
      <c r="AX133" s="12">
        <f>'MCH2'!AX133/'MCH2'!AX3</f>
        <v>0</v>
      </c>
      <c r="AY133" s="12">
        <f>'MCH2'!AY133/'MCH2'!AY3</f>
        <v>0</v>
      </c>
      <c r="AZ133" s="12">
        <f>'MCH2'!AZ133/'MCH2'!AZ3</f>
        <v>0</v>
      </c>
      <c r="BA133" s="12">
        <f>'MCH2'!BA133/'MCH2'!BA3</f>
        <v>0</v>
      </c>
      <c r="BB133" s="12">
        <f>'MCH2'!BB133/'MCH2'!BB3</f>
        <v>0</v>
      </c>
      <c r="BC133" s="12">
        <f>'MCH2'!BC133/'MCH2'!BC3</f>
        <v>0</v>
      </c>
      <c r="BD133" s="12">
        <f>'MCH2'!BD133/'MCH2'!BD3</f>
        <v>0</v>
      </c>
      <c r="BE133" s="12">
        <f>'MCH2'!BE133/'MCH2'!BE3</f>
        <v>0</v>
      </c>
      <c r="BF133" s="12">
        <f t="shared" ref="BF133:BF139" si="88">SUM(E133:BE133)</f>
        <v>0</v>
      </c>
      <c r="BG133" s="12">
        <f t="shared" ref="BG133:BG139" si="89">SUM(E133:W133)</f>
        <v>0</v>
      </c>
      <c r="BH133" s="12">
        <f t="shared" ref="BH133:BH139" si="90">SUM(X133:AJ133)</f>
        <v>0</v>
      </c>
      <c r="BI133" s="12">
        <f t="shared" ref="BI133:BI139" si="91">SUM(AK133:BE133)</f>
        <v>0</v>
      </c>
    </row>
    <row r="134" spans="2:61" x14ac:dyDescent="0.25">
      <c r="C134" s="7">
        <v>482</v>
      </c>
      <c r="D134" s="7" t="s">
        <v>182</v>
      </c>
      <c r="E134" s="12">
        <f>'MCH2'!E134/'MCH2'!E3</f>
        <v>0</v>
      </c>
      <c r="F134" s="12">
        <f>'MCH2'!F134/'MCH2'!F3</f>
        <v>0</v>
      </c>
      <c r="G134" s="12">
        <f>'MCH2'!G134/'MCH2'!G3</f>
        <v>0</v>
      </c>
      <c r="H134" s="12">
        <f>'MCH2'!H134/'MCH2'!H3</f>
        <v>0</v>
      </c>
      <c r="I134" s="12">
        <f>'MCH2'!I134/'MCH2'!I3</f>
        <v>0</v>
      </c>
      <c r="J134" s="12">
        <f>'MCH2'!J134/'MCH2'!J3</f>
        <v>0</v>
      </c>
      <c r="K134" s="12">
        <f>'MCH2'!K134/'MCH2'!K3</f>
        <v>0</v>
      </c>
      <c r="L134" s="12">
        <f>'MCH2'!L134/'MCH2'!L3</f>
        <v>0</v>
      </c>
      <c r="M134" s="12">
        <f>'MCH2'!M134/'MCH2'!M3</f>
        <v>0</v>
      </c>
      <c r="N134" s="12">
        <f>'MCH2'!N134/'MCH2'!N3</f>
        <v>0</v>
      </c>
      <c r="O134" s="12">
        <f>'MCH2'!O134/'MCH2'!O3</f>
        <v>0</v>
      </c>
      <c r="P134" s="12">
        <f>'MCH2'!P134/'MCH2'!P3</f>
        <v>0</v>
      </c>
      <c r="Q134" s="12">
        <f>'MCH2'!Q134/'MCH2'!Q3</f>
        <v>0</v>
      </c>
      <c r="R134" s="12">
        <f>'MCH2'!R134/'MCH2'!R3</f>
        <v>0</v>
      </c>
      <c r="S134" s="12">
        <f>'MCH2'!S134/'MCH2'!S3</f>
        <v>0</v>
      </c>
      <c r="T134" s="12">
        <f>'MCH2'!T134/'MCH2'!T3</f>
        <v>0</v>
      </c>
      <c r="U134" s="12">
        <f>'MCH2'!U134/'MCH2'!U3</f>
        <v>0</v>
      </c>
      <c r="V134" s="12">
        <f>'MCH2'!V134/'MCH2'!V3</f>
        <v>0</v>
      </c>
      <c r="W134" s="12">
        <f>'MCH2'!W134/'MCH2'!W3</f>
        <v>0</v>
      </c>
      <c r="X134" s="12">
        <f>'MCH2'!X134/'MCH2'!X3</f>
        <v>0</v>
      </c>
      <c r="Y134" s="12">
        <f>'MCH2'!Y134/'MCH2'!Y3</f>
        <v>0</v>
      </c>
      <c r="Z134" s="12">
        <f>'MCH2'!Z134/'MCH2'!Z3</f>
        <v>0</v>
      </c>
      <c r="AA134" s="12">
        <f>'MCH2'!AA134/'MCH2'!AA3</f>
        <v>0</v>
      </c>
      <c r="AB134" s="12">
        <f>'MCH2'!AB134/'MCH2'!AB3</f>
        <v>0</v>
      </c>
      <c r="AC134" s="12">
        <f>'MCH2'!AC134/'MCH2'!AC3</f>
        <v>0</v>
      </c>
      <c r="AD134" s="12">
        <f>'MCH2'!AD134/'MCH2'!AD3</f>
        <v>0</v>
      </c>
      <c r="AE134" s="12">
        <f>'MCH2'!AE134/'MCH2'!AE3</f>
        <v>0</v>
      </c>
      <c r="AF134" s="12">
        <f>'MCH2'!AF134/'MCH2'!AF3</f>
        <v>0</v>
      </c>
      <c r="AG134" s="12">
        <f>'MCH2'!AG134/'MCH2'!AG3</f>
        <v>0</v>
      </c>
      <c r="AH134" s="12">
        <f>'MCH2'!AH134/'MCH2'!AH3</f>
        <v>0</v>
      </c>
      <c r="AI134" s="12">
        <f>'MCH2'!AI134/'MCH2'!AI3</f>
        <v>0</v>
      </c>
      <c r="AJ134" s="12">
        <f>'MCH2'!AJ134/'MCH2'!AJ3</f>
        <v>0</v>
      </c>
      <c r="AK134" s="12">
        <f>'MCH2'!AK134/'MCH2'!AK3</f>
        <v>0</v>
      </c>
      <c r="AL134" s="12">
        <f>'MCH2'!AL134/'MCH2'!AL3</f>
        <v>0</v>
      </c>
      <c r="AM134" s="12">
        <f>'MCH2'!AM134/'MCH2'!AM3</f>
        <v>0</v>
      </c>
      <c r="AN134" s="12">
        <f>'MCH2'!AN134/'MCH2'!AN3</f>
        <v>0</v>
      </c>
      <c r="AO134" s="12">
        <f>'MCH2'!AO134/'MCH2'!AO3</f>
        <v>0</v>
      </c>
      <c r="AP134" s="12">
        <f>'MCH2'!AP134/'MCH2'!AP3</f>
        <v>0</v>
      </c>
      <c r="AQ134" s="12">
        <f>'MCH2'!AQ134/'MCH2'!AQ3</f>
        <v>0</v>
      </c>
      <c r="AR134" s="12">
        <f>'MCH2'!AR134/'MCH2'!AR3</f>
        <v>0</v>
      </c>
      <c r="AS134" s="12">
        <f>'MCH2'!AS134/'MCH2'!AS3</f>
        <v>0</v>
      </c>
      <c r="AT134" s="12">
        <f>'MCH2'!AT134/'MCH2'!AT3</f>
        <v>0</v>
      </c>
      <c r="AU134" s="12">
        <f>'MCH2'!AU134/'MCH2'!AU3</f>
        <v>0</v>
      </c>
      <c r="AV134" s="12">
        <f>'MCH2'!AV134/'MCH2'!AV3</f>
        <v>0</v>
      </c>
      <c r="AW134" s="12">
        <f>'MCH2'!AW134/'MCH2'!AW3</f>
        <v>0</v>
      </c>
      <c r="AX134" s="12">
        <f>'MCH2'!AX134/'MCH2'!AX3</f>
        <v>0</v>
      </c>
      <c r="AY134" s="12">
        <f>'MCH2'!AY134/'MCH2'!AY3</f>
        <v>0</v>
      </c>
      <c r="AZ134" s="12">
        <f>'MCH2'!AZ134/'MCH2'!AZ3</f>
        <v>0</v>
      </c>
      <c r="BA134" s="12">
        <f>'MCH2'!BA134/'MCH2'!BA3</f>
        <v>0</v>
      </c>
      <c r="BB134" s="12">
        <f>'MCH2'!BB134/'MCH2'!BB3</f>
        <v>0</v>
      </c>
      <c r="BC134" s="12">
        <f>'MCH2'!BC134/'MCH2'!BC3</f>
        <v>0</v>
      </c>
      <c r="BD134" s="12">
        <f>'MCH2'!BD134/'MCH2'!BD3</f>
        <v>0</v>
      </c>
      <c r="BE134" s="12">
        <f>'MCH2'!BE134/'MCH2'!BE3</f>
        <v>0</v>
      </c>
      <c r="BF134" s="12">
        <f t="shared" si="88"/>
        <v>0</v>
      </c>
      <c r="BG134" s="12">
        <f t="shared" si="89"/>
        <v>0</v>
      </c>
      <c r="BH134" s="12">
        <f t="shared" si="90"/>
        <v>0</v>
      </c>
      <c r="BI134" s="12">
        <f t="shared" si="91"/>
        <v>0</v>
      </c>
    </row>
    <row r="135" spans="2:61" x14ac:dyDescent="0.25">
      <c r="C135" s="7">
        <v>483</v>
      </c>
      <c r="D135" s="7" t="s">
        <v>183</v>
      </c>
      <c r="E135" s="12">
        <f>'MCH2'!E135/'MCH2'!E3</f>
        <v>0</v>
      </c>
      <c r="F135" s="12">
        <f>'MCH2'!F135/'MCH2'!F3</f>
        <v>0</v>
      </c>
      <c r="G135" s="12">
        <f>'MCH2'!G135/'MCH2'!G3</f>
        <v>0</v>
      </c>
      <c r="H135" s="12">
        <f>'MCH2'!H135/'MCH2'!H3</f>
        <v>0</v>
      </c>
      <c r="I135" s="12">
        <f>'MCH2'!I135/'MCH2'!I3</f>
        <v>0</v>
      </c>
      <c r="J135" s="12">
        <f>'MCH2'!J135/'MCH2'!J3</f>
        <v>0.31391488077271357</v>
      </c>
      <c r="K135" s="12">
        <f>'MCH2'!K135/'MCH2'!K3</f>
        <v>0</v>
      </c>
      <c r="L135" s="12">
        <f>'MCH2'!L135/'MCH2'!L3</f>
        <v>0</v>
      </c>
      <c r="M135" s="12">
        <f>'MCH2'!M135/'MCH2'!M3</f>
        <v>0</v>
      </c>
      <c r="N135" s="12">
        <f>'MCH2'!N135/'MCH2'!N3</f>
        <v>0</v>
      </c>
      <c r="O135" s="12">
        <f>'MCH2'!O135/'MCH2'!O3</f>
        <v>0</v>
      </c>
      <c r="P135" s="12">
        <f>'MCH2'!P135/'MCH2'!P3</f>
        <v>0</v>
      </c>
      <c r="Q135" s="12">
        <f>'MCH2'!Q135/'MCH2'!Q3</f>
        <v>0</v>
      </c>
      <c r="R135" s="12">
        <f>'MCH2'!R135/'MCH2'!R3</f>
        <v>0</v>
      </c>
      <c r="S135" s="12">
        <f>'MCH2'!S135/'MCH2'!S3</f>
        <v>0</v>
      </c>
      <c r="T135" s="12">
        <f>'MCH2'!T135/'MCH2'!T3</f>
        <v>0</v>
      </c>
      <c r="U135" s="12">
        <f>'MCH2'!U135/'MCH2'!U3</f>
        <v>0</v>
      </c>
      <c r="V135" s="12">
        <f>'MCH2'!V135/'MCH2'!V3</f>
        <v>0</v>
      </c>
      <c r="W135" s="12">
        <f>'MCH2'!W135/'MCH2'!W3</f>
        <v>0</v>
      </c>
      <c r="X135" s="12">
        <f>'MCH2'!X135/'MCH2'!X3</f>
        <v>0</v>
      </c>
      <c r="Y135" s="12">
        <f>'MCH2'!Y135/'MCH2'!Y3</f>
        <v>0</v>
      </c>
      <c r="Z135" s="12">
        <f>'MCH2'!Z135/'MCH2'!Z3</f>
        <v>0</v>
      </c>
      <c r="AA135" s="12">
        <f>'MCH2'!AA135/'MCH2'!AA3</f>
        <v>0</v>
      </c>
      <c r="AB135" s="12">
        <f>'MCH2'!AB135/'MCH2'!AB3</f>
        <v>0</v>
      </c>
      <c r="AC135" s="12">
        <f>'MCH2'!AC135/'MCH2'!AC3</f>
        <v>0</v>
      </c>
      <c r="AD135" s="12">
        <f>'MCH2'!AD135/'MCH2'!AD3</f>
        <v>0.68255319148936167</v>
      </c>
      <c r="AE135" s="12">
        <f>'MCH2'!AE135/'MCH2'!AE3</f>
        <v>0</v>
      </c>
      <c r="AF135" s="12">
        <f>'MCH2'!AF135/'MCH2'!AF3</f>
        <v>0</v>
      </c>
      <c r="AG135" s="12">
        <f>'MCH2'!AG135/'MCH2'!AG3</f>
        <v>0</v>
      </c>
      <c r="AH135" s="12">
        <f>'MCH2'!AH135/'MCH2'!AH3</f>
        <v>0</v>
      </c>
      <c r="AI135" s="12">
        <f>'MCH2'!AI135/'MCH2'!AI3</f>
        <v>0</v>
      </c>
      <c r="AJ135" s="12">
        <f>'MCH2'!AJ135/'MCH2'!AJ3</f>
        <v>0</v>
      </c>
      <c r="AK135" s="12">
        <f>'MCH2'!AK135/'MCH2'!AK3</f>
        <v>0</v>
      </c>
      <c r="AL135" s="12">
        <f>'MCH2'!AL135/'MCH2'!AL3</f>
        <v>0</v>
      </c>
      <c r="AM135" s="12">
        <f>'MCH2'!AM135/'MCH2'!AM3</f>
        <v>0</v>
      </c>
      <c r="AN135" s="12">
        <f>'MCH2'!AN135/'MCH2'!AN3</f>
        <v>0</v>
      </c>
      <c r="AO135" s="12">
        <f>'MCH2'!AO135/'MCH2'!AO3</f>
        <v>0</v>
      </c>
      <c r="AP135" s="12">
        <f>'MCH2'!AP135/'MCH2'!AP3</f>
        <v>0</v>
      </c>
      <c r="AQ135" s="12">
        <f>'MCH2'!AQ135/'MCH2'!AQ3</f>
        <v>0</v>
      </c>
      <c r="AR135" s="12">
        <f>'MCH2'!AR135/'MCH2'!AR3</f>
        <v>0</v>
      </c>
      <c r="AS135" s="12">
        <f>'MCH2'!AS135/'MCH2'!AS3</f>
        <v>0</v>
      </c>
      <c r="AT135" s="12">
        <f>'MCH2'!AT135/'MCH2'!AT3</f>
        <v>0</v>
      </c>
      <c r="AU135" s="12">
        <f>'MCH2'!AU135/'MCH2'!AU3</f>
        <v>0</v>
      </c>
      <c r="AV135" s="12">
        <f>'MCH2'!AV135/'MCH2'!AV3</f>
        <v>0</v>
      </c>
      <c r="AW135" s="12">
        <f>'MCH2'!AW135/'MCH2'!AW3</f>
        <v>0</v>
      </c>
      <c r="AX135" s="12">
        <f>'MCH2'!AX135/'MCH2'!AX3</f>
        <v>0</v>
      </c>
      <c r="AY135" s="12">
        <f>'MCH2'!AY135/'MCH2'!AY3</f>
        <v>0</v>
      </c>
      <c r="AZ135" s="12">
        <f>'MCH2'!AZ135/'MCH2'!AZ3</f>
        <v>0</v>
      </c>
      <c r="BA135" s="12">
        <f>'MCH2'!BA135/'MCH2'!BA3</f>
        <v>0</v>
      </c>
      <c r="BB135" s="12">
        <f>'MCH2'!BB135/'MCH2'!BB3</f>
        <v>0</v>
      </c>
      <c r="BC135" s="12">
        <f>'MCH2'!BC135/'MCH2'!BC3</f>
        <v>0</v>
      </c>
      <c r="BD135" s="12">
        <f>'MCH2'!BD135/'MCH2'!BD3</f>
        <v>0</v>
      </c>
      <c r="BE135" s="12">
        <f>'MCH2'!BE135/'MCH2'!BE3</f>
        <v>0</v>
      </c>
      <c r="BF135" s="12">
        <f t="shared" si="88"/>
        <v>0.99646807226207523</v>
      </c>
      <c r="BG135" s="12">
        <f t="shared" si="89"/>
        <v>0.31391488077271357</v>
      </c>
      <c r="BH135" s="12">
        <f t="shared" si="90"/>
        <v>0.68255319148936167</v>
      </c>
      <c r="BI135" s="12">
        <f t="shared" si="91"/>
        <v>0</v>
      </c>
    </row>
    <row r="136" spans="2:61" x14ac:dyDescent="0.25">
      <c r="C136" s="7">
        <v>484</v>
      </c>
      <c r="D136" s="7" t="s">
        <v>184</v>
      </c>
      <c r="E136" s="12">
        <f>'MCH2'!E136/'MCH2'!E3</f>
        <v>0</v>
      </c>
      <c r="F136" s="12">
        <f>'MCH2'!F136/'MCH2'!F3</f>
        <v>0</v>
      </c>
      <c r="G136" s="12">
        <f>'MCH2'!G136/'MCH2'!G3</f>
        <v>0</v>
      </c>
      <c r="H136" s="12">
        <f>'MCH2'!H136/'MCH2'!H3</f>
        <v>0</v>
      </c>
      <c r="I136" s="12">
        <f>'MCH2'!I136/'MCH2'!I3</f>
        <v>0</v>
      </c>
      <c r="J136" s="12">
        <f>'MCH2'!J136/'MCH2'!J3</f>
        <v>0</v>
      </c>
      <c r="K136" s="12">
        <f>'MCH2'!K136/'MCH2'!K3</f>
        <v>0.59989826676714397</v>
      </c>
      <c r="L136" s="12">
        <f>'MCH2'!L136/'MCH2'!L3</f>
        <v>0</v>
      </c>
      <c r="M136" s="12">
        <f>'MCH2'!M136/'MCH2'!M3</f>
        <v>0</v>
      </c>
      <c r="N136" s="12">
        <f>'MCH2'!N136/'MCH2'!N3</f>
        <v>0</v>
      </c>
      <c r="O136" s="12">
        <f>'MCH2'!O136/'MCH2'!O3</f>
        <v>0</v>
      </c>
      <c r="P136" s="12">
        <f>'MCH2'!P136/'MCH2'!P3</f>
        <v>0</v>
      </c>
      <c r="Q136" s="12">
        <f>'MCH2'!Q136/'MCH2'!Q3</f>
        <v>21.382547169811321</v>
      </c>
      <c r="R136" s="12">
        <f>'MCH2'!R136/'MCH2'!R3</f>
        <v>0</v>
      </c>
      <c r="S136" s="12">
        <f>'MCH2'!S136/'MCH2'!S3</f>
        <v>102.52805714285714</v>
      </c>
      <c r="T136" s="12">
        <f>'MCH2'!T136/'MCH2'!T3</f>
        <v>0</v>
      </c>
      <c r="U136" s="12">
        <f>'MCH2'!U136/'MCH2'!U3</f>
        <v>0</v>
      </c>
      <c r="V136" s="12">
        <f>'MCH2'!V136/'MCH2'!V3</f>
        <v>0</v>
      </c>
      <c r="W136" s="12">
        <f>'MCH2'!W136/'MCH2'!W3</f>
        <v>0</v>
      </c>
      <c r="X136" s="12">
        <f>'MCH2'!X136/'MCH2'!X3</f>
        <v>0</v>
      </c>
      <c r="Y136" s="12">
        <f>'MCH2'!Y136/'MCH2'!Y3</f>
        <v>0</v>
      </c>
      <c r="Z136" s="12">
        <f>'MCH2'!Z136/'MCH2'!Z3</f>
        <v>15.748031496062993</v>
      </c>
      <c r="AA136" s="12">
        <f>'MCH2'!AA136/'MCH2'!AA3</f>
        <v>0</v>
      </c>
      <c r="AB136" s="12">
        <f>'MCH2'!AB136/'MCH2'!AB3</f>
        <v>0</v>
      </c>
      <c r="AC136" s="12">
        <f>'MCH2'!AC136/'MCH2'!AC3</f>
        <v>0</v>
      </c>
      <c r="AD136" s="12">
        <f>'MCH2'!AD136/'MCH2'!AD3</f>
        <v>0</v>
      </c>
      <c r="AE136" s="12">
        <f>'MCH2'!AE136/'MCH2'!AE3</f>
        <v>0</v>
      </c>
      <c r="AF136" s="12">
        <f>'MCH2'!AF136/'MCH2'!AF3</f>
        <v>0</v>
      </c>
      <c r="AG136" s="12">
        <f>'MCH2'!AG136/'MCH2'!AG3</f>
        <v>0</v>
      </c>
      <c r="AH136" s="12">
        <f>'MCH2'!AH136/'MCH2'!AH3</f>
        <v>0</v>
      </c>
      <c r="AI136" s="12">
        <f>'MCH2'!AI136/'MCH2'!AI3</f>
        <v>0</v>
      </c>
      <c r="AJ136" s="12">
        <f>'MCH2'!AJ136/'MCH2'!AJ3</f>
        <v>0</v>
      </c>
      <c r="AK136" s="12">
        <f>'MCH2'!AK136/'MCH2'!AK3</f>
        <v>0</v>
      </c>
      <c r="AL136" s="12">
        <f>'MCH2'!AL136/'MCH2'!AL3</f>
        <v>0</v>
      </c>
      <c r="AM136" s="12">
        <f>'MCH2'!AM136/'MCH2'!AM3</f>
        <v>0</v>
      </c>
      <c r="AN136" s="12">
        <f>'MCH2'!AN136/'MCH2'!AN3</f>
        <v>0</v>
      </c>
      <c r="AO136" s="12">
        <f>'MCH2'!AO136/'MCH2'!AO3</f>
        <v>0</v>
      </c>
      <c r="AP136" s="12">
        <f>'MCH2'!AP136/'MCH2'!AP3</f>
        <v>0</v>
      </c>
      <c r="AQ136" s="12">
        <f>'MCH2'!AQ136/'MCH2'!AQ3</f>
        <v>0</v>
      </c>
      <c r="AR136" s="12">
        <f>'MCH2'!AR136/'MCH2'!AR3</f>
        <v>0</v>
      </c>
      <c r="AS136" s="12">
        <f>'MCH2'!AS136/'MCH2'!AS3</f>
        <v>0</v>
      </c>
      <c r="AT136" s="12">
        <f>'MCH2'!AT136/'MCH2'!AT3</f>
        <v>0</v>
      </c>
      <c r="AU136" s="12">
        <f>'MCH2'!AU136/'MCH2'!AU3</f>
        <v>0</v>
      </c>
      <c r="AV136" s="12">
        <f>'MCH2'!AV136/'MCH2'!AV3</f>
        <v>0</v>
      </c>
      <c r="AW136" s="12">
        <f>'MCH2'!AW136/'MCH2'!AW3</f>
        <v>0</v>
      </c>
      <c r="AX136" s="12">
        <f>'MCH2'!AX136/'MCH2'!AX3</f>
        <v>0</v>
      </c>
      <c r="AY136" s="12">
        <f>'MCH2'!AY136/'MCH2'!AY3</f>
        <v>0</v>
      </c>
      <c r="AZ136" s="12">
        <f>'MCH2'!AZ136/'MCH2'!AZ3</f>
        <v>0</v>
      </c>
      <c r="BA136" s="12">
        <f>'MCH2'!BA136/'MCH2'!BA3</f>
        <v>0</v>
      </c>
      <c r="BB136" s="12">
        <f>'MCH2'!BB136/'MCH2'!BB3</f>
        <v>0</v>
      </c>
      <c r="BC136" s="12">
        <f>'MCH2'!BC136/'MCH2'!BC3</f>
        <v>5.1422043010752692</v>
      </c>
      <c r="BD136" s="12">
        <f>'MCH2'!BD136/'MCH2'!BD3</f>
        <v>0</v>
      </c>
      <c r="BE136" s="12">
        <f>'MCH2'!BE136/'MCH2'!BE3</f>
        <v>0</v>
      </c>
      <c r="BF136" s="12">
        <f t="shared" si="88"/>
        <v>145.40073837657388</v>
      </c>
      <c r="BG136" s="12">
        <f t="shared" si="89"/>
        <v>124.51050257943561</v>
      </c>
      <c r="BH136" s="12">
        <f t="shared" si="90"/>
        <v>15.748031496062993</v>
      </c>
      <c r="BI136" s="12">
        <f t="shared" si="91"/>
        <v>5.1422043010752692</v>
      </c>
    </row>
    <row r="137" spans="2:61" x14ac:dyDescent="0.25">
      <c r="C137" s="7">
        <v>485</v>
      </c>
      <c r="D137" s="7" t="s">
        <v>185</v>
      </c>
      <c r="E137" s="12">
        <f>'MCH2'!E137/'MCH2'!E3</f>
        <v>0</v>
      </c>
      <c r="F137" s="12">
        <f>'MCH2'!F137/'MCH2'!F3</f>
        <v>0</v>
      </c>
      <c r="G137" s="12">
        <f>'MCH2'!G137/'MCH2'!G3</f>
        <v>0</v>
      </c>
      <c r="H137" s="12">
        <f>'MCH2'!H137/'MCH2'!H3</f>
        <v>0</v>
      </c>
      <c r="I137" s="12">
        <f>'MCH2'!I137/'MCH2'!I3</f>
        <v>0</v>
      </c>
      <c r="J137" s="12">
        <f>'MCH2'!J137/'MCH2'!J3</f>
        <v>0</v>
      </c>
      <c r="K137" s="12">
        <f>'MCH2'!K137/'MCH2'!K3</f>
        <v>0</v>
      </c>
      <c r="L137" s="12">
        <f>'MCH2'!L137/'MCH2'!L3</f>
        <v>0</v>
      </c>
      <c r="M137" s="12">
        <f>'MCH2'!M137/'MCH2'!M3</f>
        <v>0</v>
      </c>
      <c r="N137" s="12">
        <f>'MCH2'!N137/'MCH2'!N3</f>
        <v>0</v>
      </c>
      <c r="O137" s="12">
        <f>'MCH2'!O137/'MCH2'!O3</f>
        <v>0</v>
      </c>
      <c r="P137" s="12">
        <f>'MCH2'!P137/'MCH2'!P3</f>
        <v>0</v>
      </c>
      <c r="Q137" s="12">
        <f>'MCH2'!Q137/'MCH2'!Q3</f>
        <v>0</v>
      </c>
      <c r="R137" s="12">
        <f>'MCH2'!R137/'MCH2'!R3</f>
        <v>0</v>
      </c>
      <c r="S137" s="12">
        <f>'MCH2'!S137/'MCH2'!S3</f>
        <v>0</v>
      </c>
      <c r="T137" s="12">
        <f>'MCH2'!T137/'MCH2'!T3</f>
        <v>0</v>
      </c>
      <c r="U137" s="12">
        <f>'MCH2'!U137/'MCH2'!U3</f>
        <v>0</v>
      </c>
      <c r="V137" s="12">
        <f>'MCH2'!V137/'MCH2'!V3</f>
        <v>0</v>
      </c>
      <c r="W137" s="12">
        <f>'MCH2'!W137/'MCH2'!W3</f>
        <v>0</v>
      </c>
      <c r="X137" s="12">
        <f>'MCH2'!X137/'MCH2'!X3</f>
        <v>0</v>
      </c>
      <c r="Y137" s="12">
        <f>'MCH2'!Y137/'MCH2'!Y3</f>
        <v>0</v>
      </c>
      <c r="Z137" s="12">
        <f>'MCH2'!Z137/'MCH2'!Z3</f>
        <v>0</v>
      </c>
      <c r="AA137" s="12">
        <f>'MCH2'!AA137/'MCH2'!AA3</f>
        <v>0</v>
      </c>
      <c r="AB137" s="12">
        <f>'MCH2'!AB137/'MCH2'!AB3</f>
        <v>0</v>
      </c>
      <c r="AC137" s="12">
        <f>'MCH2'!AC137/'MCH2'!AC3</f>
        <v>0</v>
      </c>
      <c r="AD137" s="12">
        <f>'MCH2'!AD137/'MCH2'!AD3</f>
        <v>1.9941843971631208</v>
      </c>
      <c r="AE137" s="12">
        <f>'MCH2'!AE137/'MCH2'!AE3</f>
        <v>0</v>
      </c>
      <c r="AF137" s="12">
        <f>'MCH2'!AF137/'MCH2'!AF3</f>
        <v>0</v>
      </c>
      <c r="AG137" s="12">
        <f>'MCH2'!AG137/'MCH2'!AG3</f>
        <v>0</v>
      </c>
      <c r="AH137" s="12">
        <f>'MCH2'!AH137/'MCH2'!AH3</f>
        <v>0</v>
      </c>
      <c r="AI137" s="12">
        <f>'MCH2'!AI137/'MCH2'!AI3</f>
        <v>0</v>
      </c>
      <c r="AJ137" s="12">
        <f>'MCH2'!AJ137/'MCH2'!AJ3</f>
        <v>0</v>
      </c>
      <c r="AK137" s="12">
        <f>'MCH2'!AK137/'MCH2'!AK3</f>
        <v>0</v>
      </c>
      <c r="AL137" s="12">
        <f>'MCH2'!AL137/'MCH2'!AL3</f>
        <v>0</v>
      </c>
      <c r="AM137" s="12">
        <f>'MCH2'!AM137/'MCH2'!AM3</f>
        <v>0</v>
      </c>
      <c r="AN137" s="12">
        <f>'MCH2'!AN137/'MCH2'!AN3</f>
        <v>0</v>
      </c>
      <c r="AO137" s="12">
        <f>'MCH2'!AO137/'MCH2'!AO3</f>
        <v>0</v>
      </c>
      <c r="AP137" s="12">
        <f>'MCH2'!AP137/'MCH2'!AP3</f>
        <v>0</v>
      </c>
      <c r="AQ137" s="12">
        <f>'MCH2'!AQ137/'MCH2'!AQ3</f>
        <v>0</v>
      </c>
      <c r="AR137" s="12">
        <f>'MCH2'!AR137/'MCH2'!AR3</f>
        <v>0</v>
      </c>
      <c r="AS137" s="12">
        <f>'MCH2'!AS137/'MCH2'!AS3</f>
        <v>0</v>
      </c>
      <c r="AT137" s="12">
        <f>'MCH2'!AT137/'MCH2'!AT3</f>
        <v>0</v>
      </c>
      <c r="AU137" s="12">
        <f>'MCH2'!AU137/'MCH2'!AU3</f>
        <v>0</v>
      </c>
      <c r="AV137" s="12">
        <f>'MCH2'!AV137/'MCH2'!AV3</f>
        <v>0</v>
      </c>
      <c r="AW137" s="12">
        <f>'MCH2'!AW137/'MCH2'!AW3</f>
        <v>0</v>
      </c>
      <c r="AX137" s="12">
        <f>'MCH2'!AX137/'MCH2'!AX3</f>
        <v>0</v>
      </c>
      <c r="AY137" s="12">
        <f>'MCH2'!AY137/'MCH2'!AY3</f>
        <v>0</v>
      </c>
      <c r="AZ137" s="12">
        <f>'MCH2'!AZ137/'MCH2'!AZ3</f>
        <v>0</v>
      </c>
      <c r="BA137" s="12">
        <f>'MCH2'!BA137/'MCH2'!BA3</f>
        <v>0</v>
      </c>
      <c r="BB137" s="12">
        <f>'MCH2'!BB137/'MCH2'!BB3</f>
        <v>0</v>
      </c>
      <c r="BC137" s="12">
        <f>'MCH2'!BC137/'MCH2'!BC3</f>
        <v>0</v>
      </c>
      <c r="BD137" s="12">
        <f>'MCH2'!BD137/'MCH2'!BD3</f>
        <v>0</v>
      </c>
      <c r="BE137" s="12">
        <f>'MCH2'!BE137/'MCH2'!BE3</f>
        <v>0</v>
      </c>
      <c r="BF137" s="12">
        <f t="shared" si="88"/>
        <v>1.9941843971631208</v>
      </c>
      <c r="BG137" s="12">
        <f t="shared" si="89"/>
        <v>0</v>
      </c>
      <c r="BH137" s="12">
        <f t="shared" si="90"/>
        <v>1.9941843971631208</v>
      </c>
      <c r="BI137" s="12">
        <f t="shared" si="91"/>
        <v>0</v>
      </c>
    </row>
    <row r="138" spans="2:61" x14ac:dyDescent="0.25">
      <c r="C138" s="7">
        <v>486</v>
      </c>
      <c r="D138" s="7" t="s">
        <v>186</v>
      </c>
      <c r="E138" s="12">
        <f>'MCH2'!E138/'MCH2'!E3</f>
        <v>0</v>
      </c>
      <c r="F138" s="12">
        <f>'MCH2'!F138/'MCH2'!F3</f>
        <v>0</v>
      </c>
      <c r="G138" s="12">
        <f>'MCH2'!G138/'MCH2'!G3</f>
        <v>0</v>
      </c>
      <c r="H138" s="12">
        <f>'MCH2'!H138/'MCH2'!H3</f>
        <v>0</v>
      </c>
      <c r="I138" s="12">
        <f>'MCH2'!I138/'MCH2'!I3</f>
        <v>0</v>
      </c>
      <c r="J138" s="12">
        <f>'MCH2'!J138/'MCH2'!J3</f>
        <v>0</v>
      </c>
      <c r="K138" s="12">
        <f>'MCH2'!K138/'MCH2'!K3</f>
        <v>0</v>
      </c>
      <c r="L138" s="12">
        <f>'MCH2'!L138/'MCH2'!L3</f>
        <v>0</v>
      </c>
      <c r="M138" s="12">
        <f>'MCH2'!M138/'MCH2'!M3</f>
        <v>0</v>
      </c>
      <c r="N138" s="12">
        <f>'MCH2'!N138/'MCH2'!N3</f>
        <v>0</v>
      </c>
      <c r="O138" s="12">
        <f>'MCH2'!O138/'MCH2'!O3</f>
        <v>0</v>
      </c>
      <c r="P138" s="12">
        <f>'MCH2'!P138/'MCH2'!P3</f>
        <v>0</v>
      </c>
      <c r="Q138" s="12">
        <f>'MCH2'!Q138/'MCH2'!Q3</f>
        <v>0</v>
      </c>
      <c r="R138" s="12">
        <f>'MCH2'!R138/'MCH2'!R3</f>
        <v>0</v>
      </c>
      <c r="S138" s="12">
        <f>'MCH2'!S138/'MCH2'!S3</f>
        <v>0</v>
      </c>
      <c r="T138" s="12">
        <f>'MCH2'!T138/'MCH2'!T3</f>
        <v>0</v>
      </c>
      <c r="U138" s="12">
        <f>'MCH2'!U138/'MCH2'!U3</f>
        <v>0</v>
      </c>
      <c r="V138" s="12">
        <f>'MCH2'!V138/'MCH2'!V3</f>
        <v>0</v>
      </c>
      <c r="W138" s="12">
        <f>'MCH2'!W138/'MCH2'!W3</f>
        <v>0</v>
      </c>
      <c r="X138" s="12">
        <f>'MCH2'!X138/'MCH2'!X3</f>
        <v>0</v>
      </c>
      <c r="Y138" s="12">
        <f>'MCH2'!Y138/'MCH2'!Y3</f>
        <v>0</v>
      </c>
      <c r="Z138" s="12">
        <f>'MCH2'!Z138/'MCH2'!Z3</f>
        <v>0</v>
      </c>
      <c r="AA138" s="12">
        <f>'MCH2'!AA138/'MCH2'!AA3</f>
        <v>0</v>
      </c>
      <c r="AB138" s="12">
        <f>'MCH2'!AB138/'MCH2'!AB3</f>
        <v>0</v>
      </c>
      <c r="AC138" s="12">
        <f>'MCH2'!AC138/'MCH2'!AC3</f>
        <v>0</v>
      </c>
      <c r="AD138" s="12">
        <f>'MCH2'!AD138/'MCH2'!AD3</f>
        <v>0</v>
      </c>
      <c r="AE138" s="12">
        <f>'MCH2'!AE138/'MCH2'!AE3</f>
        <v>0</v>
      </c>
      <c r="AF138" s="12">
        <f>'MCH2'!AF138/'MCH2'!AF3</f>
        <v>0</v>
      </c>
      <c r="AG138" s="12">
        <f>'MCH2'!AG138/'MCH2'!AG3</f>
        <v>0</v>
      </c>
      <c r="AH138" s="12">
        <f>'MCH2'!AH138/'MCH2'!AH3</f>
        <v>0</v>
      </c>
      <c r="AI138" s="12">
        <f>'MCH2'!AI138/'MCH2'!AI3</f>
        <v>0</v>
      </c>
      <c r="AJ138" s="12">
        <f>'MCH2'!AJ138/'MCH2'!AJ3</f>
        <v>0</v>
      </c>
      <c r="AK138" s="12">
        <f>'MCH2'!AK138/'MCH2'!AK3</f>
        <v>0</v>
      </c>
      <c r="AL138" s="12">
        <f>'MCH2'!AL138/'MCH2'!AL3</f>
        <v>0</v>
      </c>
      <c r="AM138" s="12">
        <f>'MCH2'!AM138/'MCH2'!AM3</f>
        <v>0</v>
      </c>
      <c r="AN138" s="12">
        <f>'MCH2'!AN138/'MCH2'!AN3</f>
        <v>0</v>
      </c>
      <c r="AO138" s="12">
        <f>'MCH2'!AO138/'MCH2'!AO3</f>
        <v>0</v>
      </c>
      <c r="AP138" s="12">
        <f>'MCH2'!AP138/'MCH2'!AP3</f>
        <v>0</v>
      </c>
      <c r="AQ138" s="12">
        <f>'MCH2'!AQ138/'MCH2'!AQ3</f>
        <v>0</v>
      </c>
      <c r="AR138" s="12">
        <f>'MCH2'!AR138/'MCH2'!AR3</f>
        <v>0</v>
      </c>
      <c r="AS138" s="12">
        <f>'MCH2'!AS138/'MCH2'!AS3</f>
        <v>0</v>
      </c>
      <c r="AT138" s="12">
        <f>'MCH2'!AT138/'MCH2'!AT3</f>
        <v>0</v>
      </c>
      <c r="AU138" s="12">
        <f>'MCH2'!AU138/'MCH2'!AU3</f>
        <v>0</v>
      </c>
      <c r="AV138" s="12">
        <f>'MCH2'!AV138/'MCH2'!AV3</f>
        <v>0</v>
      </c>
      <c r="AW138" s="12">
        <f>'MCH2'!AW138/'MCH2'!AW3</f>
        <v>0</v>
      </c>
      <c r="AX138" s="12">
        <f>'MCH2'!AX138/'MCH2'!AX3</f>
        <v>0</v>
      </c>
      <c r="AY138" s="12">
        <f>'MCH2'!AY138/'MCH2'!AY3</f>
        <v>0</v>
      </c>
      <c r="AZ138" s="12">
        <f>'MCH2'!AZ138/'MCH2'!AZ3</f>
        <v>0</v>
      </c>
      <c r="BA138" s="12">
        <f>'MCH2'!BA138/'MCH2'!BA3</f>
        <v>0</v>
      </c>
      <c r="BB138" s="12">
        <f>'MCH2'!BB138/'MCH2'!BB3</f>
        <v>0</v>
      </c>
      <c r="BC138" s="12">
        <f>'MCH2'!BC138/'MCH2'!BC3</f>
        <v>0</v>
      </c>
      <c r="BD138" s="12">
        <f>'MCH2'!BD138/'MCH2'!BD3</f>
        <v>0</v>
      </c>
      <c r="BE138" s="12">
        <f>'MCH2'!BE138/'MCH2'!BE3</f>
        <v>0</v>
      </c>
      <c r="BF138" s="12">
        <f t="shared" si="88"/>
        <v>0</v>
      </c>
      <c r="BG138" s="12">
        <f t="shared" si="89"/>
        <v>0</v>
      </c>
      <c r="BH138" s="12">
        <f t="shared" si="90"/>
        <v>0</v>
      </c>
      <c r="BI138" s="12">
        <f t="shared" si="91"/>
        <v>0</v>
      </c>
    </row>
    <row r="139" spans="2:61" x14ac:dyDescent="0.25">
      <c r="C139" s="7">
        <v>489</v>
      </c>
      <c r="D139" s="7" t="s">
        <v>187</v>
      </c>
      <c r="E139" s="12">
        <f>'MCH2'!E139/'MCH2'!E3</f>
        <v>7.8576971608832809</v>
      </c>
      <c r="F139" s="12">
        <f>'MCH2'!F139/'MCH2'!F3</f>
        <v>0</v>
      </c>
      <c r="G139" s="12">
        <f>'MCH2'!G139/'MCH2'!G3</f>
        <v>0</v>
      </c>
      <c r="H139" s="12">
        <f>'MCH2'!H139/'MCH2'!H3</f>
        <v>0</v>
      </c>
      <c r="I139" s="12">
        <f>'MCH2'!I139/'MCH2'!I3</f>
        <v>0</v>
      </c>
      <c r="J139" s="12">
        <f>'MCH2'!J139/'MCH2'!J3</f>
        <v>57.458454572894652</v>
      </c>
      <c r="K139" s="12">
        <f>'MCH2'!K139/'MCH2'!K3</f>
        <v>54.512999246420499</v>
      </c>
      <c r="L139" s="12">
        <f>'MCH2'!L139/'MCH2'!L3</f>
        <v>197.84742006964228</v>
      </c>
      <c r="M139" s="12">
        <f>'MCH2'!M139/'MCH2'!M3</f>
        <v>7.867647058823529</v>
      </c>
      <c r="N139" s="12">
        <f>'MCH2'!N139/'MCH2'!N3</f>
        <v>0</v>
      </c>
      <c r="O139" s="12">
        <f>'MCH2'!O139/'MCH2'!O3</f>
        <v>8.2913020904495145</v>
      </c>
      <c r="P139" s="12">
        <f>'MCH2'!P139/'MCH2'!P3</f>
        <v>56.663409961685822</v>
      </c>
      <c r="Q139" s="12">
        <f>'MCH2'!Q139/'MCH2'!Q3</f>
        <v>0</v>
      </c>
      <c r="R139" s="12">
        <f>'MCH2'!R139/'MCH2'!R3</f>
        <v>0</v>
      </c>
      <c r="S139" s="12">
        <f>'MCH2'!S139/'MCH2'!S3</f>
        <v>685.71785714285716</v>
      </c>
      <c r="T139" s="12">
        <f>'MCH2'!T139/'MCH2'!T3</f>
        <v>35.607094133697132</v>
      </c>
      <c r="U139" s="12">
        <f>'MCH2'!U139/'MCH2'!U3</f>
        <v>150.62055555555557</v>
      </c>
      <c r="V139" s="12">
        <f>'MCH2'!V139/'MCH2'!V3</f>
        <v>0</v>
      </c>
      <c r="W139" s="12">
        <f>'MCH2'!W139/'MCH2'!W3</f>
        <v>40.49558599695586</v>
      </c>
      <c r="X139" s="12">
        <f>'MCH2'!X139/'MCH2'!X3</f>
        <v>0</v>
      </c>
      <c r="Y139" s="12">
        <f>'MCH2'!Y139/'MCH2'!Y3</f>
        <v>0</v>
      </c>
      <c r="Z139" s="12">
        <f>'MCH2'!Z139/'MCH2'!Z3</f>
        <v>0</v>
      </c>
      <c r="AA139" s="12">
        <f>'MCH2'!AA139/'MCH2'!AA3</f>
        <v>0</v>
      </c>
      <c r="AB139" s="12">
        <f>'MCH2'!AB139/'MCH2'!AB3</f>
        <v>0</v>
      </c>
      <c r="AC139" s="12">
        <f>'MCH2'!AC139/'MCH2'!AC3</f>
        <v>0</v>
      </c>
      <c r="AD139" s="12">
        <f>'MCH2'!AD139/'MCH2'!AD3</f>
        <v>0</v>
      </c>
      <c r="AE139" s="12">
        <f>'MCH2'!AE139/'MCH2'!AE3</f>
        <v>0.17422867513611615</v>
      </c>
      <c r="AF139" s="12">
        <f>'MCH2'!AF139/'MCH2'!AF3</f>
        <v>0</v>
      </c>
      <c r="AG139" s="12">
        <f>'MCH2'!AG139/'MCH2'!AG3</f>
        <v>0</v>
      </c>
      <c r="AH139" s="12">
        <f>'MCH2'!AH139/'MCH2'!AH3</f>
        <v>0</v>
      </c>
      <c r="AI139" s="12">
        <f>'MCH2'!AI139/'MCH2'!AI3</f>
        <v>0</v>
      </c>
      <c r="AJ139" s="12">
        <f>'MCH2'!AJ139/'MCH2'!AJ3</f>
        <v>0</v>
      </c>
      <c r="AK139" s="12">
        <f>'MCH2'!AK139/'MCH2'!AK3</f>
        <v>0</v>
      </c>
      <c r="AL139" s="12">
        <f>'MCH2'!AL139/'MCH2'!AL3</f>
        <v>35.906642728904849</v>
      </c>
      <c r="AM139" s="12">
        <f>'MCH2'!AM139/'MCH2'!AM3</f>
        <v>0</v>
      </c>
      <c r="AN139" s="12">
        <f>'MCH2'!AN139/'MCH2'!AN3</f>
        <v>41.025641025641029</v>
      </c>
      <c r="AO139" s="12">
        <f>'MCH2'!AO139/'MCH2'!AO3</f>
        <v>0</v>
      </c>
      <c r="AP139" s="12">
        <f>'MCH2'!AP139/'MCH2'!AP3</f>
        <v>161.17760000000001</v>
      </c>
      <c r="AQ139" s="12">
        <f>'MCH2'!AQ139/'MCH2'!AQ3</f>
        <v>206.92076069730587</v>
      </c>
      <c r="AR139" s="12">
        <f>'MCH2'!AR139/'MCH2'!AR3</f>
        <v>0</v>
      </c>
      <c r="AS139" s="12">
        <f>'MCH2'!AS139/'MCH2'!AS3</f>
        <v>0.58774373259052926</v>
      </c>
      <c r="AT139" s="12">
        <f>'MCH2'!AT139/'MCH2'!AT3</f>
        <v>19.646365422396858</v>
      </c>
      <c r="AU139" s="12">
        <f>'MCH2'!AU139/'MCH2'!AU3</f>
        <v>171.80204778156997</v>
      </c>
      <c r="AV139" s="12">
        <f>'MCH2'!AV139/'MCH2'!AV3</f>
        <v>0</v>
      </c>
      <c r="AW139" s="12">
        <f>'MCH2'!AW139/'MCH2'!AW3</f>
        <v>0.80534351145038163</v>
      </c>
      <c r="AX139" s="12">
        <f>'MCH2'!AX139/'MCH2'!AX3</f>
        <v>28.298913043478262</v>
      </c>
      <c r="AY139" s="12">
        <f>'MCH2'!AY139/'MCH2'!AY3</f>
        <v>0.93393393393393398</v>
      </c>
      <c r="AZ139" s="12">
        <f>'MCH2'!AZ139/'MCH2'!AZ3</f>
        <v>90.559737156511346</v>
      </c>
      <c r="BA139" s="12">
        <f>'MCH2'!BA139/'MCH2'!BA3</f>
        <v>0.81585677749360619</v>
      </c>
      <c r="BB139" s="12">
        <f>'MCH2'!BB139/'MCH2'!BB3</f>
        <v>1.0294676806083649</v>
      </c>
      <c r="BC139" s="12">
        <f>'MCH2'!BC139/'MCH2'!BC3</f>
        <v>1.2634408602150538</v>
      </c>
      <c r="BD139" s="12">
        <f>'MCH2'!BD139/'MCH2'!BD3</f>
        <v>77.627697562490297</v>
      </c>
      <c r="BE139" s="12">
        <f>'MCH2'!BE139/'MCH2'!BE3</f>
        <v>0</v>
      </c>
      <c r="BF139" s="12">
        <f t="shared" si="88"/>
        <v>2141.5154435795921</v>
      </c>
      <c r="BG139" s="12">
        <f t="shared" si="89"/>
        <v>1302.9400229898652</v>
      </c>
      <c r="BH139" s="12">
        <f t="shared" si="90"/>
        <v>0.17422867513611615</v>
      </c>
      <c r="BI139" s="12">
        <f t="shared" si="91"/>
        <v>838.40119191459041</v>
      </c>
    </row>
    <row r="140" spans="2:61" x14ac:dyDescent="0.25">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row>
    <row r="141" spans="2:61" x14ac:dyDescent="0.25">
      <c r="B141" s="68">
        <v>49</v>
      </c>
      <c r="C141" s="68"/>
      <c r="D141" s="68" t="s">
        <v>127</v>
      </c>
      <c r="E141" s="69">
        <f>E142+E143+E144+E145+E146+E147+E148+E149</f>
        <v>0</v>
      </c>
      <c r="F141" s="69">
        <f t="shared" ref="F141:BI141" si="92">F142+F143+F144+F145+F146+F147+F148+F149</f>
        <v>93.004961240310081</v>
      </c>
      <c r="G141" s="69">
        <f t="shared" si="92"/>
        <v>23.270063694267517</v>
      </c>
      <c r="H141" s="69">
        <f t="shared" si="92"/>
        <v>91.736961451247168</v>
      </c>
      <c r="I141" s="69">
        <f t="shared" si="92"/>
        <v>84.454693434617468</v>
      </c>
      <c r="J141" s="69">
        <f t="shared" si="92"/>
        <v>19.761545427105343</v>
      </c>
      <c r="K141" s="69">
        <f t="shared" si="92"/>
        <v>70.067539562923884</v>
      </c>
      <c r="L141" s="69">
        <f t="shared" si="92"/>
        <v>353.92843779677111</v>
      </c>
      <c r="M141" s="69">
        <f t="shared" si="92"/>
        <v>65.175470588235299</v>
      </c>
      <c r="N141" s="69">
        <f t="shared" si="92"/>
        <v>81.022232142857135</v>
      </c>
      <c r="O141" s="69">
        <f t="shared" si="92"/>
        <v>25.535045771280231</v>
      </c>
      <c r="P141" s="69">
        <f t="shared" si="92"/>
        <v>56.140900383141762</v>
      </c>
      <c r="Q141" s="69">
        <f t="shared" si="92"/>
        <v>4.716981132075472</v>
      </c>
      <c r="R141" s="69">
        <f t="shared" si="92"/>
        <v>135.21788235294116</v>
      </c>
      <c r="S141" s="69">
        <f t="shared" si="92"/>
        <v>0</v>
      </c>
      <c r="T141" s="69">
        <f t="shared" si="92"/>
        <v>0</v>
      </c>
      <c r="U141" s="69">
        <f t="shared" si="92"/>
        <v>0</v>
      </c>
      <c r="V141" s="69">
        <f t="shared" si="92"/>
        <v>141.96642685851319</v>
      </c>
      <c r="W141" s="69">
        <f t="shared" si="92"/>
        <v>33.881278538812786</v>
      </c>
      <c r="X141" s="69">
        <f t="shared" si="92"/>
        <v>0</v>
      </c>
      <c r="Y141" s="69">
        <f t="shared" si="92"/>
        <v>0</v>
      </c>
      <c r="Z141" s="69">
        <f t="shared" si="92"/>
        <v>55.118110236220474</v>
      </c>
      <c r="AA141" s="69">
        <f t="shared" si="92"/>
        <v>174.64367816091954</v>
      </c>
      <c r="AB141" s="69">
        <f t="shared" si="92"/>
        <v>0</v>
      </c>
      <c r="AC141" s="69">
        <f t="shared" si="92"/>
        <v>0</v>
      </c>
      <c r="AD141" s="69">
        <f t="shared" si="92"/>
        <v>69.896936170212769</v>
      </c>
      <c r="AE141" s="69">
        <f t="shared" si="92"/>
        <v>77.58620689655173</v>
      </c>
      <c r="AF141" s="69">
        <f t="shared" si="92"/>
        <v>215.01624266144816</v>
      </c>
      <c r="AG141" s="69">
        <f t="shared" si="92"/>
        <v>3.8247371188222923</v>
      </c>
      <c r="AH141" s="69">
        <f t="shared" si="92"/>
        <v>11.844660194174757</v>
      </c>
      <c r="AI141" s="69">
        <f t="shared" si="92"/>
        <v>0</v>
      </c>
      <c r="AJ141" s="69">
        <f t="shared" si="92"/>
        <v>0</v>
      </c>
      <c r="AK141" s="69">
        <f t="shared" si="92"/>
        <v>49.415515409139211</v>
      </c>
      <c r="AL141" s="69">
        <f t="shared" si="92"/>
        <v>54.188420107719928</v>
      </c>
      <c r="AM141" s="69">
        <f t="shared" si="92"/>
        <v>2.8923582580115035</v>
      </c>
      <c r="AN141" s="69">
        <f t="shared" si="92"/>
        <v>2.0512820512820511</v>
      </c>
      <c r="AO141" s="69">
        <f t="shared" si="92"/>
        <v>56.925767634854772</v>
      </c>
      <c r="AP141" s="69">
        <f t="shared" si="92"/>
        <v>162.82687999999999</v>
      </c>
      <c r="AQ141" s="69">
        <f t="shared" si="92"/>
        <v>0</v>
      </c>
      <c r="AR141" s="69">
        <f t="shared" si="92"/>
        <v>0</v>
      </c>
      <c r="AS141" s="69">
        <f t="shared" si="92"/>
        <v>169.42026462395543</v>
      </c>
      <c r="AT141" s="69">
        <f t="shared" si="92"/>
        <v>38.985707269155206</v>
      </c>
      <c r="AU141" s="69">
        <f t="shared" si="92"/>
        <v>6.8259385665529013</v>
      </c>
      <c r="AV141" s="69">
        <f t="shared" si="92"/>
        <v>23.487577002053388</v>
      </c>
      <c r="AW141" s="69">
        <f t="shared" si="92"/>
        <v>0</v>
      </c>
      <c r="AX141" s="69">
        <f t="shared" si="92"/>
        <v>38.252717391304351</v>
      </c>
      <c r="AY141" s="69">
        <f t="shared" si="92"/>
        <v>0</v>
      </c>
      <c r="AZ141" s="69">
        <f t="shared" si="92"/>
        <v>63.133064516129032</v>
      </c>
      <c r="BA141" s="69">
        <f t="shared" si="92"/>
        <v>0</v>
      </c>
      <c r="BB141" s="69">
        <f t="shared" si="92"/>
        <v>43.997937262357418</v>
      </c>
      <c r="BC141" s="69">
        <f t="shared" si="92"/>
        <v>0</v>
      </c>
      <c r="BD141" s="69">
        <f t="shared" si="92"/>
        <v>0</v>
      </c>
      <c r="BE141" s="69">
        <f t="shared" si="92"/>
        <v>28.388278388278387</v>
      </c>
      <c r="BF141" s="69">
        <f t="shared" si="92"/>
        <v>2628.6027002942419</v>
      </c>
      <c r="BG141" s="69">
        <f t="shared" si="92"/>
        <v>1279.8804203750997</v>
      </c>
      <c r="BH141" s="69">
        <f t="shared" si="92"/>
        <v>607.9305714383496</v>
      </c>
      <c r="BI141" s="69">
        <f t="shared" si="92"/>
        <v>740.79170848079366</v>
      </c>
    </row>
    <row r="142" spans="2:61" x14ac:dyDescent="0.25">
      <c r="C142" s="7">
        <v>490</v>
      </c>
      <c r="D142" s="7" t="s">
        <v>128</v>
      </c>
      <c r="E142" s="12">
        <f>'MCH2'!E142/'MCH2'!E3</f>
        <v>0</v>
      </c>
      <c r="F142" s="12">
        <f>'MCH2'!F142/'MCH2'!F3</f>
        <v>0.77519379844961245</v>
      </c>
      <c r="G142" s="12">
        <f>'MCH2'!G142/'MCH2'!G3</f>
        <v>0</v>
      </c>
      <c r="H142" s="12">
        <f>'MCH2'!H142/'MCH2'!H3</f>
        <v>0</v>
      </c>
      <c r="I142" s="12">
        <f>'MCH2'!I142/'MCH2'!I3</f>
        <v>0</v>
      </c>
      <c r="J142" s="12">
        <f>'MCH2'!J142/'MCH2'!J3</f>
        <v>0</v>
      </c>
      <c r="K142" s="12">
        <f>'MCH2'!K142/'MCH2'!K3</f>
        <v>0</v>
      </c>
      <c r="L142" s="12">
        <f>'MCH2'!L142/'MCH2'!L3</f>
        <v>3.9569484013928458</v>
      </c>
      <c r="M142" s="12">
        <f>'MCH2'!M142/'MCH2'!M3</f>
        <v>0.88235294117647056</v>
      </c>
      <c r="N142" s="12">
        <f>'MCH2'!N142/'MCH2'!N3</f>
        <v>0</v>
      </c>
      <c r="O142" s="12">
        <f>'MCH2'!O142/'MCH2'!O3</f>
        <v>0</v>
      </c>
      <c r="P142" s="12">
        <f>'MCH2'!P142/'MCH2'!P3</f>
        <v>0</v>
      </c>
      <c r="Q142" s="12">
        <f>'MCH2'!Q142/'MCH2'!Q3</f>
        <v>0</v>
      </c>
      <c r="R142" s="12">
        <f>'MCH2'!R142/'MCH2'!R3</f>
        <v>0</v>
      </c>
      <c r="S142" s="12">
        <f>'MCH2'!S142/'MCH2'!S3</f>
        <v>0</v>
      </c>
      <c r="T142" s="12">
        <f>'MCH2'!T142/'MCH2'!T3</f>
        <v>0</v>
      </c>
      <c r="U142" s="12">
        <f>'MCH2'!U142/'MCH2'!U3</f>
        <v>0</v>
      </c>
      <c r="V142" s="12">
        <f>'MCH2'!V142/'MCH2'!V3</f>
        <v>0</v>
      </c>
      <c r="W142" s="12">
        <f>'MCH2'!W142/'MCH2'!W3</f>
        <v>0</v>
      </c>
      <c r="X142" s="12">
        <f>'MCH2'!X142/'MCH2'!X3</f>
        <v>0</v>
      </c>
      <c r="Y142" s="12">
        <f>'MCH2'!Y142/'MCH2'!Y3</f>
        <v>0</v>
      </c>
      <c r="Z142" s="12">
        <f>'MCH2'!Z142/'MCH2'!Z3</f>
        <v>0</v>
      </c>
      <c r="AA142" s="12">
        <f>'MCH2'!AA142/'MCH2'!AA3</f>
        <v>2.2298850574712645</v>
      </c>
      <c r="AB142" s="12">
        <f>'MCH2'!AB142/'MCH2'!AB3</f>
        <v>0</v>
      </c>
      <c r="AC142" s="12">
        <f>'MCH2'!AC142/'MCH2'!AC3</f>
        <v>0</v>
      </c>
      <c r="AD142" s="12">
        <f>'MCH2'!AD142/'MCH2'!AD3</f>
        <v>1.9148936170212767</v>
      </c>
      <c r="AE142" s="12">
        <f>'MCH2'!AE142/'MCH2'!AE3</f>
        <v>0</v>
      </c>
      <c r="AF142" s="12">
        <f>'MCH2'!AF142/'MCH2'!AF3</f>
        <v>0</v>
      </c>
      <c r="AG142" s="12">
        <f>'MCH2'!AG142/'MCH2'!AG3</f>
        <v>2.4270241850683489</v>
      </c>
      <c r="AH142" s="12">
        <f>'MCH2'!AH142/'MCH2'!AH3</f>
        <v>0</v>
      </c>
      <c r="AI142" s="12">
        <f>'MCH2'!AI142/'MCH2'!AI3</f>
        <v>0</v>
      </c>
      <c r="AJ142" s="12">
        <f>'MCH2'!AJ142/'MCH2'!AJ3</f>
        <v>0</v>
      </c>
      <c r="AK142" s="12">
        <f>'MCH2'!AK142/'MCH2'!AK3</f>
        <v>0</v>
      </c>
      <c r="AL142" s="12">
        <f>'MCH2'!AL142/'MCH2'!AL3</f>
        <v>0</v>
      </c>
      <c r="AM142" s="12">
        <f>'MCH2'!AM142/'MCH2'!AM3</f>
        <v>0</v>
      </c>
      <c r="AN142" s="12">
        <f>'MCH2'!AN142/'MCH2'!AN3</f>
        <v>0</v>
      </c>
      <c r="AO142" s="12">
        <f>'MCH2'!AO142/'MCH2'!AO3</f>
        <v>0</v>
      </c>
      <c r="AP142" s="12">
        <f>'MCH2'!AP142/'MCH2'!AP3</f>
        <v>1.28</v>
      </c>
      <c r="AQ142" s="12">
        <f>'MCH2'!AQ142/'MCH2'!AQ3</f>
        <v>0</v>
      </c>
      <c r="AR142" s="12">
        <f>'MCH2'!AR142/'MCH2'!AR3</f>
        <v>0</v>
      </c>
      <c r="AS142" s="12">
        <f>'MCH2'!AS142/'MCH2'!AS3</f>
        <v>0</v>
      </c>
      <c r="AT142" s="12">
        <f>'MCH2'!AT142/'MCH2'!AT3</f>
        <v>0</v>
      </c>
      <c r="AU142" s="12">
        <f>'MCH2'!AU142/'MCH2'!AU3</f>
        <v>0</v>
      </c>
      <c r="AV142" s="12">
        <f>'MCH2'!AV142/'MCH2'!AV3</f>
        <v>0</v>
      </c>
      <c r="AW142" s="12">
        <f>'MCH2'!AW142/'MCH2'!AW3</f>
        <v>0</v>
      </c>
      <c r="AX142" s="12">
        <f>'MCH2'!AX142/'MCH2'!AX3</f>
        <v>0</v>
      </c>
      <c r="AY142" s="12">
        <f>'MCH2'!AY142/'MCH2'!AY3</f>
        <v>0</v>
      </c>
      <c r="AZ142" s="12">
        <f>'MCH2'!AZ142/'MCH2'!AZ3</f>
        <v>0</v>
      </c>
      <c r="BA142" s="12">
        <f>'MCH2'!BA142/'MCH2'!BA3</f>
        <v>0</v>
      </c>
      <c r="BB142" s="12">
        <f>'MCH2'!BB142/'MCH2'!BB3</f>
        <v>0</v>
      </c>
      <c r="BC142" s="12">
        <f>'MCH2'!BC142/'MCH2'!BC3</f>
        <v>0</v>
      </c>
      <c r="BD142" s="12">
        <f>'MCH2'!BD142/'MCH2'!BD3</f>
        <v>0</v>
      </c>
      <c r="BE142" s="12">
        <f>'MCH2'!BE142/'MCH2'!BE3</f>
        <v>0</v>
      </c>
      <c r="BF142" s="12">
        <f t="shared" ref="BF142:BF149" si="93">SUM(E142:BE142)</f>
        <v>13.466298000579819</v>
      </c>
      <c r="BG142" s="12">
        <f t="shared" ref="BG142:BG149" si="94">SUM(E142:W142)</f>
        <v>5.6144951410189297</v>
      </c>
      <c r="BH142" s="12">
        <f t="shared" ref="BH142:BH149" si="95">SUM(X142:AJ142)</f>
        <v>6.5718028595608899</v>
      </c>
      <c r="BI142" s="12">
        <f t="shared" ref="BI142:BI149" si="96">SUM(AK142:BE142)</f>
        <v>1.28</v>
      </c>
    </row>
    <row r="143" spans="2:61" x14ac:dyDescent="0.25">
      <c r="C143" s="7">
        <v>491</v>
      </c>
      <c r="D143" s="7" t="s">
        <v>129</v>
      </c>
      <c r="E143" s="12">
        <f>'MCH2'!E143/'MCH2'!E3</f>
        <v>0</v>
      </c>
      <c r="F143" s="12">
        <f>'MCH2'!F143/'MCH2'!F3</f>
        <v>15.18139534883721</v>
      </c>
      <c r="G143" s="12">
        <f>'MCH2'!G143/'MCH2'!G3</f>
        <v>9.939702760084927</v>
      </c>
      <c r="H143" s="12">
        <f>'MCH2'!H143/'MCH2'!H3</f>
        <v>90.929705215419503</v>
      </c>
      <c r="I143" s="12">
        <f>'MCH2'!I143/'MCH2'!I3</f>
        <v>84.454693434617468</v>
      </c>
      <c r="J143" s="12">
        <f>'MCH2'!J143/'MCH2'!J3</f>
        <v>19.761545427105343</v>
      </c>
      <c r="K143" s="12">
        <f>'MCH2'!K143/'MCH2'!K3</f>
        <v>41.942351168048226</v>
      </c>
      <c r="L143" s="12">
        <f>'MCH2'!L143/'MCH2'!L3</f>
        <v>114.72495647356759</v>
      </c>
      <c r="M143" s="12">
        <f>'MCH2'!M143/'MCH2'!M3</f>
        <v>40.545955882352942</v>
      </c>
      <c r="N143" s="12">
        <f>'MCH2'!N143/'MCH2'!N3</f>
        <v>81.022232142857135</v>
      </c>
      <c r="O143" s="12">
        <f>'MCH2'!O143/'MCH2'!O3</f>
        <v>25.535045771280231</v>
      </c>
      <c r="P143" s="12">
        <f>'MCH2'!P143/'MCH2'!P3</f>
        <v>56.140900383141762</v>
      </c>
      <c r="Q143" s="12">
        <f>'MCH2'!Q143/'MCH2'!Q3</f>
        <v>4.716981132075472</v>
      </c>
      <c r="R143" s="12">
        <f>'MCH2'!R143/'MCH2'!R3</f>
        <v>135.21788235294116</v>
      </c>
      <c r="S143" s="12">
        <f>'MCH2'!S143/'MCH2'!S3</f>
        <v>0</v>
      </c>
      <c r="T143" s="12">
        <f>'MCH2'!T143/'MCH2'!T3</f>
        <v>0</v>
      </c>
      <c r="U143" s="12">
        <f>'MCH2'!U143/'MCH2'!U3</f>
        <v>0</v>
      </c>
      <c r="V143" s="12">
        <f>'MCH2'!V143/'MCH2'!V3</f>
        <v>141.96642685851319</v>
      </c>
      <c r="W143" s="12">
        <f>'MCH2'!W143/'MCH2'!W3</f>
        <v>26.666666666666668</v>
      </c>
      <c r="X143" s="12">
        <f>'MCH2'!X143/'MCH2'!X3</f>
        <v>0</v>
      </c>
      <c r="Y143" s="12">
        <f>'MCH2'!Y143/'MCH2'!Y3</f>
        <v>0</v>
      </c>
      <c r="Z143" s="12">
        <f>'MCH2'!Z143/'MCH2'!Z3</f>
        <v>0</v>
      </c>
      <c r="AA143" s="12">
        <f>'MCH2'!AA143/'MCH2'!AA3</f>
        <v>172.41379310344828</v>
      </c>
      <c r="AB143" s="12">
        <f>'MCH2'!AB143/'MCH2'!AB3</f>
        <v>0</v>
      </c>
      <c r="AC143" s="12">
        <f>'MCH2'!AC143/'MCH2'!AC3</f>
        <v>0</v>
      </c>
      <c r="AD143" s="12">
        <f>'MCH2'!AD143/'MCH2'!AD3</f>
        <v>67.982042553191491</v>
      </c>
      <c r="AE143" s="12">
        <f>'MCH2'!AE143/'MCH2'!AE3</f>
        <v>77.58620689655173</v>
      </c>
      <c r="AF143" s="12">
        <f>'MCH2'!AF143/'MCH2'!AF3</f>
        <v>215.01624266144816</v>
      </c>
      <c r="AG143" s="12">
        <f>'MCH2'!AG143/'MCH2'!AG3</f>
        <v>1.3977129337539431</v>
      </c>
      <c r="AH143" s="12">
        <f>'MCH2'!AH143/'MCH2'!AH3</f>
        <v>11.844660194174757</v>
      </c>
      <c r="AI143" s="12">
        <f>'MCH2'!AI143/'MCH2'!AI3</f>
        <v>0</v>
      </c>
      <c r="AJ143" s="12">
        <f>'MCH2'!AJ143/'MCH2'!AJ3</f>
        <v>0</v>
      </c>
      <c r="AK143" s="12">
        <f>'MCH2'!AK143/'MCH2'!AK3</f>
        <v>49.415515409139211</v>
      </c>
      <c r="AL143" s="12">
        <f>'MCH2'!AL143/'MCH2'!AL3</f>
        <v>0</v>
      </c>
      <c r="AM143" s="12">
        <f>'MCH2'!AM143/'MCH2'!AM3</f>
        <v>2.8923582580115035</v>
      </c>
      <c r="AN143" s="12">
        <f>'MCH2'!AN143/'MCH2'!AN3</f>
        <v>2.0512820512820511</v>
      </c>
      <c r="AO143" s="12">
        <f>'MCH2'!AO143/'MCH2'!AO3</f>
        <v>56.925767634854772</v>
      </c>
      <c r="AP143" s="12">
        <f>'MCH2'!AP143/'MCH2'!AP3</f>
        <v>109.80752</v>
      </c>
      <c r="AQ143" s="12">
        <f>'MCH2'!AQ143/'MCH2'!AQ3</f>
        <v>0</v>
      </c>
      <c r="AR143" s="12">
        <f>'MCH2'!AR143/'MCH2'!AR3</f>
        <v>0</v>
      </c>
      <c r="AS143" s="12">
        <f>'MCH2'!AS143/'MCH2'!AS3</f>
        <v>67.841922005571035</v>
      </c>
      <c r="AT143" s="12">
        <f>'MCH2'!AT143/'MCH2'!AT3</f>
        <v>38.985707269155206</v>
      </c>
      <c r="AU143" s="12">
        <f>'MCH2'!AU143/'MCH2'!AU3</f>
        <v>6.8259385665529013</v>
      </c>
      <c r="AV143" s="12">
        <f>'MCH2'!AV143/'MCH2'!AV3</f>
        <v>23.487577002053388</v>
      </c>
      <c r="AW143" s="12">
        <f>'MCH2'!AW143/'MCH2'!AW3</f>
        <v>0</v>
      </c>
      <c r="AX143" s="12">
        <f>'MCH2'!AX143/'MCH2'!AX3</f>
        <v>0</v>
      </c>
      <c r="AY143" s="12">
        <f>'MCH2'!AY143/'MCH2'!AY3</f>
        <v>0</v>
      </c>
      <c r="AZ143" s="12">
        <f>'MCH2'!AZ143/'MCH2'!AZ3</f>
        <v>61.042264038231778</v>
      </c>
      <c r="BA143" s="12">
        <f>'MCH2'!BA143/'MCH2'!BA3</f>
        <v>0</v>
      </c>
      <c r="BB143" s="12">
        <f>'MCH2'!BB143/'MCH2'!BB3</f>
        <v>43.997937262357418</v>
      </c>
      <c r="BC143" s="12">
        <f>'MCH2'!BC143/'MCH2'!BC3</f>
        <v>0</v>
      </c>
      <c r="BD143" s="12">
        <f>'MCH2'!BD143/'MCH2'!BD3</f>
        <v>0</v>
      </c>
      <c r="BE143" s="12">
        <f>'MCH2'!BE143/'MCH2'!BE3</f>
        <v>28.388278388278387</v>
      </c>
      <c r="BF143" s="12">
        <f t="shared" si="93"/>
        <v>1926.6491672455643</v>
      </c>
      <c r="BG143" s="12">
        <f t="shared" si="94"/>
        <v>888.7464410175088</v>
      </c>
      <c r="BH143" s="12">
        <f t="shared" si="95"/>
        <v>546.24065834256828</v>
      </c>
      <c r="BI143" s="12">
        <f t="shared" si="96"/>
        <v>491.66206788548772</v>
      </c>
    </row>
    <row r="144" spans="2:61" x14ac:dyDescent="0.25">
      <c r="C144" s="7">
        <v>492</v>
      </c>
      <c r="D144" s="7" t="s">
        <v>188</v>
      </c>
      <c r="E144" s="12">
        <f>'MCH2'!E144/'MCH2'!E3</f>
        <v>0</v>
      </c>
      <c r="F144" s="12">
        <f>'MCH2'!F144/'MCH2'!F3</f>
        <v>0</v>
      </c>
      <c r="G144" s="12">
        <f>'MCH2'!G144/'MCH2'!G3</f>
        <v>0</v>
      </c>
      <c r="H144" s="12">
        <f>'MCH2'!H144/'MCH2'!H3</f>
        <v>0</v>
      </c>
      <c r="I144" s="12">
        <f>'MCH2'!I144/'MCH2'!I3</f>
        <v>0</v>
      </c>
      <c r="J144" s="12">
        <f>'MCH2'!J144/'MCH2'!J3</f>
        <v>0</v>
      </c>
      <c r="K144" s="12">
        <f>'MCH2'!K144/'MCH2'!K3</f>
        <v>0</v>
      </c>
      <c r="L144" s="12">
        <f>'MCH2'!L144/'MCH2'!L3</f>
        <v>4.7483380816714149</v>
      </c>
      <c r="M144" s="12">
        <f>'MCH2'!M144/'MCH2'!M3</f>
        <v>0</v>
      </c>
      <c r="N144" s="12">
        <f>'MCH2'!N144/'MCH2'!N3</f>
        <v>0</v>
      </c>
      <c r="O144" s="12">
        <f>'MCH2'!O144/'MCH2'!O3</f>
        <v>0</v>
      </c>
      <c r="P144" s="12">
        <f>'MCH2'!P144/'MCH2'!P3</f>
        <v>0</v>
      </c>
      <c r="Q144" s="12">
        <f>'MCH2'!Q144/'MCH2'!Q3</f>
        <v>0</v>
      </c>
      <c r="R144" s="12">
        <f>'MCH2'!R144/'MCH2'!R3</f>
        <v>0</v>
      </c>
      <c r="S144" s="12">
        <f>'MCH2'!S144/'MCH2'!S3</f>
        <v>0</v>
      </c>
      <c r="T144" s="12">
        <f>'MCH2'!T144/'MCH2'!T3</f>
        <v>0</v>
      </c>
      <c r="U144" s="12">
        <f>'MCH2'!U144/'MCH2'!U3</f>
        <v>0</v>
      </c>
      <c r="V144" s="12">
        <f>'MCH2'!V144/'MCH2'!V3</f>
        <v>0</v>
      </c>
      <c r="W144" s="12">
        <f>'MCH2'!W144/'MCH2'!W3</f>
        <v>2.3439878234398783</v>
      </c>
      <c r="X144" s="12">
        <f>'MCH2'!X144/'MCH2'!X3</f>
        <v>0</v>
      </c>
      <c r="Y144" s="12">
        <f>'MCH2'!Y144/'MCH2'!Y3</f>
        <v>0</v>
      </c>
      <c r="Z144" s="12">
        <f>'MCH2'!Z144/'MCH2'!Z3</f>
        <v>55.118110236220474</v>
      </c>
      <c r="AA144" s="12">
        <f>'MCH2'!AA144/'MCH2'!AA3</f>
        <v>0</v>
      </c>
      <c r="AB144" s="12">
        <f>'MCH2'!AB144/'MCH2'!AB3</f>
        <v>0</v>
      </c>
      <c r="AC144" s="12">
        <f>'MCH2'!AC144/'MCH2'!AC3</f>
        <v>0</v>
      </c>
      <c r="AD144" s="12">
        <f>'MCH2'!AD144/'MCH2'!AD3</f>
        <v>0</v>
      </c>
      <c r="AE144" s="12">
        <f>'MCH2'!AE144/'MCH2'!AE3</f>
        <v>0</v>
      </c>
      <c r="AF144" s="12">
        <f>'MCH2'!AF144/'MCH2'!AF3</f>
        <v>0</v>
      </c>
      <c r="AG144" s="12">
        <f>'MCH2'!AG144/'MCH2'!AG3</f>
        <v>0</v>
      </c>
      <c r="AH144" s="12">
        <f>'MCH2'!AH144/'MCH2'!AH3</f>
        <v>0</v>
      </c>
      <c r="AI144" s="12">
        <f>'MCH2'!AI144/'MCH2'!AI3</f>
        <v>0</v>
      </c>
      <c r="AJ144" s="12">
        <f>'MCH2'!AJ144/'MCH2'!AJ3</f>
        <v>0</v>
      </c>
      <c r="AK144" s="12">
        <f>'MCH2'!AK144/'MCH2'!AK3</f>
        <v>0</v>
      </c>
      <c r="AL144" s="12">
        <f>'MCH2'!AL144/'MCH2'!AL3</f>
        <v>0</v>
      </c>
      <c r="AM144" s="12">
        <f>'MCH2'!AM144/'MCH2'!AM3</f>
        <v>0</v>
      </c>
      <c r="AN144" s="12">
        <f>'MCH2'!AN144/'MCH2'!AN3</f>
        <v>0</v>
      </c>
      <c r="AO144" s="12">
        <f>'MCH2'!AO144/'MCH2'!AO3</f>
        <v>0</v>
      </c>
      <c r="AP144" s="12">
        <f>'MCH2'!AP144/'MCH2'!AP3</f>
        <v>0</v>
      </c>
      <c r="AQ144" s="12">
        <f>'MCH2'!AQ144/'MCH2'!AQ3</f>
        <v>0</v>
      </c>
      <c r="AR144" s="12">
        <f>'MCH2'!AR144/'MCH2'!AR3</f>
        <v>0</v>
      </c>
      <c r="AS144" s="12">
        <f>'MCH2'!AS144/'MCH2'!AS3</f>
        <v>0</v>
      </c>
      <c r="AT144" s="12">
        <f>'MCH2'!AT144/'MCH2'!AT3</f>
        <v>0</v>
      </c>
      <c r="AU144" s="12">
        <f>'MCH2'!AU144/'MCH2'!AU3</f>
        <v>0</v>
      </c>
      <c r="AV144" s="12">
        <f>'MCH2'!AV144/'MCH2'!AV3</f>
        <v>0</v>
      </c>
      <c r="AW144" s="12">
        <f>'MCH2'!AW144/'MCH2'!AW3</f>
        <v>0</v>
      </c>
      <c r="AX144" s="12">
        <f>'MCH2'!AX144/'MCH2'!AX3</f>
        <v>0</v>
      </c>
      <c r="AY144" s="12">
        <f>'MCH2'!AY144/'MCH2'!AY3</f>
        <v>0</v>
      </c>
      <c r="AZ144" s="12">
        <f>'MCH2'!AZ144/'MCH2'!AZ3</f>
        <v>0</v>
      </c>
      <c r="BA144" s="12">
        <f>'MCH2'!BA144/'MCH2'!BA3</f>
        <v>0</v>
      </c>
      <c r="BB144" s="12">
        <f>'MCH2'!BB144/'MCH2'!BB3</f>
        <v>0</v>
      </c>
      <c r="BC144" s="12">
        <f>'MCH2'!BC144/'MCH2'!BC3</f>
        <v>0</v>
      </c>
      <c r="BD144" s="12">
        <f>'MCH2'!BD144/'MCH2'!BD3</f>
        <v>0</v>
      </c>
      <c r="BE144" s="12">
        <f>'MCH2'!BE144/'MCH2'!BE3</f>
        <v>0</v>
      </c>
      <c r="BF144" s="12">
        <f t="shared" si="93"/>
        <v>62.210436141331769</v>
      </c>
      <c r="BG144" s="12">
        <f t="shared" si="94"/>
        <v>7.0923259051112932</v>
      </c>
      <c r="BH144" s="12">
        <f t="shared" si="95"/>
        <v>55.118110236220474</v>
      </c>
      <c r="BI144" s="12">
        <f t="shared" si="96"/>
        <v>0</v>
      </c>
    </row>
    <row r="145" spans="1:61" x14ac:dyDescent="0.25">
      <c r="C145" s="7">
        <v>493</v>
      </c>
      <c r="D145" s="7" t="s">
        <v>189</v>
      </c>
      <c r="E145" s="12">
        <f>'MCH2'!E145/'MCH2'!E3</f>
        <v>0</v>
      </c>
      <c r="F145" s="12">
        <f>'MCH2'!F145/'MCH2'!F3</f>
        <v>0</v>
      </c>
      <c r="G145" s="12">
        <f>'MCH2'!G145/'MCH2'!G3</f>
        <v>6.4469214437367306</v>
      </c>
      <c r="H145" s="12">
        <f>'MCH2'!H145/'MCH2'!H3</f>
        <v>0</v>
      </c>
      <c r="I145" s="12">
        <f>'MCH2'!I145/'MCH2'!I3</f>
        <v>0</v>
      </c>
      <c r="J145" s="12">
        <f>'MCH2'!J145/'MCH2'!J3</f>
        <v>0</v>
      </c>
      <c r="K145" s="12">
        <f>'MCH2'!K145/'MCH2'!K3</f>
        <v>5.6868877166541072</v>
      </c>
      <c r="L145" s="12">
        <f>'MCH2'!L145/'MCH2'!L3</f>
        <v>1.6195235834124722</v>
      </c>
      <c r="M145" s="12">
        <f>'MCH2'!M145/'MCH2'!M3</f>
        <v>0</v>
      </c>
      <c r="N145" s="12">
        <f>'MCH2'!N145/'MCH2'!N3</f>
        <v>0</v>
      </c>
      <c r="O145" s="12">
        <f>'MCH2'!O145/'MCH2'!O3</f>
        <v>0</v>
      </c>
      <c r="P145" s="12">
        <f>'MCH2'!P145/'MCH2'!P3</f>
        <v>0</v>
      </c>
      <c r="Q145" s="12">
        <f>'MCH2'!Q145/'MCH2'!Q3</f>
        <v>0</v>
      </c>
      <c r="R145" s="12">
        <f>'MCH2'!R145/'MCH2'!R3</f>
        <v>0</v>
      </c>
      <c r="S145" s="12">
        <f>'MCH2'!S145/'MCH2'!S3</f>
        <v>0</v>
      </c>
      <c r="T145" s="12">
        <f>'MCH2'!T145/'MCH2'!T3</f>
        <v>0</v>
      </c>
      <c r="U145" s="12">
        <f>'MCH2'!U145/'MCH2'!U3</f>
        <v>0</v>
      </c>
      <c r="V145" s="12">
        <f>'MCH2'!V145/'MCH2'!V3</f>
        <v>0</v>
      </c>
      <c r="W145" s="12">
        <f>'MCH2'!W145/'MCH2'!W3</f>
        <v>3.9573820395738202</v>
      </c>
      <c r="X145" s="12">
        <f>'MCH2'!X145/'MCH2'!X3</f>
        <v>0</v>
      </c>
      <c r="Y145" s="12">
        <f>'MCH2'!Y145/'MCH2'!Y3</f>
        <v>0</v>
      </c>
      <c r="Z145" s="12">
        <f>'MCH2'!Z145/'MCH2'!Z3</f>
        <v>0</v>
      </c>
      <c r="AA145" s="12">
        <f>'MCH2'!AA145/'MCH2'!AA3</f>
        <v>0</v>
      </c>
      <c r="AB145" s="12">
        <f>'MCH2'!AB145/'MCH2'!AB3</f>
        <v>0</v>
      </c>
      <c r="AC145" s="12">
        <f>'MCH2'!AC145/'MCH2'!AC3</f>
        <v>0</v>
      </c>
      <c r="AD145" s="12">
        <f>'MCH2'!AD145/'MCH2'!AD3</f>
        <v>0</v>
      </c>
      <c r="AE145" s="12">
        <f>'MCH2'!AE145/'MCH2'!AE3</f>
        <v>0</v>
      </c>
      <c r="AF145" s="12">
        <f>'MCH2'!AF145/'MCH2'!AF3</f>
        <v>0</v>
      </c>
      <c r="AG145" s="12">
        <f>'MCH2'!AG145/'MCH2'!AG3</f>
        <v>0</v>
      </c>
      <c r="AH145" s="12">
        <f>'MCH2'!AH145/'MCH2'!AH3</f>
        <v>0</v>
      </c>
      <c r="AI145" s="12">
        <f>'MCH2'!AI145/'MCH2'!AI3</f>
        <v>0</v>
      </c>
      <c r="AJ145" s="12">
        <f>'MCH2'!AJ145/'MCH2'!AJ3</f>
        <v>0</v>
      </c>
      <c r="AK145" s="12">
        <f>'MCH2'!AK145/'MCH2'!AK3</f>
        <v>0</v>
      </c>
      <c r="AL145" s="12">
        <f>'MCH2'!AL145/'MCH2'!AL3</f>
        <v>0</v>
      </c>
      <c r="AM145" s="12">
        <f>'MCH2'!AM145/'MCH2'!AM3</f>
        <v>0</v>
      </c>
      <c r="AN145" s="12">
        <f>'MCH2'!AN145/'MCH2'!AN3</f>
        <v>0</v>
      </c>
      <c r="AO145" s="12">
        <f>'MCH2'!AO145/'MCH2'!AO3</f>
        <v>0</v>
      </c>
      <c r="AP145" s="12">
        <f>'MCH2'!AP145/'MCH2'!AP3</f>
        <v>0</v>
      </c>
      <c r="AQ145" s="12">
        <f>'MCH2'!AQ145/'MCH2'!AQ3</f>
        <v>0</v>
      </c>
      <c r="AR145" s="12">
        <f>'MCH2'!AR145/'MCH2'!AR3</f>
        <v>0</v>
      </c>
      <c r="AS145" s="12">
        <f>'MCH2'!AS145/'MCH2'!AS3</f>
        <v>19.414415041782728</v>
      </c>
      <c r="AT145" s="12">
        <f>'MCH2'!AT145/'MCH2'!AT3</f>
        <v>0</v>
      </c>
      <c r="AU145" s="12">
        <f>'MCH2'!AU145/'MCH2'!AU3</f>
        <v>0</v>
      </c>
      <c r="AV145" s="12">
        <f>'MCH2'!AV145/'MCH2'!AV3</f>
        <v>0</v>
      </c>
      <c r="AW145" s="12">
        <f>'MCH2'!AW145/'MCH2'!AW3</f>
        <v>0</v>
      </c>
      <c r="AX145" s="12">
        <f>'MCH2'!AX145/'MCH2'!AX3</f>
        <v>0</v>
      </c>
      <c r="AY145" s="12">
        <f>'MCH2'!AY145/'MCH2'!AY3</f>
        <v>0</v>
      </c>
      <c r="AZ145" s="12">
        <f>'MCH2'!AZ145/'MCH2'!AZ3</f>
        <v>0</v>
      </c>
      <c r="BA145" s="12">
        <f>'MCH2'!BA145/'MCH2'!BA3</f>
        <v>0</v>
      </c>
      <c r="BB145" s="12">
        <f>'MCH2'!BB145/'MCH2'!BB3</f>
        <v>0</v>
      </c>
      <c r="BC145" s="12">
        <f>'MCH2'!BC145/'MCH2'!BC3</f>
        <v>0</v>
      </c>
      <c r="BD145" s="12">
        <f>'MCH2'!BD145/'MCH2'!BD3</f>
        <v>0</v>
      </c>
      <c r="BE145" s="12">
        <f>'MCH2'!BE145/'MCH2'!BE3</f>
        <v>0</v>
      </c>
      <c r="BF145" s="12">
        <f t="shared" si="93"/>
        <v>37.12512982515986</v>
      </c>
      <c r="BG145" s="12">
        <f t="shared" si="94"/>
        <v>17.710714783377128</v>
      </c>
      <c r="BH145" s="12">
        <f t="shared" si="95"/>
        <v>0</v>
      </c>
      <c r="BI145" s="12">
        <f t="shared" si="96"/>
        <v>19.414415041782728</v>
      </c>
    </row>
    <row r="146" spans="1:61" x14ac:dyDescent="0.25">
      <c r="C146" s="7">
        <v>494</v>
      </c>
      <c r="D146" s="7" t="s">
        <v>132</v>
      </c>
      <c r="E146" s="12">
        <f>'MCH2'!E146/'MCH2'!E3</f>
        <v>0</v>
      </c>
      <c r="F146" s="12">
        <f>'MCH2'!F146/'MCH2'!F3</f>
        <v>77.048372093023261</v>
      </c>
      <c r="G146" s="12">
        <f>'MCH2'!G146/'MCH2'!G3</f>
        <v>6.88343949044586</v>
      </c>
      <c r="H146" s="12">
        <f>'MCH2'!H146/'MCH2'!H3</f>
        <v>0</v>
      </c>
      <c r="I146" s="12">
        <f>'MCH2'!I146/'MCH2'!I3</f>
        <v>0</v>
      </c>
      <c r="J146" s="12">
        <f>'MCH2'!J146/'MCH2'!J3</f>
        <v>0</v>
      </c>
      <c r="K146" s="12">
        <f>'MCH2'!K146/'MCH2'!K3</f>
        <v>22.438300678221552</v>
      </c>
      <c r="L146" s="12">
        <f>'MCH2'!L146/'MCH2'!L3</f>
        <v>39.507518201962647</v>
      </c>
      <c r="M146" s="12">
        <f>'MCH2'!M146/'MCH2'!M3</f>
        <v>23.747161764705883</v>
      </c>
      <c r="N146" s="12">
        <f>'MCH2'!N146/'MCH2'!N3</f>
        <v>0</v>
      </c>
      <c r="O146" s="12">
        <f>'MCH2'!O146/'MCH2'!O3</f>
        <v>0</v>
      </c>
      <c r="P146" s="12">
        <f>'MCH2'!P146/'MCH2'!P3</f>
        <v>0</v>
      </c>
      <c r="Q146" s="12">
        <f>'MCH2'!Q146/'MCH2'!Q3</f>
        <v>0</v>
      </c>
      <c r="R146" s="12">
        <f>'MCH2'!R146/'MCH2'!R3</f>
        <v>0</v>
      </c>
      <c r="S146" s="12">
        <f>'MCH2'!S146/'MCH2'!S3</f>
        <v>0</v>
      </c>
      <c r="T146" s="12">
        <f>'MCH2'!T146/'MCH2'!T3</f>
        <v>0</v>
      </c>
      <c r="U146" s="12">
        <f>'MCH2'!U146/'MCH2'!U3</f>
        <v>0</v>
      </c>
      <c r="V146" s="12">
        <f>'MCH2'!V146/'MCH2'!V3</f>
        <v>0</v>
      </c>
      <c r="W146" s="12">
        <f>'MCH2'!W146/'MCH2'!W3</f>
        <v>0</v>
      </c>
      <c r="X146" s="12">
        <f>'MCH2'!X146/'MCH2'!X3</f>
        <v>0</v>
      </c>
      <c r="Y146" s="12">
        <f>'MCH2'!Y146/'MCH2'!Y3</f>
        <v>0</v>
      </c>
      <c r="Z146" s="12">
        <f>'MCH2'!Z146/'MCH2'!Z3</f>
        <v>0</v>
      </c>
      <c r="AA146" s="12">
        <f>'MCH2'!AA146/'MCH2'!AA3</f>
        <v>0</v>
      </c>
      <c r="AB146" s="12">
        <f>'MCH2'!AB146/'MCH2'!AB3</f>
        <v>0</v>
      </c>
      <c r="AC146" s="12">
        <f>'MCH2'!AC146/'MCH2'!AC3</f>
        <v>0</v>
      </c>
      <c r="AD146" s="12">
        <f>'MCH2'!AD146/'MCH2'!AD3</f>
        <v>0</v>
      </c>
      <c r="AE146" s="12">
        <f>'MCH2'!AE146/'MCH2'!AE3</f>
        <v>0</v>
      </c>
      <c r="AF146" s="12">
        <f>'MCH2'!AF146/'MCH2'!AF3</f>
        <v>0</v>
      </c>
      <c r="AG146" s="12">
        <f>'MCH2'!AG146/'MCH2'!AG3</f>
        <v>0</v>
      </c>
      <c r="AH146" s="12">
        <f>'MCH2'!AH146/'MCH2'!AH3</f>
        <v>0</v>
      </c>
      <c r="AI146" s="12">
        <f>'MCH2'!AI146/'MCH2'!AI3</f>
        <v>0</v>
      </c>
      <c r="AJ146" s="12">
        <f>'MCH2'!AJ146/'MCH2'!AJ3</f>
        <v>0</v>
      </c>
      <c r="AK146" s="12">
        <f>'MCH2'!AK146/'MCH2'!AK3</f>
        <v>0</v>
      </c>
      <c r="AL146" s="12">
        <f>'MCH2'!AL146/'MCH2'!AL3</f>
        <v>54.188420107719928</v>
      </c>
      <c r="AM146" s="12">
        <f>'MCH2'!AM146/'MCH2'!AM3</f>
        <v>0</v>
      </c>
      <c r="AN146" s="12">
        <f>'MCH2'!AN146/'MCH2'!AN3</f>
        <v>0</v>
      </c>
      <c r="AO146" s="12">
        <f>'MCH2'!AO146/'MCH2'!AO3</f>
        <v>0</v>
      </c>
      <c r="AP146" s="12">
        <f>'MCH2'!AP146/'MCH2'!AP3</f>
        <v>51.739359999999998</v>
      </c>
      <c r="AQ146" s="12">
        <f>'MCH2'!AQ146/'MCH2'!AQ3</f>
        <v>0</v>
      </c>
      <c r="AR146" s="12">
        <f>'MCH2'!AR146/'MCH2'!AR3</f>
        <v>0</v>
      </c>
      <c r="AS146" s="12">
        <f>'MCH2'!AS146/'MCH2'!AS3</f>
        <v>82.163927576601665</v>
      </c>
      <c r="AT146" s="12">
        <f>'MCH2'!AT146/'MCH2'!AT3</f>
        <v>0</v>
      </c>
      <c r="AU146" s="12">
        <f>'MCH2'!AU146/'MCH2'!AU3</f>
        <v>0</v>
      </c>
      <c r="AV146" s="12">
        <f>'MCH2'!AV146/'MCH2'!AV3</f>
        <v>0</v>
      </c>
      <c r="AW146" s="12">
        <f>'MCH2'!AW146/'MCH2'!AW3</f>
        <v>0</v>
      </c>
      <c r="AX146" s="12">
        <f>'MCH2'!AX146/'MCH2'!AX3</f>
        <v>38.252717391304351</v>
      </c>
      <c r="AY146" s="12">
        <f>'MCH2'!AY146/'MCH2'!AY3</f>
        <v>0</v>
      </c>
      <c r="AZ146" s="12">
        <f>'MCH2'!AZ146/'MCH2'!AZ3</f>
        <v>0</v>
      </c>
      <c r="BA146" s="12">
        <f>'MCH2'!BA146/'MCH2'!BA3</f>
        <v>0</v>
      </c>
      <c r="BB146" s="12">
        <f>'MCH2'!BB146/'MCH2'!BB3</f>
        <v>0</v>
      </c>
      <c r="BC146" s="12">
        <f>'MCH2'!BC146/'MCH2'!BC3</f>
        <v>0</v>
      </c>
      <c r="BD146" s="12">
        <f>'MCH2'!BD146/'MCH2'!BD3</f>
        <v>0</v>
      </c>
      <c r="BE146" s="12">
        <f>'MCH2'!BE146/'MCH2'!BE3</f>
        <v>0</v>
      </c>
      <c r="BF146" s="12">
        <f t="shared" si="93"/>
        <v>395.9692173039852</v>
      </c>
      <c r="BG146" s="12">
        <f t="shared" si="94"/>
        <v>169.62479222835921</v>
      </c>
      <c r="BH146" s="12">
        <f t="shared" si="95"/>
        <v>0</v>
      </c>
      <c r="BI146" s="12">
        <f t="shared" si="96"/>
        <v>226.34442507562594</v>
      </c>
    </row>
    <row r="147" spans="1:61" x14ac:dyDescent="0.25">
      <c r="C147" s="7">
        <v>495</v>
      </c>
      <c r="D147" s="7" t="s">
        <v>190</v>
      </c>
      <c r="E147" s="12">
        <f>'MCH2'!E147/'MCH2'!E3</f>
        <v>0</v>
      </c>
      <c r="F147" s="12">
        <f>'MCH2'!F147/'MCH2'!F3</f>
        <v>0</v>
      </c>
      <c r="G147" s="12">
        <f>'MCH2'!G147/'MCH2'!G3</f>
        <v>0</v>
      </c>
      <c r="H147" s="12">
        <f>'MCH2'!H147/'MCH2'!H3</f>
        <v>0.80725623582766437</v>
      </c>
      <c r="I147" s="12">
        <f>'MCH2'!I147/'MCH2'!I3</f>
        <v>0</v>
      </c>
      <c r="J147" s="12">
        <f>'MCH2'!J147/'MCH2'!J3</f>
        <v>0</v>
      </c>
      <c r="K147" s="12">
        <f>'MCH2'!K147/'MCH2'!K3</f>
        <v>0</v>
      </c>
      <c r="L147" s="12">
        <f>'MCH2'!L147/'MCH2'!L3</f>
        <v>0</v>
      </c>
      <c r="M147" s="12">
        <f>'MCH2'!M147/'MCH2'!M3</f>
        <v>0</v>
      </c>
      <c r="N147" s="12">
        <f>'MCH2'!N147/'MCH2'!N3</f>
        <v>0</v>
      </c>
      <c r="O147" s="12">
        <f>'MCH2'!O147/'MCH2'!O3</f>
        <v>0</v>
      </c>
      <c r="P147" s="12">
        <f>'MCH2'!P147/'MCH2'!P3</f>
        <v>0</v>
      </c>
      <c r="Q147" s="12">
        <f>'MCH2'!Q147/'MCH2'!Q3</f>
        <v>0</v>
      </c>
      <c r="R147" s="12">
        <f>'MCH2'!R147/'MCH2'!R3</f>
        <v>0</v>
      </c>
      <c r="S147" s="12">
        <f>'MCH2'!S147/'MCH2'!S3</f>
        <v>0</v>
      </c>
      <c r="T147" s="12">
        <f>'MCH2'!T147/'MCH2'!T3</f>
        <v>0</v>
      </c>
      <c r="U147" s="12">
        <f>'MCH2'!U147/'MCH2'!U3</f>
        <v>0</v>
      </c>
      <c r="V147" s="12">
        <f>'MCH2'!V147/'MCH2'!V3</f>
        <v>0</v>
      </c>
      <c r="W147" s="12">
        <f>'MCH2'!W147/'MCH2'!W3</f>
        <v>0</v>
      </c>
      <c r="X147" s="12">
        <f>'MCH2'!X147/'MCH2'!X3</f>
        <v>0</v>
      </c>
      <c r="Y147" s="12">
        <f>'MCH2'!Y147/'MCH2'!Y3</f>
        <v>0</v>
      </c>
      <c r="Z147" s="12">
        <f>'MCH2'!Z147/'MCH2'!Z3</f>
        <v>0</v>
      </c>
      <c r="AA147" s="12">
        <f>'MCH2'!AA147/'MCH2'!AA3</f>
        <v>0</v>
      </c>
      <c r="AB147" s="12">
        <f>'MCH2'!AB147/'MCH2'!AB3</f>
        <v>0</v>
      </c>
      <c r="AC147" s="12">
        <f>'MCH2'!AC147/'MCH2'!AC3</f>
        <v>0</v>
      </c>
      <c r="AD147" s="12">
        <f>'MCH2'!AD147/'MCH2'!AD3</f>
        <v>0</v>
      </c>
      <c r="AE147" s="12">
        <f>'MCH2'!AE147/'MCH2'!AE3</f>
        <v>0</v>
      </c>
      <c r="AF147" s="12">
        <f>'MCH2'!AF147/'MCH2'!AF3</f>
        <v>0</v>
      </c>
      <c r="AG147" s="12">
        <f>'MCH2'!AG147/'MCH2'!AG3</f>
        <v>0</v>
      </c>
      <c r="AH147" s="12">
        <f>'MCH2'!AH147/'MCH2'!AH3</f>
        <v>0</v>
      </c>
      <c r="AI147" s="12">
        <f>'MCH2'!AI147/'MCH2'!AI3</f>
        <v>0</v>
      </c>
      <c r="AJ147" s="12">
        <f>'MCH2'!AJ147/'MCH2'!AJ3</f>
        <v>0</v>
      </c>
      <c r="AK147" s="12">
        <f>'MCH2'!AK147/'MCH2'!AK3</f>
        <v>0</v>
      </c>
      <c r="AL147" s="12">
        <f>'MCH2'!AL147/'MCH2'!AL3</f>
        <v>0</v>
      </c>
      <c r="AM147" s="12">
        <f>'MCH2'!AM147/'MCH2'!AM3</f>
        <v>0</v>
      </c>
      <c r="AN147" s="12">
        <f>'MCH2'!AN147/'MCH2'!AN3</f>
        <v>0</v>
      </c>
      <c r="AO147" s="12">
        <f>'MCH2'!AO147/'MCH2'!AO3</f>
        <v>0</v>
      </c>
      <c r="AP147" s="12">
        <f>'MCH2'!AP147/'MCH2'!AP3</f>
        <v>0</v>
      </c>
      <c r="AQ147" s="12">
        <f>'MCH2'!AQ147/'MCH2'!AQ3</f>
        <v>0</v>
      </c>
      <c r="AR147" s="12">
        <f>'MCH2'!AR147/'MCH2'!AR3</f>
        <v>0</v>
      </c>
      <c r="AS147" s="12">
        <f>'MCH2'!AS147/'MCH2'!AS3</f>
        <v>0</v>
      </c>
      <c r="AT147" s="12">
        <f>'MCH2'!AT147/'MCH2'!AT3</f>
        <v>0</v>
      </c>
      <c r="AU147" s="12">
        <f>'MCH2'!AU147/'MCH2'!AU3</f>
        <v>0</v>
      </c>
      <c r="AV147" s="12">
        <f>'MCH2'!AV147/'MCH2'!AV3</f>
        <v>0</v>
      </c>
      <c r="AW147" s="12">
        <f>'MCH2'!AW147/'MCH2'!AW3</f>
        <v>0</v>
      </c>
      <c r="AX147" s="12">
        <f>'MCH2'!AX147/'MCH2'!AX3</f>
        <v>0</v>
      </c>
      <c r="AY147" s="12">
        <f>'MCH2'!AY147/'MCH2'!AY3</f>
        <v>0</v>
      </c>
      <c r="AZ147" s="12">
        <f>'MCH2'!AZ147/'MCH2'!AZ3</f>
        <v>0</v>
      </c>
      <c r="BA147" s="12">
        <f>'MCH2'!BA147/'MCH2'!BA3</f>
        <v>0</v>
      </c>
      <c r="BB147" s="12">
        <f>'MCH2'!BB147/'MCH2'!BB3</f>
        <v>0</v>
      </c>
      <c r="BC147" s="12">
        <f>'MCH2'!BC147/'MCH2'!BC3</f>
        <v>0</v>
      </c>
      <c r="BD147" s="12">
        <f>'MCH2'!BD147/'MCH2'!BD3</f>
        <v>0</v>
      </c>
      <c r="BE147" s="12">
        <f>'MCH2'!BE147/'MCH2'!BE3</f>
        <v>0</v>
      </c>
      <c r="BF147" s="12">
        <f t="shared" si="93"/>
        <v>0.80725623582766437</v>
      </c>
      <c r="BG147" s="12">
        <f t="shared" si="94"/>
        <v>0.80725623582766437</v>
      </c>
      <c r="BH147" s="12">
        <f t="shared" si="95"/>
        <v>0</v>
      </c>
      <c r="BI147" s="12">
        <f t="shared" si="96"/>
        <v>0</v>
      </c>
    </row>
    <row r="148" spans="1:61" x14ac:dyDescent="0.25">
      <c r="C148" s="7">
        <v>498</v>
      </c>
      <c r="D148" s="7" t="s">
        <v>191</v>
      </c>
      <c r="E148" s="12">
        <f>'MCH2'!E148/'MCH2'!E3</f>
        <v>0</v>
      </c>
      <c r="F148" s="12">
        <f>'MCH2'!F148/'MCH2'!F3</f>
        <v>0</v>
      </c>
      <c r="G148" s="12">
        <f>'MCH2'!G148/'MCH2'!G3</f>
        <v>0</v>
      </c>
      <c r="H148" s="12">
        <f>'MCH2'!H148/'MCH2'!H3</f>
        <v>0</v>
      </c>
      <c r="I148" s="12">
        <f>'MCH2'!I148/'MCH2'!I3</f>
        <v>0</v>
      </c>
      <c r="J148" s="12">
        <f>'MCH2'!J148/'MCH2'!J3</f>
        <v>0</v>
      </c>
      <c r="K148" s="12">
        <f>'MCH2'!K148/'MCH2'!K3</f>
        <v>0</v>
      </c>
      <c r="L148" s="12">
        <f>'MCH2'!L148/'MCH2'!L3</f>
        <v>189.52460113960112</v>
      </c>
      <c r="M148" s="12">
        <f>'MCH2'!M148/'MCH2'!M3</f>
        <v>0</v>
      </c>
      <c r="N148" s="12">
        <f>'MCH2'!N148/'MCH2'!N3</f>
        <v>0</v>
      </c>
      <c r="O148" s="12">
        <f>'MCH2'!O148/'MCH2'!O3</f>
        <v>0</v>
      </c>
      <c r="P148" s="12">
        <f>'MCH2'!P148/'MCH2'!P3</f>
        <v>0</v>
      </c>
      <c r="Q148" s="12">
        <f>'MCH2'!Q148/'MCH2'!Q3</f>
        <v>0</v>
      </c>
      <c r="R148" s="12">
        <f>'MCH2'!R148/'MCH2'!R3</f>
        <v>0</v>
      </c>
      <c r="S148" s="12">
        <f>'MCH2'!S148/'MCH2'!S3</f>
        <v>0</v>
      </c>
      <c r="T148" s="12">
        <f>'MCH2'!T148/'MCH2'!T3</f>
        <v>0</v>
      </c>
      <c r="U148" s="12">
        <f>'MCH2'!U148/'MCH2'!U3</f>
        <v>0</v>
      </c>
      <c r="V148" s="12">
        <f>'MCH2'!V148/'MCH2'!V3</f>
        <v>0</v>
      </c>
      <c r="W148" s="12">
        <f>'MCH2'!W148/'MCH2'!W3</f>
        <v>0</v>
      </c>
      <c r="X148" s="12">
        <f>'MCH2'!X148/'MCH2'!X3</f>
        <v>0</v>
      </c>
      <c r="Y148" s="12">
        <f>'MCH2'!Y148/'MCH2'!Y3</f>
        <v>0</v>
      </c>
      <c r="Z148" s="12">
        <f>'MCH2'!Z148/'MCH2'!Z3</f>
        <v>0</v>
      </c>
      <c r="AA148" s="12">
        <f>'MCH2'!AA148/'MCH2'!AA3</f>
        <v>0</v>
      </c>
      <c r="AB148" s="12">
        <f>'MCH2'!AB148/'MCH2'!AB3</f>
        <v>0</v>
      </c>
      <c r="AC148" s="12">
        <f>'MCH2'!AC148/'MCH2'!AC3</f>
        <v>0</v>
      </c>
      <c r="AD148" s="12">
        <f>'MCH2'!AD148/'MCH2'!AD3</f>
        <v>0</v>
      </c>
      <c r="AE148" s="12">
        <f>'MCH2'!AE148/'MCH2'!AE3</f>
        <v>0</v>
      </c>
      <c r="AF148" s="12">
        <f>'MCH2'!AF148/'MCH2'!AF3</f>
        <v>0</v>
      </c>
      <c r="AG148" s="12">
        <f>'MCH2'!AG148/'MCH2'!AG3</f>
        <v>0</v>
      </c>
      <c r="AH148" s="12">
        <f>'MCH2'!AH148/'MCH2'!AH3</f>
        <v>0</v>
      </c>
      <c r="AI148" s="12">
        <f>'MCH2'!AI148/'MCH2'!AI3</f>
        <v>0</v>
      </c>
      <c r="AJ148" s="12">
        <f>'MCH2'!AJ148/'MCH2'!AJ3</f>
        <v>0</v>
      </c>
      <c r="AK148" s="12">
        <f>'MCH2'!AK148/'MCH2'!AK3</f>
        <v>0</v>
      </c>
      <c r="AL148" s="12">
        <f>'MCH2'!AL148/'MCH2'!AL3</f>
        <v>0</v>
      </c>
      <c r="AM148" s="12">
        <f>'MCH2'!AM148/'MCH2'!AM3</f>
        <v>0</v>
      </c>
      <c r="AN148" s="12">
        <f>'MCH2'!AN148/'MCH2'!AN3</f>
        <v>0</v>
      </c>
      <c r="AO148" s="12">
        <f>'MCH2'!AO148/'MCH2'!AO3</f>
        <v>0</v>
      </c>
      <c r="AP148" s="12">
        <f>'MCH2'!AP148/'MCH2'!AP3</f>
        <v>0</v>
      </c>
      <c r="AQ148" s="12">
        <f>'MCH2'!AQ148/'MCH2'!AQ3</f>
        <v>0</v>
      </c>
      <c r="AR148" s="12">
        <f>'MCH2'!AR148/'MCH2'!AR3</f>
        <v>0</v>
      </c>
      <c r="AS148" s="12">
        <f>'MCH2'!AS148/'MCH2'!AS3</f>
        <v>0</v>
      </c>
      <c r="AT148" s="12">
        <f>'MCH2'!AT148/'MCH2'!AT3</f>
        <v>0</v>
      </c>
      <c r="AU148" s="12">
        <f>'MCH2'!AU148/'MCH2'!AU3</f>
        <v>0</v>
      </c>
      <c r="AV148" s="12">
        <f>'MCH2'!AV148/'MCH2'!AV3</f>
        <v>0</v>
      </c>
      <c r="AW148" s="12">
        <f>'MCH2'!AW148/'MCH2'!AW3</f>
        <v>0</v>
      </c>
      <c r="AX148" s="12">
        <f>'MCH2'!AX148/'MCH2'!AX3</f>
        <v>0</v>
      </c>
      <c r="AY148" s="12">
        <f>'MCH2'!AY148/'MCH2'!AY3</f>
        <v>0</v>
      </c>
      <c r="AZ148" s="12">
        <f>'MCH2'!AZ148/'MCH2'!AZ3</f>
        <v>0</v>
      </c>
      <c r="BA148" s="12">
        <f>'MCH2'!BA148/'MCH2'!BA3</f>
        <v>0</v>
      </c>
      <c r="BB148" s="12">
        <f>'MCH2'!BB148/'MCH2'!BB3</f>
        <v>0</v>
      </c>
      <c r="BC148" s="12">
        <f>'MCH2'!BC148/'MCH2'!BC3</f>
        <v>0</v>
      </c>
      <c r="BD148" s="12">
        <f>'MCH2'!BD148/'MCH2'!BD3</f>
        <v>0</v>
      </c>
      <c r="BE148" s="12">
        <f>'MCH2'!BE148/'MCH2'!BE3</f>
        <v>0</v>
      </c>
      <c r="BF148" s="12">
        <f t="shared" si="93"/>
        <v>189.52460113960112</v>
      </c>
      <c r="BG148" s="12">
        <f t="shared" si="94"/>
        <v>189.52460113960112</v>
      </c>
      <c r="BH148" s="12">
        <f t="shared" si="95"/>
        <v>0</v>
      </c>
      <c r="BI148" s="12">
        <f t="shared" si="96"/>
        <v>0</v>
      </c>
    </row>
    <row r="149" spans="1:61" x14ac:dyDescent="0.25">
      <c r="C149" s="7">
        <v>499</v>
      </c>
      <c r="D149" s="7" t="s">
        <v>135</v>
      </c>
      <c r="E149" s="12">
        <f>'MCH2'!E149/'MCH2'!E3</f>
        <v>0</v>
      </c>
      <c r="F149" s="12">
        <f>'MCH2'!F149/'MCH2'!F3</f>
        <v>0</v>
      </c>
      <c r="G149" s="12">
        <f>'MCH2'!G149/'MCH2'!G3</f>
        <v>0</v>
      </c>
      <c r="H149" s="12">
        <f>'MCH2'!H149/'MCH2'!H3</f>
        <v>0</v>
      </c>
      <c r="I149" s="12">
        <f>'MCH2'!I149/'MCH2'!I3</f>
        <v>0</v>
      </c>
      <c r="J149" s="12">
        <f>'MCH2'!J149/'MCH2'!J3</f>
        <v>0</v>
      </c>
      <c r="K149" s="12">
        <f>'MCH2'!K149/'MCH2'!K3</f>
        <v>0</v>
      </c>
      <c r="L149" s="12">
        <f>'MCH2'!L149/'MCH2'!L3</f>
        <v>-0.15344808483697372</v>
      </c>
      <c r="M149" s="12">
        <f>'MCH2'!M149/'MCH2'!M3</f>
        <v>0</v>
      </c>
      <c r="N149" s="12">
        <f>'MCH2'!N149/'MCH2'!N3</f>
        <v>0</v>
      </c>
      <c r="O149" s="12">
        <f>'MCH2'!O149/'MCH2'!O3</f>
        <v>0</v>
      </c>
      <c r="P149" s="12">
        <f>'MCH2'!P149/'MCH2'!P3</f>
        <v>0</v>
      </c>
      <c r="Q149" s="12">
        <f>'MCH2'!Q149/'MCH2'!Q3</f>
        <v>0</v>
      </c>
      <c r="R149" s="12">
        <f>'MCH2'!R149/'MCH2'!R3</f>
        <v>0</v>
      </c>
      <c r="S149" s="12">
        <f>'MCH2'!S149/'MCH2'!S3</f>
        <v>0</v>
      </c>
      <c r="T149" s="12">
        <f>'MCH2'!T149/'MCH2'!T3</f>
        <v>0</v>
      </c>
      <c r="U149" s="12">
        <f>'MCH2'!U149/'MCH2'!U3</f>
        <v>0</v>
      </c>
      <c r="V149" s="12">
        <f>'MCH2'!V149/'MCH2'!V3</f>
        <v>0</v>
      </c>
      <c r="W149" s="12">
        <f>'MCH2'!W149/'MCH2'!W3</f>
        <v>0.91324200913242004</v>
      </c>
      <c r="X149" s="12">
        <f>'MCH2'!X149/'MCH2'!X3</f>
        <v>0</v>
      </c>
      <c r="Y149" s="12">
        <f>'MCH2'!Y149/'MCH2'!Y3</f>
        <v>0</v>
      </c>
      <c r="Z149" s="12">
        <f>'MCH2'!Z149/'MCH2'!Z3</f>
        <v>0</v>
      </c>
      <c r="AA149" s="12">
        <f>'MCH2'!AA149/'MCH2'!AA3</f>
        <v>0</v>
      </c>
      <c r="AB149" s="12">
        <f>'MCH2'!AB149/'MCH2'!AB3</f>
        <v>0</v>
      </c>
      <c r="AC149" s="12">
        <f>'MCH2'!AC149/'MCH2'!AC3</f>
        <v>0</v>
      </c>
      <c r="AD149" s="12">
        <f>'MCH2'!AD149/'MCH2'!AD3</f>
        <v>0</v>
      </c>
      <c r="AE149" s="12">
        <f>'MCH2'!AE149/'MCH2'!AE3</f>
        <v>0</v>
      </c>
      <c r="AF149" s="12">
        <f>'MCH2'!AF149/'MCH2'!AF3</f>
        <v>0</v>
      </c>
      <c r="AG149" s="12">
        <f>'MCH2'!AG149/'MCH2'!AG3</f>
        <v>0</v>
      </c>
      <c r="AH149" s="12">
        <f>'MCH2'!AH149/'MCH2'!AH3</f>
        <v>0</v>
      </c>
      <c r="AI149" s="12">
        <f>'MCH2'!AI149/'MCH2'!AI3</f>
        <v>0</v>
      </c>
      <c r="AJ149" s="12">
        <f>'MCH2'!AJ149/'MCH2'!AJ3</f>
        <v>0</v>
      </c>
      <c r="AK149" s="12">
        <f>'MCH2'!AK149/'MCH2'!AK3</f>
        <v>0</v>
      </c>
      <c r="AL149" s="12">
        <f>'MCH2'!AL149/'MCH2'!AL3</f>
        <v>0</v>
      </c>
      <c r="AM149" s="12">
        <f>'MCH2'!AM149/'MCH2'!AM3</f>
        <v>0</v>
      </c>
      <c r="AN149" s="12">
        <f>'MCH2'!AN149/'MCH2'!AN3</f>
        <v>0</v>
      </c>
      <c r="AO149" s="12">
        <f>'MCH2'!AO149/'MCH2'!AO3</f>
        <v>0</v>
      </c>
      <c r="AP149" s="12">
        <f>'MCH2'!AP149/'MCH2'!AP3</f>
        <v>0</v>
      </c>
      <c r="AQ149" s="12">
        <f>'MCH2'!AQ149/'MCH2'!AQ3</f>
        <v>0</v>
      </c>
      <c r="AR149" s="12">
        <f>'MCH2'!AR149/'MCH2'!AR3</f>
        <v>0</v>
      </c>
      <c r="AS149" s="12">
        <f>'MCH2'!AS149/'MCH2'!AS3</f>
        <v>0</v>
      </c>
      <c r="AT149" s="12">
        <f>'MCH2'!AT149/'MCH2'!AT3</f>
        <v>0</v>
      </c>
      <c r="AU149" s="12">
        <f>'MCH2'!AU149/'MCH2'!AU3</f>
        <v>0</v>
      </c>
      <c r="AV149" s="12">
        <f>'MCH2'!AV149/'MCH2'!AV3</f>
        <v>0</v>
      </c>
      <c r="AW149" s="12">
        <f>'MCH2'!AW149/'MCH2'!AW3</f>
        <v>0</v>
      </c>
      <c r="AX149" s="12">
        <f>'MCH2'!AX149/'MCH2'!AX3</f>
        <v>0</v>
      </c>
      <c r="AY149" s="12">
        <f>'MCH2'!AY149/'MCH2'!AY3</f>
        <v>0</v>
      </c>
      <c r="AZ149" s="12">
        <f>'MCH2'!AZ149/'MCH2'!AZ3</f>
        <v>2.0908004778972522</v>
      </c>
      <c r="BA149" s="12">
        <f>'MCH2'!BA149/'MCH2'!BA3</f>
        <v>0</v>
      </c>
      <c r="BB149" s="12">
        <f>'MCH2'!BB149/'MCH2'!BB3</f>
        <v>0</v>
      </c>
      <c r="BC149" s="12">
        <f>'MCH2'!BC149/'MCH2'!BC3</f>
        <v>0</v>
      </c>
      <c r="BD149" s="12">
        <f>'MCH2'!BD149/'MCH2'!BD3</f>
        <v>0</v>
      </c>
      <c r="BE149" s="12">
        <f>'MCH2'!BE149/'MCH2'!BE3</f>
        <v>0</v>
      </c>
      <c r="BF149" s="12">
        <f t="shared" si="93"/>
        <v>2.8505944021926988</v>
      </c>
      <c r="BG149" s="12">
        <f t="shared" si="94"/>
        <v>0.75979392429544634</v>
      </c>
      <c r="BH149" s="12">
        <f t="shared" si="95"/>
        <v>0</v>
      </c>
      <c r="BI149" s="12">
        <f t="shared" si="96"/>
        <v>2.0908004778972522</v>
      </c>
    </row>
    <row r="150" spans="1:61" x14ac:dyDescent="0.25">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row>
    <row r="151" spans="1:61" x14ac:dyDescent="0.25">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row>
    <row r="152" spans="1:61" x14ac:dyDescent="0.25">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f t="shared" ref="BF152" si="97">SUM(E152:BE152)</f>
        <v>0</v>
      </c>
      <c r="BG152" s="12">
        <f t="shared" ref="BG152" si="98">SUM(E152:W152)</f>
        <v>0</v>
      </c>
      <c r="BH152" s="12">
        <f t="shared" ref="BH152" si="99">SUM(X152:AJ152)</f>
        <v>0</v>
      </c>
      <c r="BI152" s="12">
        <f t="shared" ref="BI152" si="100">SUM(AK152:BE152)</f>
        <v>0</v>
      </c>
    </row>
    <row r="153" spans="1:61" x14ac:dyDescent="0.25">
      <c r="A153" s="70">
        <v>9</v>
      </c>
      <c r="B153" s="70"/>
      <c r="C153" s="70"/>
      <c r="D153" s="70" t="s">
        <v>193</v>
      </c>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1"/>
      <c r="AO153" s="71"/>
      <c r="AP153" s="71"/>
      <c r="AQ153" s="71"/>
      <c r="AR153" s="71"/>
      <c r="AS153" s="71"/>
      <c r="AT153" s="71"/>
      <c r="AU153" s="71"/>
      <c r="AV153" s="71"/>
      <c r="AW153" s="71"/>
      <c r="AX153" s="71"/>
      <c r="AY153" s="71"/>
      <c r="AZ153" s="71"/>
      <c r="BA153" s="71"/>
      <c r="BB153" s="71"/>
      <c r="BC153" s="71"/>
      <c r="BD153" s="71"/>
      <c r="BE153" s="71"/>
      <c r="BF153" s="71"/>
      <c r="BG153" s="71"/>
      <c r="BH153" s="71"/>
      <c r="BI153" s="71"/>
    </row>
    <row r="154" spans="1:61" x14ac:dyDescent="0.25">
      <c r="A154" s="70"/>
      <c r="B154" s="70">
        <v>90</v>
      </c>
      <c r="C154" s="70"/>
      <c r="D154" s="70" t="s">
        <v>194</v>
      </c>
      <c r="E154" s="72">
        <f>E155+E156</f>
        <v>122.16904311251315</v>
      </c>
      <c r="F154" s="72">
        <f t="shared" ref="F154:BI154" si="101">F155+F156</f>
        <v>-778.28844961240304</v>
      </c>
      <c r="G154" s="72">
        <f t="shared" si="101"/>
        <v>589.0459023354565</v>
      </c>
      <c r="H154" s="72">
        <f t="shared" si="101"/>
        <v>-124.48074829931973</v>
      </c>
      <c r="I154" s="72">
        <f t="shared" si="101"/>
        <v>45.245311991318495</v>
      </c>
      <c r="J154" s="72">
        <f t="shared" si="101"/>
        <v>95.802864473287059</v>
      </c>
      <c r="K154" s="72">
        <f t="shared" si="101"/>
        <v>176.9713489073097</v>
      </c>
      <c r="L154" s="72">
        <f t="shared" si="101"/>
        <v>-82.47297958214628</v>
      </c>
      <c r="M154" s="72">
        <f t="shared" si="101"/>
        <v>-83.245176470588206</v>
      </c>
      <c r="N154" s="72">
        <f t="shared" si="101"/>
        <v>45.545267857142861</v>
      </c>
      <c r="O154" s="72">
        <f t="shared" si="101"/>
        <v>148.38376827435442</v>
      </c>
      <c r="P154" s="72">
        <f t="shared" si="101"/>
        <v>-99.46563218390807</v>
      </c>
      <c r="Q154" s="72">
        <f t="shared" si="101"/>
        <v>257.86424528301887</v>
      </c>
      <c r="R154" s="72">
        <f t="shared" si="101"/>
        <v>-125.36124705882352</v>
      </c>
      <c r="S154" s="72">
        <f t="shared" si="101"/>
        <v>582.97285714285704</v>
      </c>
      <c r="T154" s="72">
        <f t="shared" si="101"/>
        <v>367.62904502046388</v>
      </c>
      <c r="U154" s="72">
        <f t="shared" si="101"/>
        <v>-194.38162962962966</v>
      </c>
      <c r="V154" s="72">
        <f t="shared" si="101"/>
        <v>-82.592589928057549</v>
      </c>
      <c r="W154" s="72">
        <f t="shared" si="101"/>
        <v>127.38053576864536</v>
      </c>
      <c r="X154" s="72">
        <f t="shared" si="101"/>
        <v>208.09876623376624</v>
      </c>
      <c r="Y154" s="72">
        <f t="shared" si="101"/>
        <v>698.83922893481724</v>
      </c>
      <c r="Z154" s="72">
        <f t="shared" si="101"/>
        <v>1224.738569553806</v>
      </c>
      <c r="AA154" s="72">
        <f t="shared" si="101"/>
        <v>-1339.9718390804599</v>
      </c>
      <c r="AB154" s="72">
        <f t="shared" si="101"/>
        <v>241.72570512820513</v>
      </c>
      <c r="AC154" s="72">
        <f t="shared" si="101"/>
        <v>14.386333333333333</v>
      </c>
      <c r="AD154" s="72">
        <f t="shared" si="101"/>
        <v>76.978921985815617</v>
      </c>
      <c r="AE154" s="72">
        <f t="shared" si="101"/>
        <v>-468.79455535390201</v>
      </c>
      <c r="AF154" s="72">
        <f t="shared" si="101"/>
        <v>-246.50240704500979</v>
      </c>
      <c r="AG154" s="72">
        <f t="shared" si="101"/>
        <v>604.82086225026296</v>
      </c>
      <c r="AH154" s="72">
        <f t="shared" si="101"/>
        <v>192.47978640776699</v>
      </c>
      <c r="AI154" s="72">
        <f t="shared" si="101"/>
        <v>213.29872807017543</v>
      </c>
      <c r="AJ154" s="72">
        <f t="shared" si="101"/>
        <v>418.24381355932201</v>
      </c>
      <c r="AK154" s="72">
        <f t="shared" si="101"/>
        <v>327.98194473963866</v>
      </c>
      <c r="AL154" s="72">
        <f t="shared" si="101"/>
        <v>90.163213644524234</v>
      </c>
      <c r="AM154" s="72">
        <f t="shared" si="101"/>
        <v>-18.427699260476583</v>
      </c>
      <c r="AN154" s="72">
        <f t="shared" si="101"/>
        <v>-80.702905982905989</v>
      </c>
      <c r="AO154" s="72">
        <f t="shared" si="101"/>
        <v>93.493178423236515</v>
      </c>
      <c r="AP154" s="72">
        <f t="shared" si="101"/>
        <v>-45.544384000000008</v>
      </c>
      <c r="AQ154" s="72">
        <f t="shared" si="101"/>
        <v>-167.21828843106181</v>
      </c>
      <c r="AR154" s="72">
        <f t="shared" si="101"/>
        <v>12.001278431372549</v>
      </c>
      <c r="AS154" s="72">
        <f t="shared" si="101"/>
        <v>-227.74509749303621</v>
      </c>
      <c r="AT154" s="72">
        <f t="shared" si="101"/>
        <v>-96.097819253438118</v>
      </c>
      <c r="AU154" s="72">
        <f t="shared" si="101"/>
        <v>-728.66921501706474</v>
      </c>
      <c r="AV154" s="72">
        <f t="shared" si="101"/>
        <v>71.759798767967141</v>
      </c>
      <c r="AW154" s="72">
        <f t="shared" si="101"/>
        <v>64.196348600508898</v>
      </c>
      <c r="AX154" s="72">
        <f t="shared" si="101"/>
        <v>-240.11483695652171</v>
      </c>
      <c r="AY154" s="72">
        <f t="shared" si="101"/>
        <v>-262.2445645645646</v>
      </c>
      <c r="AZ154" s="72">
        <f t="shared" si="101"/>
        <v>4.3155017921147163</v>
      </c>
      <c r="BA154" s="72">
        <f t="shared" si="101"/>
        <v>335.4952429667519</v>
      </c>
      <c r="BB154" s="72">
        <f t="shared" si="101"/>
        <v>129.1938878326996</v>
      </c>
      <c r="BC154" s="72">
        <f t="shared" si="101"/>
        <v>8.6632795698924721</v>
      </c>
      <c r="BD154" s="72">
        <f t="shared" si="101"/>
        <v>161.77976245924543</v>
      </c>
      <c r="BE154" s="72">
        <f t="shared" si="101"/>
        <v>119.15054945054945</v>
      </c>
      <c r="BF154" s="72">
        <f t="shared" si="101"/>
        <v>2378.4928270988235</v>
      </c>
      <c r="BG154" s="72">
        <f t="shared" si="101"/>
        <v>988.72173740149083</v>
      </c>
      <c r="BH154" s="72">
        <f t="shared" si="101"/>
        <v>1838.3419139778991</v>
      </c>
      <c r="BI154" s="72">
        <f t="shared" si="101"/>
        <v>-448.5708242805681</v>
      </c>
    </row>
    <row r="155" spans="1:61" x14ac:dyDescent="0.25">
      <c r="C155" s="7">
        <v>900</v>
      </c>
      <c r="D155" s="7" t="s">
        <v>195</v>
      </c>
      <c r="E155" s="12">
        <f>'MCH2'!E155/'MCH2'!E3</f>
        <v>-216.7379705573081</v>
      </c>
      <c r="F155" s="12">
        <f>'MCH2'!F155/'MCH2'!F3</f>
        <v>-895.08426356589143</v>
      </c>
      <c r="G155" s="12">
        <f>'MCH2'!G155/'MCH2'!G3</f>
        <v>501.29515923566879</v>
      </c>
      <c r="H155" s="12">
        <f>'MCH2'!H155/'MCH2'!H3</f>
        <v>-225.68539682539682</v>
      </c>
      <c r="I155" s="12">
        <f>'MCH2'!I155/'MCH2'!I3</f>
        <v>1.9508817145957678</v>
      </c>
      <c r="J155" s="12">
        <f>'MCH2'!J155/'MCH2'!J3</f>
        <v>0</v>
      </c>
      <c r="K155" s="12">
        <f>'MCH2'!K155/'MCH2'!K3</f>
        <v>8.9575244913338352</v>
      </c>
      <c r="L155" s="12">
        <f>'MCH2'!L155/'MCH2'!L3</f>
        <v>-257.47813706869266</v>
      </c>
      <c r="M155" s="12">
        <f>'MCH2'!M155/'MCH2'!M3</f>
        <v>-212.49387499999997</v>
      </c>
      <c r="N155" s="12">
        <f>'MCH2'!N155/'MCH2'!N3</f>
        <v>27.678482142857142</v>
      </c>
      <c r="O155" s="12">
        <f>'MCH2'!O155/'MCH2'!O3</f>
        <v>52.388584506080065</v>
      </c>
      <c r="P155" s="12">
        <f>'MCH2'!P155/'MCH2'!P3</f>
        <v>-166.14802681992339</v>
      </c>
      <c r="Q155" s="12">
        <f>'MCH2'!Q155/'MCH2'!Q3</f>
        <v>18.480754716981131</v>
      </c>
      <c r="R155" s="12">
        <f>'MCH2'!R155/'MCH2'!R3</f>
        <v>-77.373435294117641</v>
      </c>
      <c r="S155" s="12">
        <f>'MCH2'!S155/'MCH2'!S3</f>
        <v>393.81362857142852</v>
      </c>
      <c r="T155" s="12">
        <f>'MCH2'!T155/'MCH2'!T3</f>
        <v>137.26968622100955</v>
      </c>
      <c r="U155" s="12">
        <f>'MCH2'!U155/'MCH2'!U3</f>
        <v>-337.8710740740741</v>
      </c>
      <c r="V155" s="12">
        <f>'MCH2'!V155/'MCH2'!V3</f>
        <v>-201.06002398081534</v>
      </c>
      <c r="W155" s="12">
        <f>'MCH2'!W155/'MCH2'!W3</f>
        <v>2.8692176560121765</v>
      </c>
      <c r="X155" s="12">
        <f>'MCH2'!X155/'MCH2'!X3</f>
        <v>231.4262012987013</v>
      </c>
      <c r="Y155" s="12">
        <f>'MCH2'!Y155/'MCH2'!Y3</f>
        <v>605.86321144674093</v>
      </c>
      <c r="Z155" s="12">
        <f>'MCH2'!Z155/'MCH2'!Z3</f>
        <v>1049.8328937007875</v>
      </c>
      <c r="AA155" s="12">
        <f>'MCH2'!AA155/'MCH2'!AA3</f>
        <v>-1308.2568965517241</v>
      </c>
      <c r="AB155" s="12">
        <f>'MCH2'!AB155/'MCH2'!AB3</f>
        <v>38.329230769230769</v>
      </c>
      <c r="AC155" s="12">
        <f>'MCH2'!AC155/'MCH2'!AC3</f>
        <v>14.86321568627451</v>
      </c>
      <c r="AD155" s="12">
        <f>'MCH2'!AD155/'MCH2'!AD3</f>
        <v>-100.50878014184397</v>
      </c>
      <c r="AE155" s="12">
        <f>'MCH2'!AE155/'MCH2'!AE3</f>
        <v>-262.32940108892922</v>
      </c>
      <c r="AF155" s="12">
        <f>'MCH2'!AF155/'MCH2'!AF3</f>
        <v>-409.48256360078278</v>
      </c>
      <c r="AG155" s="12">
        <f>'MCH2'!AG155/'MCH2'!AG3</f>
        <v>300.05475814931651</v>
      </c>
      <c r="AH155" s="12">
        <f>'MCH2'!AH155/'MCH2'!AH3</f>
        <v>34.841728155339801</v>
      </c>
      <c r="AI155" s="12">
        <f>'MCH2'!AI155/'MCH2'!AI3</f>
        <v>-26.995701754385966</v>
      </c>
      <c r="AJ155" s="12">
        <f>'MCH2'!AJ155/'MCH2'!AJ3</f>
        <v>36.799576271186446</v>
      </c>
      <c r="AK155" s="12">
        <f>'MCH2'!AK155/'MCH2'!AK3</f>
        <v>239.10733262486715</v>
      </c>
      <c r="AL155" s="12">
        <f>'MCH2'!AL155/'MCH2'!AL3</f>
        <v>38.1949012567325</v>
      </c>
      <c r="AM155" s="12">
        <f>'MCH2'!AM155/'MCH2'!AM3</f>
        <v>-48.895595727198028</v>
      </c>
      <c r="AN155" s="12">
        <f>'MCH2'!AN155/'MCH2'!AN3</f>
        <v>-4.0282051282051281</v>
      </c>
      <c r="AO155" s="12">
        <f>'MCH2'!AO155/'MCH2'!AO3</f>
        <v>44.187087136929463</v>
      </c>
      <c r="AP155" s="12">
        <f>'MCH2'!AP155/'MCH2'!AP3</f>
        <v>-114.10048</v>
      </c>
      <c r="AQ155" s="12">
        <f>'MCH2'!AQ155/'MCH2'!AQ3</f>
        <v>-162.87400950871631</v>
      </c>
      <c r="AR155" s="12">
        <f>'MCH2'!AR155/'MCH2'!AR3</f>
        <v>1.204564705882353</v>
      </c>
      <c r="AS155" s="12">
        <f>'MCH2'!AS155/'MCH2'!AS3</f>
        <v>-144.5456824512535</v>
      </c>
      <c r="AT155" s="12">
        <f>'MCH2'!AT155/'MCH2'!AT3</f>
        <v>-151.64277013752456</v>
      </c>
      <c r="AU155" s="12">
        <f>'MCH2'!AU155/'MCH2'!AU3</f>
        <v>-1126.8160409556313</v>
      </c>
      <c r="AV155" s="12">
        <f>'MCH2'!AV155/'MCH2'!AV3</f>
        <v>14.0724681724846</v>
      </c>
      <c r="AW155" s="12">
        <f>'MCH2'!AW155/'MCH2'!AW3</f>
        <v>64.892977099236631</v>
      </c>
      <c r="AX155" s="12">
        <f>'MCH2'!AX155/'MCH2'!AX3</f>
        <v>-238.68820652173912</v>
      </c>
      <c r="AY155" s="12">
        <f>'MCH2'!AY155/'MCH2'!AY3</f>
        <v>-517.96945945945947</v>
      </c>
      <c r="AZ155" s="12">
        <f>'MCH2'!AZ155/'MCH2'!AZ3</f>
        <v>-85.825913978494611</v>
      </c>
      <c r="BA155" s="12">
        <f>'MCH2'!BA155/'MCH2'!BA3</f>
        <v>0.64370843989769821</v>
      </c>
      <c r="BB155" s="12">
        <f>'MCH2'!BB155/'MCH2'!BB3</f>
        <v>51.931036121673003</v>
      </c>
      <c r="BC155" s="12">
        <f>'MCH2'!BC155/'MCH2'!BC3</f>
        <v>8.6632795698924721</v>
      </c>
      <c r="BD155" s="12">
        <f>'MCH2'!BD155/'MCH2'!BD3</f>
        <v>-64.016191585157586</v>
      </c>
      <c r="BE155" s="12">
        <f>'MCH2'!BE155/'MCH2'!BE3</f>
        <v>98.842728937728936</v>
      </c>
      <c r="BF155" s="12">
        <f t="shared" ref="BF155:BF156" si="102">SUM(E155:BE155)</f>
        <v>-3338.4532829783952</v>
      </c>
      <c r="BG155" s="12">
        <f t="shared" ref="BG155:BG156" si="103">SUM(E155:W155)</f>
        <v>-1445.2282839302525</v>
      </c>
      <c r="BH155" s="12">
        <f t="shared" ref="BH155:BH156" si="104">SUM(X155:AJ155)</f>
        <v>204.43747233991166</v>
      </c>
      <c r="BI155" s="12">
        <f t="shared" ref="BI155:BI156" si="105">SUM(AK155:BE155)</f>
        <v>-2097.6624713880547</v>
      </c>
    </row>
    <row r="156" spans="1:61" x14ac:dyDescent="0.25">
      <c r="C156" s="7">
        <v>901</v>
      </c>
      <c r="D156" s="7" t="s">
        <v>196</v>
      </c>
      <c r="E156" s="12">
        <f>'MCH2'!E156/'MCH2'!E3</f>
        <v>338.90701366982125</v>
      </c>
      <c r="F156" s="12">
        <f>'MCH2'!F156/'MCH2'!F3</f>
        <v>116.79581395348838</v>
      </c>
      <c r="G156" s="12">
        <f>'MCH2'!G156/'MCH2'!G3</f>
        <v>87.750743099787684</v>
      </c>
      <c r="H156" s="12">
        <f>'MCH2'!H156/'MCH2'!H3</f>
        <v>101.20464852607709</v>
      </c>
      <c r="I156" s="12">
        <f>'MCH2'!I156/'MCH2'!I3</f>
        <v>43.294430276722728</v>
      </c>
      <c r="J156" s="12">
        <f>'MCH2'!J156/'MCH2'!J3</f>
        <v>95.802864473287059</v>
      </c>
      <c r="K156" s="12">
        <f>'MCH2'!K156/'MCH2'!K3</f>
        <v>168.01382441597588</v>
      </c>
      <c r="L156" s="12">
        <f>'MCH2'!L156/'MCH2'!L3</f>
        <v>175.00515748654638</v>
      </c>
      <c r="M156" s="12">
        <f>'MCH2'!M156/'MCH2'!M3</f>
        <v>129.24869852941177</v>
      </c>
      <c r="N156" s="12">
        <f>'MCH2'!N156/'MCH2'!N3</f>
        <v>17.866785714285715</v>
      </c>
      <c r="O156" s="12">
        <f>'MCH2'!O156/'MCH2'!O3</f>
        <v>95.995183768274359</v>
      </c>
      <c r="P156" s="12">
        <f>'MCH2'!P156/'MCH2'!P3</f>
        <v>66.682394636015317</v>
      </c>
      <c r="Q156" s="12">
        <f>'MCH2'!Q156/'MCH2'!Q3</f>
        <v>239.38349056603775</v>
      </c>
      <c r="R156" s="12">
        <f>'MCH2'!R156/'MCH2'!R3</f>
        <v>-47.987811764705882</v>
      </c>
      <c r="S156" s="12">
        <f>'MCH2'!S156/'MCH2'!S3</f>
        <v>189.15922857142857</v>
      </c>
      <c r="T156" s="12">
        <f>'MCH2'!T156/'MCH2'!T3</f>
        <v>230.3593587994543</v>
      </c>
      <c r="U156" s="12">
        <f>'MCH2'!U156/'MCH2'!U3</f>
        <v>143.48944444444444</v>
      </c>
      <c r="V156" s="12">
        <f>'MCH2'!V156/'MCH2'!V3</f>
        <v>118.4674340527578</v>
      </c>
      <c r="W156" s="12">
        <f>'MCH2'!W156/'MCH2'!W3</f>
        <v>124.51131811263318</v>
      </c>
      <c r="X156" s="12">
        <f>'MCH2'!X156/'MCH2'!X3</f>
        <v>-23.327435064935067</v>
      </c>
      <c r="Y156" s="12">
        <f>'MCH2'!Y156/'MCH2'!Y3</f>
        <v>92.976017488076309</v>
      </c>
      <c r="Z156" s="12">
        <f>'MCH2'!Z156/'MCH2'!Z3</f>
        <v>174.90567585301838</v>
      </c>
      <c r="AA156" s="12">
        <f>'MCH2'!AA156/'MCH2'!AA3</f>
        <v>-31.71494252873563</v>
      </c>
      <c r="AB156" s="12">
        <f>'MCH2'!AB156/'MCH2'!AB3</f>
        <v>203.39647435897436</v>
      </c>
      <c r="AC156" s="12">
        <f>'MCH2'!AC156/'MCH2'!AC3</f>
        <v>-0.47688235294117648</v>
      </c>
      <c r="AD156" s="12">
        <f>'MCH2'!AD156/'MCH2'!AD3</f>
        <v>177.48770212765959</v>
      </c>
      <c r="AE156" s="12">
        <f>'MCH2'!AE156/'MCH2'!AE3</f>
        <v>-206.4651542649728</v>
      </c>
      <c r="AF156" s="12">
        <f>'MCH2'!AF156/'MCH2'!AF3</f>
        <v>162.98015655577299</v>
      </c>
      <c r="AG156" s="12">
        <f>'MCH2'!AG156/'MCH2'!AG3</f>
        <v>304.76610410094639</v>
      </c>
      <c r="AH156" s="12">
        <f>'MCH2'!AH156/'MCH2'!AH3</f>
        <v>157.63805825242719</v>
      </c>
      <c r="AI156" s="12">
        <f>'MCH2'!AI156/'MCH2'!AI3</f>
        <v>240.2944298245614</v>
      </c>
      <c r="AJ156" s="12">
        <f>'MCH2'!AJ156/'MCH2'!AJ3</f>
        <v>381.44423728813558</v>
      </c>
      <c r="AK156" s="12">
        <f>'MCH2'!AK156/'MCH2'!AK3</f>
        <v>88.874612114771509</v>
      </c>
      <c r="AL156" s="12">
        <f>'MCH2'!AL156/'MCH2'!AL3</f>
        <v>51.968312387791741</v>
      </c>
      <c r="AM156" s="12">
        <f>'MCH2'!AM156/'MCH2'!AM3</f>
        <v>30.467896466721445</v>
      </c>
      <c r="AN156" s="12">
        <f>'MCH2'!AN156/'MCH2'!AN3</f>
        <v>-76.674700854700859</v>
      </c>
      <c r="AO156" s="12">
        <f>'MCH2'!AO156/'MCH2'!AO3</f>
        <v>49.306091286307051</v>
      </c>
      <c r="AP156" s="12">
        <f>'MCH2'!AP156/'MCH2'!AP3</f>
        <v>68.556095999999997</v>
      </c>
      <c r="AQ156" s="12">
        <f>'MCH2'!AQ156/'MCH2'!AQ3</f>
        <v>-4.3442789223454827</v>
      </c>
      <c r="AR156" s="12">
        <f>'MCH2'!AR156/'MCH2'!AR3</f>
        <v>10.796713725490196</v>
      </c>
      <c r="AS156" s="12">
        <f>'MCH2'!AS156/'MCH2'!AS3</f>
        <v>-83.199415041782729</v>
      </c>
      <c r="AT156" s="12">
        <f>'MCH2'!AT156/'MCH2'!AT3</f>
        <v>55.544950884086447</v>
      </c>
      <c r="AU156" s="12">
        <f>'MCH2'!AU156/'MCH2'!AU3</f>
        <v>398.14682593856656</v>
      </c>
      <c r="AV156" s="12">
        <f>'MCH2'!AV156/'MCH2'!AV3</f>
        <v>57.687330595482543</v>
      </c>
      <c r="AW156" s="12">
        <f>'MCH2'!AW156/'MCH2'!AW3</f>
        <v>-0.69662849872773536</v>
      </c>
      <c r="AX156" s="12">
        <f>'MCH2'!AX156/'MCH2'!AX3</f>
        <v>-1.4266304347826086</v>
      </c>
      <c r="AY156" s="12">
        <f>'MCH2'!AY156/'MCH2'!AY3</f>
        <v>255.7248948948949</v>
      </c>
      <c r="AZ156" s="12">
        <f>'MCH2'!AZ156/'MCH2'!AZ3</f>
        <v>90.141415770609328</v>
      </c>
      <c r="BA156" s="12">
        <f>'MCH2'!BA156/'MCH2'!BA3</f>
        <v>334.85153452685421</v>
      </c>
      <c r="BB156" s="12">
        <f>'MCH2'!BB156/'MCH2'!BB3</f>
        <v>77.262851711026613</v>
      </c>
      <c r="BC156" s="12">
        <f>'MCH2'!BC156/'MCH2'!BC3</f>
        <v>0</v>
      </c>
      <c r="BD156" s="12">
        <f>'MCH2'!BD156/'MCH2'!BD3</f>
        <v>225.79595404440303</v>
      </c>
      <c r="BE156" s="12">
        <f>'MCH2'!BE156/'MCH2'!BE3</f>
        <v>20.307820512820513</v>
      </c>
      <c r="BF156" s="12">
        <f t="shared" si="102"/>
        <v>5716.9461100772187</v>
      </c>
      <c r="BG156" s="12">
        <f t="shared" si="103"/>
        <v>2433.9500213317433</v>
      </c>
      <c r="BH156" s="12">
        <f t="shared" si="104"/>
        <v>1633.9044416379875</v>
      </c>
      <c r="BI156" s="12">
        <f t="shared" si="105"/>
        <v>1649.0916471074866</v>
      </c>
    </row>
    <row r="157" spans="1:61" x14ac:dyDescent="0.25">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row>
    <row r="158" spans="1:61" x14ac:dyDescent="0.25">
      <c r="D158" s="6" t="s">
        <v>197</v>
      </c>
      <c r="E158" s="75">
        <f>E155+E156</f>
        <v>122.16904311251315</v>
      </c>
      <c r="F158" s="75">
        <f t="shared" ref="F158:BI158" si="106">F155+F156</f>
        <v>-778.28844961240304</v>
      </c>
      <c r="G158" s="75">
        <f t="shared" si="106"/>
        <v>589.0459023354565</v>
      </c>
      <c r="H158" s="75">
        <f t="shared" si="106"/>
        <v>-124.48074829931973</v>
      </c>
      <c r="I158" s="75">
        <f t="shared" si="106"/>
        <v>45.245311991318495</v>
      </c>
      <c r="J158" s="75">
        <f t="shared" si="106"/>
        <v>95.802864473287059</v>
      </c>
      <c r="K158" s="75">
        <f t="shared" si="106"/>
        <v>176.9713489073097</v>
      </c>
      <c r="L158" s="75">
        <f t="shared" si="106"/>
        <v>-82.47297958214628</v>
      </c>
      <c r="M158" s="75">
        <f t="shared" si="106"/>
        <v>-83.245176470588206</v>
      </c>
      <c r="N158" s="75">
        <f t="shared" si="106"/>
        <v>45.545267857142861</v>
      </c>
      <c r="O158" s="75">
        <f t="shared" si="106"/>
        <v>148.38376827435442</v>
      </c>
      <c r="P158" s="75">
        <f t="shared" si="106"/>
        <v>-99.46563218390807</v>
      </c>
      <c r="Q158" s="75">
        <f t="shared" si="106"/>
        <v>257.86424528301887</v>
      </c>
      <c r="R158" s="75">
        <f t="shared" si="106"/>
        <v>-125.36124705882352</v>
      </c>
      <c r="S158" s="75">
        <f t="shared" si="106"/>
        <v>582.97285714285704</v>
      </c>
      <c r="T158" s="75">
        <f t="shared" si="106"/>
        <v>367.62904502046388</v>
      </c>
      <c r="U158" s="75">
        <f t="shared" si="106"/>
        <v>-194.38162962962966</v>
      </c>
      <c r="V158" s="75">
        <f t="shared" si="106"/>
        <v>-82.592589928057549</v>
      </c>
      <c r="W158" s="75">
        <f t="shared" si="106"/>
        <v>127.38053576864536</v>
      </c>
      <c r="X158" s="75">
        <f t="shared" si="106"/>
        <v>208.09876623376624</v>
      </c>
      <c r="Y158" s="75">
        <f t="shared" si="106"/>
        <v>698.83922893481724</v>
      </c>
      <c r="Z158" s="75">
        <f t="shared" si="106"/>
        <v>1224.738569553806</v>
      </c>
      <c r="AA158" s="75">
        <f t="shared" si="106"/>
        <v>-1339.9718390804599</v>
      </c>
      <c r="AB158" s="75">
        <f t="shared" si="106"/>
        <v>241.72570512820513</v>
      </c>
      <c r="AC158" s="75">
        <f t="shared" si="106"/>
        <v>14.386333333333333</v>
      </c>
      <c r="AD158" s="75">
        <f t="shared" si="106"/>
        <v>76.978921985815617</v>
      </c>
      <c r="AE158" s="75">
        <f t="shared" si="106"/>
        <v>-468.79455535390201</v>
      </c>
      <c r="AF158" s="75">
        <f t="shared" si="106"/>
        <v>-246.50240704500979</v>
      </c>
      <c r="AG158" s="75">
        <f t="shared" si="106"/>
        <v>604.82086225026296</v>
      </c>
      <c r="AH158" s="75">
        <f t="shared" si="106"/>
        <v>192.47978640776699</v>
      </c>
      <c r="AI158" s="75">
        <f t="shared" si="106"/>
        <v>213.29872807017543</v>
      </c>
      <c r="AJ158" s="75">
        <f t="shared" si="106"/>
        <v>418.24381355932201</v>
      </c>
      <c r="AK158" s="75">
        <f t="shared" si="106"/>
        <v>327.98194473963866</v>
      </c>
      <c r="AL158" s="75">
        <f t="shared" si="106"/>
        <v>90.163213644524234</v>
      </c>
      <c r="AM158" s="75">
        <f t="shared" si="106"/>
        <v>-18.427699260476583</v>
      </c>
      <c r="AN158" s="75">
        <f t="shared" si="106"/>
        <v>-80.702905982905989</v>
      </c>
      <c r="AO158" s="75">
        <f t="shared" si="106"/>
        <v>93.493178423236515</v>
      </c>
      <c r="AP158" s="75">
        <f t="shared" si="106"/>
        <v>-45.544384000000008</v>
      </c>
      <c r="AQ158" s="75">
        <f t="shared" si="106"/>
        <v>-167.21828843106181</v>
      </c>
      <c r="AR158" s="75">
        <f t="shared" si="106"/>
        <v>12.001278431372549</v>
      </c>
      <c r="AS158" s="75">
        <f t="shared" si="106"/>
        <v>-227.74509749303621</v>
      </c>
      <c r="AT158" s="75">
        <f t="shared" si="106"/>
        <v>-96.097819253438118</v>
      </c>
      <c r="AU158" s="75">
        <f t="shared" si="106"/>
        <v>-728.66921501706474</v>
      </c>
      <c r="AV158" s="75">
        <f t="shared" si="106"/>
        <v>71.759798767967141</v>
      </c>
      <c r="AW158" s="75">
        <f t="shared" si="106"/>
        <v>64.196348600508898</v>
      </c>
      <c r="AX158" s="75">
        <f t="shared" si="106"/>
        <v>-240.11483695652171</v>
      </c>
      <c r="AY158" s="75">
        <f t="shared" si="106"/>
        <v>-262.2445645645646</v>
      </c>
      <c r="AZ158" s="75">
        <f t="shared" si="106"/>
        <v>4.3155017921147163</v>
      </c>
      <c r="BA158" s="75">
        <f t="shared" si="106"/>
        <v>335.4952429667519</v>
      </c>
      <c r="BB158" s="75">
        <f t="shared" si="106"/>
        <v>129.1938878326996</v>
      </c>
      <c r="BC158" s="75">
        <f t="shared" si="106"/>
        <v>8.6632795698924721</v>
      </c>
      <c r="BD158" s="75">
        <f t="shared" si="106"/>
        <v>161.77976245924543</v>
      </c>
      <c r="BE158" s="75">
        <f t="shared" si="106"/>
        <v>119.15054945054945</v>
      </c>
      <c r="BF158" s="75">
        <f t="shared" si="106"/>
        <v>2378.4928270988235</v>
      </c>
      <c r="BG158" s="75">
        <f t="shared" si="106"/>
        <v>988.72173740149083</v>
      </c>
      <c r="BH158" s="75">
        <f t="shared" si="106"/>
        <v>1838.3419139778991</v>
      </c>
      <c r="BI158" s="75">
        <f t="shared" si="106"/>
        <v>-448.5708242805681</v>
      </c>
    </row>
    <row r="159" spans="1:61" x14ac:dyDescent="0.25">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row>
    <row r="160" spans="1:61" x14ac:dyDescent="0.25">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row>
    <row r="161" spans="3:61" x14ac:dyDescent="0.25">
      <c r="D161" s="74" t="s">
        <v>68</v>
      </c>
      <c r="E161" s="75">
        <f t="shared" ref="E161:AJ161" si="107">E158-E154</f>
        <v>0</v>
      </c>
      <c r="F161" s="75">
        <f t="shared" si="107"/>
        <v>0</v>
      </c>
      <c r="G161" s="75">
        <f t="shared" si="107"/>
        <v>0</v>
      </c>
      <c r="H161" s="75">
        <f t="shared" si="107"/>
        <v>0</v>
      </c>
      <c r="I161" s="75">
        <f t="shared" si="107"/>
        <v>0</v>
      </c>
      <c r="J161" s="75">
        <f t="shared" si="107"/>
        <v>0</v>
      </c>
      <c r="K161" s="75">
        <f t="shared" si="107"/>
        <v>0</v>
      </c>
      <c r="L161" s="75">
        <f t="shared" si="107"/>
        <v>0</v>
      </c>
      <c r="M161" s="75">
        <f t="shared" si="107"/>
        <v>0</v>
      </c>
      <c r="N161" s="75">
        <f t="shared" si="107"/>
        <v>0</v>
      </c>
      <c r="O161" s="75">
        <f t="shared" si="107"/>
        <v>0</v>
      </c>
      <c r="P161" s="75">
        <f t="shared" si="107"/>
        <v>0</v>
      </c>
      <c r="Q161" s="75">
        <f t="shared" si="107"/>
        <v>0</v>
      </c>
      <c r="R161" s="75">
        <f t="shared" si="107"/>
        <v>0</v>
      </c>
      <c r="S161" s="75">
        <f t="shared" si="107"/>
        <v>0</v>
      </c>
      <c r="T161" s="75">
        <f t="shared" si="107"/>
        <v>0</v>
      </c>
      <c r="U161" s="75">
        <f t="shared" si="107"/>
        <v>0</v>
      </c>
      <c r="V161" s="75">
        <f t="shared" si="107"/>
        <v>0</v>
      </c>
      <c r="W161" s="75">
        <f t="shared" si="107"/>
        <v>0</v>
      </c>
      <c r="X161" s="75">
        <f t="shared" si="107"/>
        <v>0</v>
      </c>
      <c r="Y161" s="75">
        <f t="shared" si="107"/>
        <v>0</v>
      </c>
      <c r="Z161" s="75">
        <f t="shared" si="107"/>
        <v>0</v>
      </c>
      <c r="AA161" s="75">
        <f t="shared" si="107"/>
        <v>0</v>
      </c>
      <c r="AB161" s="75">
        <f t="shared" si="107"/>
        <v>0</v>
      </c>
      <c r="AC161" s="75">
        <f t="shared" si="107"/>
        <v>0</v>
      </c>
      <c r="AD161" s="75">
        <f t="shared" si="107"/>
        <v>0</v>
      </c>
      <c r="AE161" s="75">
        <f t="shared" si="107"/>
        <v>0</v>
      </c>
      <c r="AF161" s="75">
        <f t="shared" si="107"/>
        <v>0</v>
      </c>
      <c r="AG161" s="75">
        <f t="shared" si="107"/>
        <v>0</v>
      </c>
      <c r="AH161" s="75">
        <f t="shared" si="107"/>
        <v>0</v>
      </c>
      <c r="AI161" s="75">
        <f t="shared" si="107"/>
        <v>0</v>
      </c>
      <c r="AJ161" s="75">
        <f t="shared" si="107"/>
        <v>0</v>
      </c>
      <c r="AK161" s="75">
        <f t="shared" ref="AK161:BE161" si="108">AK158-AK154</f>
        <v>0</v>
      </c>
      <c r="AL161" s="75">
        <f t="shared" si="108"/>
        <v>0</v>
      </c>
      <c r="AM161" s="75">
        <f t="shared" si="108"/>
        <v>0</v>
      </c>
      <c r="AN161" s="75">
        <f t="shared" si="108"/>
        <v>0</v>
      </c>
      <c r="AO161" s="75">
        <f t="shared" si="108"/>
        <v>0</v>
      </c>
      <c r="AP161" s="75">
        <f t="shared" si="108"/>
        <v>0</v>
      </c>
      <c r="AQ161" s="75">
        <f t="shared" si="108"/>
        <v>0</v>
      </c>
      <c r="AR161" s="75">
        <f t="shared" si="108"/>
        <v>0</v>
      </c>
      <c r="AS161" s="75">
        <f t="shared" si="108"/>
        <v>0</v>
      </c>
      <c r="AT161" s="75">
        <f t="shared" si="108"/>
        <v>0</v>
      </c>
      <c r="AU161" s="75">
        <f t="shared" si="108"/>
        <v>0</v>
      </c>
      <c r="AV161" s="75">
        <f t="shared" si="108"/>
        <v>0</v>
      </c>
      <c r="AW161" s="75">
        <f t="shared" si="108"/>
        <v>0</v>
      </c>
      <c r="AX161" s="75">
        <f t="shared" si="108"/>
        <v>0</v>
      </c>
      <c r="AY161" s="75">
        <f t="shared" si="108"/>
        <v>0</v>
      </c>
      <c r="AZ161" s="75">
        <f t="shared" si="108"/>
        <v>0</v>
      </c>
      <c r="BA161" s="75">
        <f t="shared" si="108"/>
        <v>0</v>
      </c>
      <c r="BB161" s="75">
        <f t="shared" si="108"/>
        <v>0</v>
      </c>
      <c r="BC161" s="75">
        <f t="shared" si="108"/>
        <v>0</v>
      </c>
      <c r="BD161" s="75">
        <f t="shared" si="108"/>
        <v>0</v>
      </c>
      <c r="BE161" s="75">
        <f t="shared" si="108"/>
        <v>0</v>
      </c>
      <c r="BF161" s="75">
        <f>BF76-BF5</f>
        <v>2378.4928270988166</v>
      </c>
      <c r="BG161" s="75">
        <f>BG76-BG5</f>
        <v>988.72173740150174</v>
      </c>
      <c r="BH161" s="75">
        <f>BH76-BH5</f>
        <v>1838.3419139778998</v>
      </c>
      <c r="BI161" s="75">
        <f>BI76-BI5</f>
        <v>-448.57082428055583</v>
      </c>
    </row>
    <row r="164" spans="3:61" x14ac:dyDescent="0.25">
      <c r="D164" s="6" t="s">
        <v>450</v>
      </c>
    </row>
    <row r="165" spans="3:61" x14ac:dyDescent="0.25">
      <c r="C165" s="7">
        <v>4021</v>
      </c>
      <c r="D165" s="7" t="s">
        <v>213</v>
      </c>
      <c r="E165" s="12">
        <f>'MCH2'!E164/'MCH2'!E3</f>
        <v>151.7017875920084</v>
      </c>
      <c r="F165" s="12">
        <f>'MCH2'!F164/'MCH2'!F3</f>
        <v>436.08624031007753</v>
      </c>
      <c r="G165" s="12">
        <f>'MCH2'!G164/'MCH2'!G3</f>
        <v>138.73598726114651</v>
      </c>
      <c r="H165" s="12">
        <f>'MCH2'!H164/'MCH2'!H3</f>
        <v>202.89671201814059</v>
      </c>
      <c r="I165" s="12">
        <f>'MCH2'!I164/'MCH2'!I3</f>
        <v>193.76729788388496</v>
      </c>
      <c r="J165" s="12">
        <f>'MCH2'!J164/'MCH2'!J3</f>
        <v>149.63084817386056</v>
      </c>
      <c r="K165" s="12">
        <f>'MCH2'!K164/'MCH2'!K3</f>
        <v>151.13189525244914</v>
      </c>
      <c r="L165" s="12">
        <f>'MCH2'!L164/'MCH2'!L3</f>
        <v>242.86903292181071</v>
      </c>
      <c r="M165" s="12">
        <f>'MCH2'!M164/'MCH2'!M3</f>
        <v>174.99632352941177</v>
      </c>
      <c r="N165" s="12">
        <f>'MCH2'!N164/'MCH2'!N3</f>
        <v>203.22499999999999</v>
      </c>
      <c r="O165" s="12">
        <f>'MCH2'!O164/'MCH2'!O3</f>
        <v>171.78945894247849</v>
      </c>
      <c r="P165" s="12">
        <f>'MCH2'!P164/'MCH2'!P3</f>
        <v>276.87461685823752</v>
      </c>
      <c r="Q165" s="12">
        <f>'MCH2'!Q164/'MCH2'!Q3</f>
        <v>194.24245283018868</v>
      </c>
      <c r="R165" s="12">
        <f>'MCH2'!R164/'MCH2'!R3</f>
        <v>164.81588235294117</v>
      </c>
      <c r="S165" s="12">
        <f>'MCH2'!S164/'MCH2'!S3</f>
        <v>223.02257142857141</v>
      </c>
      <c r="T165" s="12">
        <f>'MCH2'!T164/'MCH2'!T3</f>
        <v>145.08553888130967</v>
      </c>
      <c r="U165" s="12">
        <f>'MCH2'!U164/'MCH2'!U3</f>
        <v>155.01407407407407</v>
      </c>
      <c r="V165" s="12">
        <f>'MCH2'!V164/'MCH2'!V3</f>
        <v>241.43417266187052</v>
      </c>
      <c r="W165" s="12">
        <f>'MCH2'!W164/'MCH2'!W3</f>
        <v>177.12490106544902</v>
      </c>
      <c r="X165" s="12">
        <f>'MCH2'!X164/'MCH2'!X3</f>
        <v>182.13538961038961</v>
      </c>
      <c r="Y165" s="12">
        <f>'MCH2'!Y164/'MCH2'!Y3</f>
        <v>140.64658187599363</v>
      </c>
      <c r="Z165" s="12">
        <f>'MCH2'!Z164/'MCH2'!Z3</f>
        <v>174.19383202099738</v>
      </c>
      <c r="AA165" s="12">
        <f>'MCH2'!AA164/'MCH2'!AA3</f>
        <v>412.33735632183908</v>
      </c>
      <c r="AB165" s="12">
        <f>'MCH2'!AB164/'MCH2'!AB3</f>
        <v>256.17179487179487</v>
      </c>
      <c r="AC165" s="12">
        <f>'MCH2'!AC164/'MCH2'!AC3</f>
        <v>180.39872549019609</v>
      </c>
      <c r="AD165" s="12">
        <f>'MCH2'!AD164/'MCH2'!AD3</f>
        <v>180.40453900709218</v>
      </c>
      <c r="AE165" s="12">
        <f>'MCH2'!AE164/'MCH2'!AE3</f>
        <v>258.28511796733216</v>
      </c>
      <c r="AF165" s="12">
        <f>'MCH2'!AF164/'MCH2'!AF3</f>
        <v>288.76673189823873</v>
      </c>
      <c r="AG165" s="12">
        <f>'MCH2'!AG164/'MCH2'!AG3</f>
        <v>254.94518927444796</v>
      </c>
      <c r="AH165" s="12">
        <f>'MCH2'!AH164/'MCH2'!AH3</f>
        <v>196.40370873786406</v>
      </c>
      <c r="AI165" s="12">
        <f>'MCH2'!AI164/'MCH2'!AI3</f>
        <v>182.28399122807016</v>
      </c>
      <c r="AJ165" s="12">
        <f>'MCH2'!AJ164/'MCH2'!AJ3</f>
        <v>560.05338983050854</v>
      </c>
      <c r="AK165" s="12">
        <f>'MCH2'!AK164/'MCH2'!AK3</f>
        <v>246.64875132837409</v>
      </c>
      <c r="AL165" s="12">
        <f>'MCH2'!AL164/'MCH2'!AL3</f>
        <v>264.99928186714544</v>
      </c>
      <c r="AM165" s="12">
        <f>'MCH2'!AM164/'MCH2'!AM3</f>
        <v>205.26400986031223</v>
      </c>
      <c r="AN165" s="12">
        <f>'MCH2'!AN164/'MCH2'!AN3</f>
        <v>221.17606837606837</v>
      </c>
      <c r="AO165" s="12">
        <f>'MCH2'!AO164/'MCH2'!AO3</f>
        <v>229.5543153526971</v>
      </c>
      <c r="AP165" s="12">
        <f>'MCH2'!AP164/'MCH2'!AP3</f>
        <v>223.51767999999998</v>
      </c>
      <c r="AQ165" s="12">
        <f>'MCH2'!AQ164/'MCH2'!AQ3</f>
        <v>175.2404912836767</v>
      </c>
      <c r="AR165" s="12">
        <f>'MCH2'!AR164/'MCH2'!AR3</f>
        <v>293.81866666666667</v>
      </c>
      <c r="AS165" s="12">
        <f>'MCH2'!AS164/'MCH2'!AS3</f>
        <v>257.8291086350975</v>
      </c>
      <c r="AT165" s="12">
        <f>'MCH2'!AT164/'MCH2'!AT3</f>
        <v>199.82337917485268</v>
      </c>
      <c r="AU165" s="12">
        <f>'MCH2'!AU164/'MCH2'!AU3</f>
        <v>156.41058020477817</v>
      </c>
      <c r="AV165" s="12">
        <f>'MCH2'!AV164/'MCH2'!AV3</f>
        <v>216.33601642710471</v>
      </c>
      <c r="AW165" s="12">
        <f>'MCH2'!AW164/'MCH2'!AW3</f>
        <v>219.11933842239185</v>
      </c>
      <c r="AX165" s="12">
        <f>'MCH2'!AX164/'MCH2'!AX3</f>
        <v>257.91114130434784</v>
      </c>
      <c r="AY165" s="12">
        <f>'MCH2'!AY164/'MCH2'!AY3</f>
        <v>269.15066066066066</v>
      </c>
      <c r="AZ165" s="12">
        <f>'MCH2'!AZ164/'MCH2'!AZ3</f>
        <v>203.4378733572282</v>
      </c>
      <c r="BA165" s="12">
        <f>'MCH2'!BA164/'MCH2'!BA3</f>
        <v>292.69680306905371</v>
      </c>
      <c r="BB165" s="12">
        <f>'MCH2'!BB164/'MCH2'!BB3</f>
        <v>291.95049429657792</v>
      </c>
      <c r="BC165" s="12">
        <f>'MCH2'!BC164/'MCH2'!BC3</f>
        <v>161.0005376344086</v>
      </c>
      <c r="BD165" s="12">
        <f>'MCH2'!BD164/'MCH2'!BD3</f>
        <v>266.44521192361435</v>
      </c>
      <c r="BE165" s="12">
        <f>'MCH2'!BE164/'MCH2'!BE3</f>
        <v>226.00192307692308</v>
      </c>
      <c r="BF165" s="12">
        <f t="shared" ref="BF165:BF177" si="109">SUM(E165:BE165)</f>
        <v>11939.803475094657</v>
      </c>
      <c r="BG165" s="12">
        <f t="shared" ref="BG165:BG177" si="110">SUM(E165:W165)</f>
        <v>3794.4447940379105</v>
      </c>
      <c r="BH165" s="12">
        <f t="shared" ref="BH165:BH177" si="111">SUM(X165:AJ165)</f>
        <v>3267.0263481347642</v>
      </c>
      <c r="BI165" s="12">
        <f t="shared" ref="BI165:BI177" si="112">SUM(AK165:BE165)</f>
        <v>4878.3323329219802</v>
      </c>
    </row>
    <row r="166" spans="3:61" x14ac:dyDescent="0.25">
      <c r="C166" s="7">
        <v>4490</v>
      </c>
      <c r="D166" s="7" t="s">
        <v>214</v>
      </c>
      <c r="E166" s="12">
        <f>'MCH2'!E165/'MCH2'!E3</f>
        <v>0</v>
      </c>
      <c r="F166" s="12">
        <f>'MCH2'!F165/'MCH2'!F3</f>
        <v>0</v>
      </c>
      <c r="G166" s="12">
        <f>'MCH2'!G165/'MCH2'!G3</f>
        <v>0</v>
      </c>
      <c r="H166" s="12">
        <f>'MCH2'!H165/'MCH2'!H3</f>
        <v>0</v>
      </c>
      <c r="I166" s="12">
        <f>'MCH2'!I165/'MCH2'!I3</f>
        <v>0</v>
      </c>
      <c r="J166" s="12">
        <f>'MCH2'!J165/'MCH2'!J3</f>
        <v>0</v>
      </c>
      <c r="K166" s="12">
        <f>'MCH2'!K165/'MCH2'!K3</f>
        <v>0</v>
      </c>
      <c r="L166" s="12">
        <f>'MCH2'!L165/'MCH2'!L3</f>
        <v>0</v>
      </c>
      <c r="M166" s="12">
        <f>'MCH2'!M165/'MCH2'!M3</f>
        <v>0</v>
      </c>
      <c r="N166" s="12">
        <f>'MCH2'!N165/'MCH2'!N3</f>
        <v>0</v>
      </c>
      <c r="O166" s="12">
        <f>'MCH2'!O165/'MCH2'!O3</f>
        <v>0</v>
      </c>
      <c r="P166" s="12">
        <f>'MCH2'!P165/'MCH2'!P3</f>
        <v>0</v>
      </c>
      <c r="Q166" s="12">
        <f>'MCH2'!Q165/'MCH2'!Q3</f>
        <v>0</v>
      </c>
      <c r="R166" s="12">
        <f>'MCH2'!R165/'MCH2'!R3</f>
        <v>0</v>
      </c>
      <c r="S166" s="12">
        <f>'MCH2'!S165/'MCH2'!S3</f>
        <v>0</v>
      </c>
      <c r="T166" s="12">
        <f>'MCH2'!T165/'MCH2'!T3</f>
        <v>0</v>
      </c>
      <c r="U166" s="12">
        <f>'MCH2'!U165/'MCH2'!U3</f>
        <v>0</v>
      </c>
      <c r="V166" s="12">
        <f>'MCH2'!V165/'MCH2'!V3</f>
        <v>0</v>
      </c>
      <c r="W166" s="12">
        <f>'MCH2'!W165/'MCH2'!W3</f>
        <v>0</v>
      </c>
      <c r="X166" s="12">
        <f>'MCH2'!X165/'MCH2'!X3</f>
        <v>0</v>
      </c>
      <c r="Y166" s="12">
        <f>'MCH2'!Y165/'MCH2'!Y3</f>
        <v>0</v>
      </c>
      <c r="Z166" s="12">
        <f>'MCH2'!Z165/'MCH2'!Z3</f>
        <v>0</v>
      </c>
      <c r="AA166" s="12">
        <f>'MCH2'!AA165/'MCH2'!AA3</f>
        <v>0</v>
      </c>
      <c r="AB166" s="12">
        <f>'MCH2'!AB165/'MCH2'!AB3</f>
        <v>0</v>
      </c>
      <c r="AC166" s="12">
        <f>'MCH2'!AC165/'MCH2'!AC3</f>
        <v>0</v>
      </c>
      <c r="AD166" s="12">
        <f>'MCH2'!AD165/'MCH2'!AD3</f>
        <v>0</v>
      </c>
      <c r="AE166" s="12">
        <f>'MCH2'!AE165/'MCH2'!AE3</f>
        <v>0</v>
      </c>
      <c r="AF166" s="12">
        <f>'MCH2'!AF165/'MCH2'!AF3</f>
        <v>0</v>
      </c>
      <c r="AG166" s="12">
        <f>'MCH2'!AG165/'MCH2'!AG3</f>
        <v>0</v>
      </c>
      <c r="AH166" s="12">
        <f>'MCH2'!AH165/'MCH2'!AH3</f>
        <v>0</v>
      </c>
      <c r="AI166" s="12">
        <f>'MCH2'!AI165/'MCH2'!AI3</f>
        <v>0</v>
      </c>
      <c r="AJ166" s="12">
        <f>'MCH2'!AJ165/'MCH2'!AJ3</f>
        <v>0</v>
      </c>
      <c r="AK166" s="12">
        <f>'MCH2'!AK165/'MCH2'!AK3</f>
        <v>0</v>
      </c>
      <c r="AL166" s="12">
        <f>'MCH2'!AL165/'MCH2'!AL3</f>
        <v>0</v>
      </c>
      <c r="AM166" s="12">
        <f>'MCH2'!AM165/'MCH2'!AM3</f>
        <v>0</v>
      </c>
      <c r="AN166" s="12">
        <f>'MCH2'!AN165/'MCH2'!AN3</f>
        <v>0</v>
      </c>
      <c r="AO166" s="12">
        <f>'MCH2'!AO165/'MCH2'!AO3</f>
        <v>0</v>
      </c>
      <c r="AP166" s="12">
        <f>'MCH2'!AP165/'MCH2'!AP3</f>
        <v>0</v>
      </c>
      <c r="AQ166" s="12">
        <f>'MCH2'!AQ165/'MCH2'!AQ3</f>
        <v>0</v>
      </c>
      <c r="AR166" s="12">
        <f>'MCH2'!AR165/'MCH2'!AR3</f>
        <v>0</v>
      </c>
      <c r="AS166" s="12">
        <f>'MCH2'!AS165/'MCH2'!AS3</f>
        <v>0</v>
      </c>
      <c r="AT166" s="12">
        <f>'MCH2'!AT165/'MCH2'!AT3</f>
        <v>0</v>
      </c>
      <c r="AU166" s="12">
        <f>'MCH2'!AU165/'MCH2'!AU3</f>
        <v>0</v>
      </c>
      <c r="AV166" s="12">
        <f>'MCH2'!AV165/'MCH2'!AV3</f>
        <v>0</v>
      </c>
      <c r="AW166" s="12">
        <f>'MCH2'!AW165/'MCH2'!AW3</f>
        <v>0</v>
      </c>
      <c r="AX166" s="12">
        <f>'MCH2'!AX165/'MCH2'!AX3</f>
        <v>0</v>
      </c>
      <c r="AY166" s="12">
        <f>'MCH2'!AY165/'MCH2'!AY3</f>
        <v>0</v>
      </c>
      <c r="AZ166" s="12">
        <f>'MCH2'!AZ165/'MCH2'!AZ3</f>
        <v>0</v>
      </c>
      <c r="BA166" s="12">
        <f>'MCH2'!BA165/'MCH2'!BA3</f>
        <v>0</v>
      </c>
      <c r="BB166" s="12">
        <f>'MCH2'!BB165/'MCH2'!BB3</f>
        <v>0</v>
      </c>
      <c r="BC166" s="12">
        <f>'MCH2'!BC165/'MCH2'!BC3</f>
        <v>0</v>
      </c>
      <c r="BD166" s="12">
        <f>'MCH2'!BD165/'MCH2'!BD3</f>
        <v>0</v>
      </c>
      <c r="BE166" s="12">
        <f>'MCH2'!BE165/'MCH2'!BE3</f>
        <v>0</v>
      </c>
      <c r="BF166" s="12">
        <f t="shared" si="109"/>
        <v>0</v>
      </c>
      <c r="BG166" s="12">
        <f t="shared" si="110"/>
        <v>0</v>
      </c>
      <c r="BH166" s="12">
        <f t="shared" si="111"/>
        <v>0</v>
      </c>
      <c r="BI166" s="12">
        <f t="shared" si="112"/>
        <v>0</v>
      </c>
    </row>
    <row r="167" spans="3:61" x14ac:dyDescent="0.25">
      <c r="C167" s="7">
        <v>46227</v>
      </c>
      <c r="D167" s="7" t="s">
        <v>270</v>
      </c>
      <c r="E167" s="12" t="e">
        <f>'MCH2'!#REF!/'MCH2'!E3</f>
        <v>#REF!</v>
      </c>
      <c r="F167" s="12" t="e">
        <f>'MCH2'!#REF!/'MCH2'!F3</f>
        <v>#REF!</v>
      </c>
      <c r="G167" s="12" t="e">
        <f>'MCH2'!#REF!/'MCH2'!G3</f>
        <v>#REF!</v>
      </c>
      <c r="H167" s="12" t="e">
        <f>'MCH2'!#REF!/'MCH2'!H3</f>
        <v>#REF!</v>
      </c>
      <c r="I167" s="12" t="e">
        <f>'MCH2'!#REF!/'MCH2'!I3</f>
        <v>#REF!</v>
      </c>
      <c r="J167" s="12" t="e">
        <f>'MCH2'!#REF!/'MCH2'!J3</f>
        <v>#REF!</v>
      </c>
      <c r="K167" s="12" t="e">
        <f>'MCH2'!#REF!/'MCH2'!K3</f>
        <v>#REF!</v>
      </c>
      <c r="L167" s="12" t="e">
        <f>'MCH2'!#REF!/'MCH2'!L3</f>
        <v>#REF!</v>
      </c>
      <c r="M167" s="12" t="e">
        <f>'MCH2'!#REF!/'MCH2'!M3</f>
        <v>#REF!</v>
      </c>
      <c r="N167" s="12" t="e">
        <f>'MCH2'!#REF!/'MCH2'!N3</f>
        <v>#REF!</v>
      </c>
      <c r="O167" s="12" t="e">
        <f>'MCH2'!#REF!/'MCH2'!O3</f>
        <v>#REF!</v>
      </c>
      <c r="P167" s="12" t="e">
        <f>'MCH2'!#REF!/'MCH2'!P3</f>
        <v>#REF!</v>
      </c>
      <c r="Q167" s="12" t="e">
        <f>'MCH2'!#REF!/'MCH2'!Q3</f>
        <v>#REF!</v>
      </c>
      <c r="R167" s="12" t="e">
        <f>'MCH2'!#REF!/'MCH2'!R3</f>
        <v>#REF!</v>
      </c>
      <c r="S167" s="12" t="e">
        <f>'MCH2'!#REF!/'MCH2'!S3</f>
        <v>#REF!</v>
      </c>
      <c r="T167" s="12" t="e">
        <f>'MCH2'!#REF!/'MCH2'!T3</f>
        <v>#REF!</v>
      </c>
      <c r="U167" s="12" t="e">
        <f>'MCH2'!#REF!/'MCH2'!U3</f>
        <v>#REF!</v>
      </c>
      <c r="V167" s="12" t="e">
        <f>'MCH2'!#REF!/'MCH2'!V3</f>
        <v>#REF!</v>
      </c>
      <c r="W167" s="12" t="e">
        <f>'MCH2'!#REF!/'MCH2'!W3</f>
        <v>#REF!</v>
      </c>
      <c r="X167" s="12" t="e">
        <f>'MCH2'!#REF!/'MCH2'!X3</f>
        <v>#REF!</v>
      </c>
      <c r="Y167" s="12" t="e">
        <f>'MCH2'!#REF!/'MCH2'!Y3</f>
        <v>#REF!</v>
      </c>
      <c r="Z167" s="12" t="e">
        <f>'MCH2'!#REF!/'MCH2'!Z3</f>
        <v>#REF!</v>
      </c>
      <c r="AA167" s="12" t="e">
        <f>'MCH2'!#REF!/'MCH2'!AA3</f>
        <v>#REF!</v>
      </c>
      <c r="AB167" s="12" t="e">
        <f>'MCH2'!#REF!/'MCH2'!AB3</f>
        <v>#REF!</v>
      </c>
      <c r="AC167" s="12" t="e">
        <f>'MCH2'!#REF!/'MCH2'!AC3</f>
        <v>#REF!</v>
      </c>
      <c r="AD167" s="12" t="e">
        <f>'MCH2'!#REF!/'MCH2'!AD3</f>
        <v>#REF!</v>
      </c>
      <c r="AE167" s="12" t="e">
        <f>'MCH2'!#REF!/'MCH2'!AE3</f>
        <v>#REF!</v>
      </c>
      <c r="AF167" s="12" t="e">
        <f>'MCH2'!#REF!/'MCH2'!AF3</f>
        <v>#REF!</v>
      </c>
      <c r="AG167" s="12" t="e">
        <f>'MCH2'!#REF!/'MCH2'!AG3</f>
        <v>#REF!</v>
      </c>
      <c r="AH167" s="12" t="e">
        <f>'MCH2'!#REF!/'MCH2'!AH3</f>
        <v>#REF!</v>
      </c>
      <c r="AI167" s="12" t="e">
        <f>'MCH2'!#REF!/'MCH2'!AI3</f>
        <v>#REF!</v>
      </c>
      <c r="AJ167" s="12" t="e">
        <f>'MCH2'!#REF!/'MCH2'!AJ3</f>
        <v>#REF!</v>
      </c>
      <c r="AK167" s="12" t="e">
        <f>'MCH2'!#REF!/'MCH2'!AK3</f>
        <v>#REF!</v>
      </c>
      <c r="AL167" s="12" t="e">
        <f>'MCH2'!#REF!/'MCH2'!AL3</f>
        <v>#REF!</v>
      </c>
      <c r="AM167" s="12" t="e">
        <f>'MCH2'!#REF!/'MCH2'!AM3</f>
        <v>#REF!</v>
      </c>
      <c r="AN167" s="12" t="e">
        <f>'MCH2'!#REF!/'MCH2'!AN3</f>
        <v>#REF!</v>
      </c>
      <c r="AO167" s="12" t="e">
        <f>'MCH2'!#REF!/'MCH2'!AO3</f>
        <v>#REF!</v>
      </c>
      <c r="AP167" s="12" t="e">
        <f>'MCH2'!#REF!/'MCH2'!AP3</f>
        <v>#REF!</v>
      </c>
      <c r="AQ167" s="12" t="e">
        <f>'MCH2'!#REF!/'MCH2'!AQ3</f>
        <v>#REF!</v>
      </c>
      <c r="AR167" s="12" t="e">
        <f>'MCH2'!#REF!/'MCH2'!AR3</f>
        <v>#REF!</v>
      </c>
      <c r="AS167" s="12" t="e">
        <f>'MCH2'!#REF!/'MCH2'!AS3</f>
        <v>#REF!</v>
      </c>
      <c r="AT167" s="12" t="e">
        <f>'MCH2'!#REF!/'MCH2'!AT3</f>
        <v>#REF!</v>
      </c>
      <c r="AU167" s="12" t="e">
        <f>'MCH2'!#REF!/'MCH2'!AU3</f>
        <v>#REF!</v>
      </c>
      <c r="AV167" s="12" t="e">
        <f>'MCH2'!#REF!/'MCH2'!AV3</f>
        <v>#REF!</v>
      </c>
      <c r="AW167" s="12" t="e">
        <f>'MCH2'!#REF!/'MCH2'!AW3</f>
        <v>#REF!</v>
      </c>
      <c r="AX167" s="12" t="e">
        <f>'MCH2'!#REF!/'MCH2'!AX3</f>
        <v>#REF!</v>
      </c>
      <c r="AY167" s="12" t="e">
        <f>'MCH2'!#REF!/'MCH2'!AY3</f>
        <v>#REF!</v>
      </c>
      <c r="AZ167" s="12" t="e">
        <f>'MCH2'!#REF!/'MCH2'!AZ3</f>
        <v>#REF!</v>
      </c>
      <c r="BA167" s="12" t="e">
        <f>'MCH2'!#REF!/'MCH2'!BA3</f>
        <v>#REF!</v>
      </c>
      <c r="BB167" s="12" t="e">
        <f>'MCH2'!#REF!/'MCH2'!BB3</f>
        <v>#REF!</v>
      </c>
      <c r="BC167" s="12" t="e">
        <f>'MCH2'!#REF!/'MCH2'!BC3</f>
        <v>#REF!</v>
      </c>
      <c r="BD167" s="12" t="e">
        <f>'MCH2'!#REF!/'MCH2'!BD3</f>
        <v>#REF!</v>
      </c>
      <c r="BE167" s="12" t="e">
        <f>'MCH2'!#REF!/'MCH2'!BE3</f>
        <v>#REF!</v>
      </c>
      <c r="BF167" s="12" t="e">
        <f t="shared" si="109"/>
        <v>#REF!</v>
      </c>
      <c r="BG167" s="12" t="e">
        <f t="shared" si="110"/>
        <v>#REF!</v>
      </c>
      <c r="BH167" s="12" t="e">
        <f t="shared" si="111"/>
        <v>#REF!</v>
      </c>
      <c r="BI167" s="12" t="e">
        <f t="shared" si="112"/>
        <v>#REF!</v>
      </c>
    </row>
    <row r="168" spans="3:61" x14ac:dyDescent="0.25">
      <c r="C168" s="7">
        <v>46228</v>
      </c>
      <c r="D168" s="7" t="s">
        <v>271</v>
      </c>
      <c r="E168" s="12" t="e">
        <f>'MCH2'!#REF!/'MCH2'!E3</f>
        <v>#REF!</v>
      </c>
      <c r="F168" s="12" t="e">
        <f>'MCH2'!#REF!/'MCH2'!F3</f>
        <v>#REF!</v>
      </c>
      <c r="G168" s="12" t="e">
        <f>'MCH2'!#REF!/'MCH2'!G3</f>
        <v>#REF!</v>
      </c>
      <c r="H168" s="12" t="e">
        <f>'MCH2'!#REF!/'MCH2'!H3</f>
        <v>#REF!</v>
      </c>
      <c r="I168" s="12" t="e">
        <f>'MCH2'!#REF!/'MCH2'!I3</f>
        <v>#REF!</v>
      </c>
      <c r="J168" s="12" t="e">
        <f>'MCH2'!#REF!/'MCH2'!J3</f>
        <v>#REF!</v>
      </c>
      <c r="K168" s="12" t="e">
        <f>'MCH2'!#REF!/'MCH2'!K3</f>
        <v>#REF!</v>
      </c>
      <c r="L168" s="12" t="e">
        <f>'MCH2'!#REF!/'MCH2'!L3</f>
        <v>#REF!</v>
      </c>
      <c r="M168" s="12" t="e">
        <f>'MCH2'!#REF!/'MCH2'!M3</f>
        <v>#REF!</v>
      </c>
      <c r="N168" s="12" t="e">
        <f>'MCH2'!#REF!/'MCH2'!N3</f>
        <v>#REF!</v>
      </c>
      <c r="O168" s="12" t="e">
        <f>'MCH2'!#REF!/'MCH2'!O3</f>
        <v>#REF!</v>
      </c>
      <c r="P168" s="12" t="e">
        <f>'MCH2'!#REF!/'MCH2'!P3</f>
        <v>#REF!</v>
      </c>
      <c r="Q168" s="12" t="e">
        <f>'MCH2'!#REF!/'MCH2'!Q3</f>
        <v>#REF!</v>
      </c>
      <c r="R168" s="12" t="e">
        <f>'MCH2'!#REF!/'MCH2'!R3</f>
        <v>#REF!</v>
      </c>
      <c r="S168" s="12" t="e">
        <f>'MCH2'!#REF!/'MCH2'!S3</f>
        <v>#REF!</v>
      </c>
      <c r="T168" s="12" t="e">
        <f>'MCH2'!#REF!/'MCH2'!T3</f>
        <v>#REF!</v>
      </c>
      <c r="U168" s="12" t="e">
        <f>'MCH2'!#REF!/'MCH2'!U3</f>
        <v>#REF!</v>
      </c>
      <c r="V168" s="12" t="e">
        <f>'MCH2'!#REF!/'MCH2'!V3</f>
        <v>#REF!</v>
      </c>
      <c r="W168" s="12" t="e">
        <f>'MCH2'!#REF!/'MCH2'!W3</f>
        <v>#REF!</v>
      </c>
      <c r="X168" s="12" t="e">
        <f>'MCH2'!#REF!/'MCH2'!X3</f>
        <v>#REF!</v>
      </c>
      <c r="Y168" s="12" t="e">
        <f>'MCH2'!#REF!/'MCH2'!Y3</f>
        <v>#REF!</v>
      </c>
      <c r="Z168" s="12" t="e">
        <f>'MCH2'!#REF!/'MCH2'!Z3</f>
        <v>#REF!</v>
      </c>
      <c r="AA168" s="12" t="e">
        <f>'MCH2'!#REF!/'MCH2'!AA3</f>
        <v>#REF!</v>
      </c>
      <c r="AB168" s="12" t="e">
        <f>'MCH2'!#REF!/'MCH2'!AB3</f>
        <v>#REF!</v>
      </c>
      <c r="AC168" s="12" t="e">
        <f>'MCH2'!#REF!/'MCH2'!AC3</f>
        <v>#REF!</v>
      </c>
      <c r="AD168" s="12" t="e">
        <f>'MCH2'!#REF!/'MCH2'!AD3</f>
        <v>#REF!</v>
      </c>
      <c r="AE168" s="12" t="e">
        <f>'MCH2'!#REF!/'MCH2'!AE3</f>
        <v>#REF!</v>
      </c>
      <c r="AF168" s="12" t="e">
        <f>'MCH2'!#REF!/'MCH2'!AF3</f>
        <v>#REF!</v>
      </c>
      <c r="AG168" s="12" t="e">
        <f>'MCH2'!#REF!/'MCH2'!AG3</f>
        <v>#REF!</v>
      </c>
      <c r="AH168" s="12" t="e">
        <f>'MCH2'!#REF!/'MCH2'!AH3</f>
        <v>#REF!</v>
      </c>
      <c r="AI168" s="12" t="e">
        <f>'MCH2'!#REF!/'MCH2'!AI3</f>
        <v>#REF!</v>
      </c>
      <c r="AJ168" s="12" t="e">
        <f>'MCH2'!#REF!/'MCH2'!AJ3</f>
        <v>#REF!</v>
      </c>
      <c r="AK168" s="12" t="e">
        <f>'MCH2'!#REF!/'MCH2'!AK3</f>
        <v>#REF!</v>
      </c>
      <c r="AL168" s="12" t="e">
        <f>'MCH2'!#REF!/'MCH2'!AL3</f>
        <v>#REF!</v>
      </c>
      <c r="AM168" s="12" t="e">
        <f>'MCH2'!#REF!/'MCH2'!AM3</f>
        <v>#REF!</v>
      </c>
      <c r="AN168" s="12" t="e">
        <f>'MCH2'!#REF!/'MCH2'!AN3</f>
        <v>#REF!</v>
      </c>
      <c r="AO168" s="12" t="e">
        <f>'MCH2'!#REF!/'MCH2'!AO3</f>
        <v>#REF!</v>
      </c>
      <c r="AP168" s="12" t="e">
        <f>'MCH2'!#REF!/'MCH2'!AP3</f>
        <v>#REF!</v>
      </c>
      <c r="AQ168" s="12" t="e">
        <f>'MCH2'!#REF!/'MCH2'!AQ3</f>
        <v>#REF!</v>
      </c>
      <c r="AR168" s="12" t="e">
        <f>'MCH2'!#REF!/'MCH2'!AR3</f>
        <v>#REF!</v>
      </c>
      <c r="AS168" s="12" t="e">
        <f>'MCH2'!#REF!/'MCH2'!AS3</f>
        <v>#REF!</v>
      </c>
      <c r="AT168" s="12" t="e">
        <f>'MCH2'!#REF!/'MCH2'!AT3</f>
        <v>#REF!</v>
      </c>
      <c r="AU168" s="12" t="e">
        <f>'MCH2'!#REF!/'MCH2'!AU3</f>
        <v>#REF!</v>
      </c>
      <c r="AV168" s="12" t="e">
        <f>'MCH2'!#REF!/'MCH2'!AV3</f>
        <v>#REF!</v>
      </c>
      <c r="AW168" s="12" t="e">
        <f>'MCH2'!#REF!/'MCH2'!AW3</f>
        <v>#REF!</v>
      </c>
      <c r="AX168" s="12" t="e">
        <f>'MCH2'!#REF!/'MCH2'!AX3</f>
        <v>#REF!</v>
      </c>
      <c r="AY168" s="12" t="e">
        <f>'MCH2'!#REF!/'MCH2'!AY3</f>
        <v>#REF!</v>
      </c>
      <c r="AZ168" s="12" t="e">
        <f>'MCH2'!#REF!/'MCH2'!AZ3</f>
        <v>#REF!</v>
      </c>
      <c r="BA168" s="12" t="e">
        <f>'MCH2'!#REF!/'MCH2'!BA3</f>
        <v>#REF!</v>
      </c>
      <c r="BB168" s="12" t="e">
        <f>'MCH2'!#REF!/'MCH2'!BB3</f>
        <v>#REF!</v>
      </c>
      <c r="BC168" s="12" t="e">
        <f>'MCH2'!#REF!/'MCH2'!BC3</f>
        <v>#REF!</v>
      </c>
      <c r="BD168" s="12" t="e">
        <f>'MCH2'!#REF!/'MCH2'!BD3</f>
        <v>#REF!</v>
      </c>
      <c r="BE168" s="12" t="e">
        <f>'MCH2'!#REF!/'MCH2'!BE3</f>
        <v>#REF!</v>
      </c>
      <c r="BF168" s="12" t="e">
        <f t="shared" si="109"/>
        <v>#REF!</v>
      </c>
      <c r="BG168" s="12" t="e">
        <f t="shared" si="110"/>
        <v>#REF!</v>
      </c>
      <c r="BH168" s="12" t="e">
        <f t="shared" si="111"/>
        <v>#REF!</v>
      </c>
      <c r="BI168" s="12" t="e">
        <f t="shared" si="112"/>
        <v>#REF!</v>
      </c>
    </row>
    <row r="169" spans="3:61" x14ac:dyDescent="0.25">
      <c r="C169" s="7">
        <v>4896</v>
      </c>
      <c r="D169" s="7" t="s">
        <v>272</v>
      </c>
      <c r="E169" s="12" t="e">
        <f>'MCH2'!#REF!/'MCH2'!E3</f>
        <v>#REF!</v>
      </c>
      <c r="F169" s="12" t="e">
        <f>'MCH2'!#REF!/'MCH2'!F3</f>
        <v>#REF!</v>
      </c>
      <c r="G169" s="12" t="e">
        <f>'MCH2'!#REF!/'MCH2'!G3</f>
        <v>#REF!</v>
      </c>
      <c r="H169" s="12" t="e">
        <f>'MCH2'!#REF!/'MCH2'!H3</f>
        <v>#REF!</v>
      </c>
      <c r="I169" s="12" t="e">
        <f>'MCH2'!#REF!/'MCH2'!I3</f>
        <v>#REF!</v>
      </c>
      <c r="J169" s="12" t="e">
        <f>'MCH2'!#REF!/'MCH2'!J3</f>
        <v>#REF!</v>
      </c>
      <c r="K169" s="12" t="e">
        <f>'MCH2'!#REF!/'MCH2'!K3</f>
        <v>#REF!</v>
      </c>
      <c r="L169" s="12" t="e">
        <f>'MCH2'!#REF!/'MCH2'!L3</f>
        <v>#REF!</v>
      </c>
      <c r="M169" s="12" t="e">
        <f>'MCH2'!#REF!/'MCH2'!M3</f>
        <v>#REF!</v>
      </c>
      <c r="N169" s="12" t="e">
        <f>'MCH2'!#REF!/'MCH2'!N3</f>
        <v>#REF!</v>
      </c>
      <c r="O169" s="12" t="e">
        <f>'MCH2'!#REF!/'MCH2'!O3</f>
        <v>#REF!</v>
      </c>
      <c r="P169" s="12" t="e">
        <f>'MCH2'!#REF!/'MCH2'!P3</f>
        <v>#REF!</v>
      </c>
      <c r="Q169" s="12" t="e">
        <f>'MCH2'!#REF!/'MCH2'!Q3</f>
        <v>#REF!</v>
      </c>
      <c r="R169" s="12" t="e">
        <f>'MCH2'!#REF!/'MCH2'!R3</f>
        <v>#REF!</v>
      </c>
      <c r="S169" s="12" t="e">
        <f>'MCH2'!#REF!/'MCH2'!S3</f>
        <v>#REF!</v>
      </c>
      <c r="T169" s="12" t="e">
        <f>'MCH2'!#REF!/'MCH2'!T3</f>
        <v>#REF!</v>
      </c>
      <c r="U169" s="12" t="e">
        <f>'MCH2'!#REF!/'MCH2'!U3</f>
        <v>#REF!</v>
      </c>
      <c r="V169" s="12" t="e">
        <f>'MCH2'!#REF!/'MCH2'!V3</f>
        <v>#REF!</v>
      </c>
      <c r="W169" s="12" t="e">
        <f>'MCH2'!#REF!/'MCH2'!W3</f>
        <v>#REF!</v>
      </c>
      <c r="X169" s="12" t="e">
        <f>'MCH2'!#REF!/'MCH2'!X3</f>
        <v>#REF!</v>
      </c>
      <c r="Y169" s="12" t="e">
        <f>'MCH2'!#REF!/'MCH2'!Y3</f>
        <v>#REF!</v>
      </c>
      <c r="Z169" s="12" t="e">
        <f>'MCH2'!#REF!/'MCH2'!Z3</f>
        <v>#REF!</v>
      </c>
      <c r="AA169" s="12" t="e">
        <f>'MCH2'!#REF!/'MCH2'!AA3</f>
        <v>#REF!</v>
      </c>
      <c r="AB169" s="12" t="e">
        <f>'MCH2'!#REF!/'MCH2'!AB3</f>
        <v>#REF!</v>
      </c>
      <c r="AC169" s="12" t="e">
        <f>'MCH2'!#REF!/'MCH2'!AC3</f>
        <v>#REF!</v>
      </c>
      <c r="AD169" s="12" t="e">
        <f>'MCH2'!#REF!/'MCH2'!AD3</f>
        <v>#REF!</v>
      </c>
      <c r="AE169" s="12" t="e">
        <f>'MCH2'!#REF!/'MCH2'!AE3</f>
        <v>#REF!</v>
      </c>
      <c r="AF169" s="12" t="e">
        <f>'MCH2'!#REF!/'MCH2'!AF3</f>
        <v>#REF!</v>
      </c>
      <c r="AG169" s="12" t="e">
        <f>'MCH2'!#REF!/'MCH2'!AG3</f>
        <v>#REF!</v>
      </c>
      <c r="AH169" s="12" t="e">
        <f>'MCH2'!#REF!/'MCH2'!AH3</f>
        <v>#REF!</v>
      </c>
      <c r="AI169" s="12" t="e">
        <f>'MCH2'!#REF!/'MCH2'!AI3</f>
        <v>#REF!</v>
      </c>
      <c r="AJ169" s="12" t="e">
        <f>'MCH2'!#REF!/'MCH2'!AJ3</f>
        <v>#REF!</v>
      </c>
      <c r="AK169" s="12" t="e">
        <f>'MCH2'!#REF!/'MCH2'!AK3</f>
        <v>#REF!</v>
      </c>
      <c r="AL169" s="12" t="e">
        <f>'MCH2'!#REF!/'MCH2'!AL3</f>
        <v>#REF!</v>
      </c>
      <c r="AM169" s="12" t="e">
        <f>'MCH2'!#REF!/'MCH2'!AM3</f>
        <v>#REF!</v>
      </c>
      <c r="AN169" s="12" t="e">
        <f>'MCH2'!#REF!/'MCH2'!AN3</f>
        <v>#REF!</v>
      </c>
      <c r="AO169" s="12" t="e">
        <f>'MCH2'!#REF!/'MCH2'!AO3</f>
        <v>#REF!</v>
      </c>
      <c r="AP169" s="12" t="e">
        <f>'MCH2'!#REF!/'MCH2'!AP3</f>
        <v>#REF!</v>
      </c>
      <c r="AQ169" s="12" t="e">
        <f>'MCH2'!#REF!/'MCH2'!AQ3</f>
        <v>#REF!</v>
      </c>
      <c r="AR169" s="12" t="e">
        <f>'MCH2'!#REF!/'MCH2'!AR3</f>
        <v>#REF!</v>
      </c>
      <c r="AS169" s="12" t="e">
        <f>'MCH2'!#REF!/'MCH2'!AS3</f>
        <v>#REF!</v>
      </c>
      <c r="AT169" s="12" t="e">
        <f>'MCH2'!#REF!/'MCH2'!AT3</f>
        <v>#REF!</v>
      </c>
      <c r="AU169" s="12" t="e">
        <f>'MCH2'!#REF!/'MCH2'!AU3</f>
        <v>#REF!</v>
      </c>
      <c r="AV169" s="12" t="e">
        <f>'MCH2'!#REF!/'MCH2'!AV3</f>
        <v>#REF!</v>
      </c>
      <c r="AW169" s="12" t="e">
        <f>'MCH2'!#REF!/'MCH2'!AW3</f>
        <v>#REF!</v>
      </c>
      <c r="AX169" s="12" t="e">
        <f>'MCH2'!#REF!/'MCH2'!AX3</f>
        <v>#REF!</v>
      </c>
      <c r="AY169" s="12" t="e">
        <f>'MCH2'!#REF!/'MCH2'!AY3</f>
        <v>#REF!</v>
      </c>
      <c r="AZ169" s="12" t="e">
        <f>'MCH2'!#REF!/'MCH2'!AZ3</f>
        <v>#REF!</v>
      </c>
      <c r="BA169" s="12" t="e">
        <f>'MCH2'!#REF!/'MCH2'!BA3</f>
        <v>#REF!</v>
      </c>
      <c r="BB169" s="12" t="e">
        <f>'MCH2'!#REF!/'MCH2'!BB3</f>
        <v>#REF!</v>
      </c>
      <c r="BC169" s="12" t="e">
        <f>'MCH2'!#REF!/'MCH2'!BC3</f>
        <v>#REF!</v>
      </c>
      <c r="BD169" s="12" t="e">
        <f>'MCH2'!#REF!/'MCH2'!BD3</f>
        <v>#REF!</v>
      </c>
      <c r="BE169" s="12" t="e">
        <f>'MCH2'!#REF!/'MCH2'!BE3</f>
        <v>#REF!</v>
      </c>
      <c r="BF169" s="12" t="e">
        <f t="shared" si="109"/>
        <v>#REF!</v>
      </c>
      <c r="BG169" s="12" t="e">
        <f t="shared" si="110"/>
        <v>#REF!</v>
      </c>
      <c r="BH169" s="12" t="e">
        <f t="shared" si="111"/>
        <v>#REF!</v>
      </c>
      <c r="BI169" s="12" t="e">
        <f t="shared" si="112"/>
        <v>#REF!</v>
      </c>
    </row>
    <row r="170" spans="3:61" x14ac:dyDescent="0.25">
      <c r="C170" s="7">
        <v>9000</v>
      </c>
      <c r="D170" s="7" t="s">
        <v>269</v>
      </c>
      <c r="E170" s="12" t="e">
        <f>'MCH2'!#REF!/'MCH2'!E3</f>
        <v>#REF!</v>
      </c>
      <c r="F170" s="12" t="e">
        <f>'MCH2'!#REF!/'MCH2'!F3</f>
        <v>#REF!</v>
      </c>
      <c r="G170" s="12" t="e">
        <f>'MCH2'!#REF!/'MCH2'!G3</f>
        <v>#REF!</v>
      </c>
      <c r="H170" s="12" t="e">
        <f>'MCH2'!#REF!/'MCH2'!H3</f>
        <v>#REF!</v>
      </c>
      <c r="I170" s="12" t="e">
        <f>'MCH2'!#REF!/'MCH2'!I3</f>
        <v>#REF!</v>
      </c>
      <c r="J170" s="12" t="e">
        <f>'MCH2'!#REF!/'MCH2'!J3</f>
        <v>#REF!</v>
      </c>
      <c r="K170" s="12" t="e">
        <f>'MCH2'!#REF!/'MCH2'!K3</f>
        <v>#REF!</v>
      </c>
      <c r="L170" s="12" t="e">
        <f>'MCH2'!#REF!/'MCH2'!L3</f>
        <v>#REF!</v>
      </c>
      <c r="M170" s="12" t="e">
        <f>'MCH2'!#REF!/'MCH2'!M3</f>
        <v>#REF!</v>
      </c>
      <c r="N170" s="12" t="e">
        <f>'MCH2'!#REF!/'MCH2'!N3</f>
        <v>#REF!</v>
      </c>
      <c r="O170" s="12" t="e">
        <f>'MCH2'!#REF!/'MCH2'!O3</f>
        <v>#REF!</v>
      </c>
      <c r="P170" s="12" t="e">
        <f>'MCH2'!#REF!/'MCH2'!P3</f>
        <v>#REF!</v>
      </c>
      <c r="Q170" s="12" t="e">
        <f>'MCH2'!#REF!/'MCH2'!Q3</f>
        <v>#REF!</v>
      </c>
      <c r="R170" s="12" t="e">
        <f>'MCH2'!#REF!/'MCH2'!R3</f>
        <v>#REF!</v>
      </c>
      <c r="S170" s="12" t="e">
        <f>'MCH2'!#REF!/'MCH2'!S3</f>
        <v>#REF!</v>
      </c>
      <c r="T170" s="12" t="e">
        <f>'MCH2'!#REF!/'MCH2'!T3</f>
        <v>#REF!</v>
      </c>
      <c r="U170" s="12" t="e">
        <f>'MCH2'!#REF!/'MCH2'!U3</f>
        <v>#REF!</v>
      </c>
      <c r="V170" s="12" t="e">
        <f>'MCH2'!#REF!/'MCH2'!V3</f>
        <v>#REF!</v>
      </c>
      <c r="W170" s="12" t="e">
        <f>'MCH2'!#REF!/'MCH2'!W3</f>
        <v>#REF!</v>
      </c>
      <c r="X170" s="12" t="e">
        <f>'MCH2'!#REF!/'MCH2'!X3</f>
        <v>#REF!</v>
      </c>
      <c r="Y170" s="12" t="e">
        <f>'MCH2'!#REF!/'MCH2'!Y3</f>
        <v>#REF!</v>
      </c>
      <c r="Z170" s="12" t="e">
        <f>'MCH2'!#REF!/'MCH2'!Z3</f>
        <v>#REF!</v>
      </c>
      <c r="AA170" s="12" t="e">
        <f>'MCH2'!#REF!/'MCH2'!AA3</f>
        <v>#REF!</v>
      </c>
      <c r="AB170" s="12" t="e">
        <f>'MCH2'!#REF!/'MCH2'!AB3</f>
        <v>#REF!</v>
      </c>
      <c r="AC170" s="12" t="e">
        <f>'MCH2'!#REF!/'MCH2'!AC3</f>
        <v>#REF!</v>
      </c>
      <c r="AD170" s="12" t="e">
        <f>'MCH2'!#REF!/'MCH2'!AD3</f>
        <v>#REF!</v>
      </c>
      <c r="AE170" s="12" t="e">
        <f>'MCH2'!#REF!/'MCH2'!AE3</f>
        <v>#REF!</v>
      </c>
      <c r="AF170" s="12" t="e">
        <f>'MCH2'!#REF!/'MCH2'!AF3</f>
        <v>#REF!</v>
      </c>
      <c r="AG170" s="12" t="e">
        <f>'MCH2'!#REF!/'MCH2'!AG3</f>
        <v>#REF!</v>
      </c>
      <c r="AH170" s="12" t="e">
        <f>'MCH2'!#REF!/'MCH2'!AH3</f>
        <v>#REF!</v>
      </c>
      <c r="AI170" s="12" t="e">
        <f>'MCH2'!#REF!/'MCH2'!AI3</f>
        <v>#REF!</v>
      </c>
      <c r="AJ170" s="12" t="e">
        <f>'MCH2'!#REF!/'MCH2'!AJ3</f>
        <v>#REF!</v>
      </c>
      <c r="AK170" s="12" t="e">
        <f>'MCH2'!#REF!/'MCH2'!AK3</f>
        <v>#REF!</v>
      </c>
      <c r="AL170" s="12" t="e">
        <f>'MCH2'!#REF!/'MCH2'!AL3</f>
        <v>#REF!</v>
      </c>
      <c r="AM170" s="12" t="e">
        <f>'MCH2'!#REF!/'MCH2'!AM3</f>
        <v>#REF!</v>
      </c>
      <c r="AN170" s="12" t="e">
        <f>'MCH2'!#REF!/'MCH2'!AN3</f>
        <v>#REF!</v>
      </c>
      <c r="AO170" s="12" t="e">
        <f>'MCH2'!#REF!/'MCH2'!AO3</f>
        <v>#REF!</v>
      </c>
      <c r="AP170" s="12" t="e">
        <f>'MCH2'!#REF!/'MCH2'!AP3</f>
        <v>#REF!</v>
      </c>
      <c r="AQ170" s="12" t="e">
        <f>'MCH2'!#REF!/'MCH2'!AQ3</f>
        <v>#REF!</v>
      </c>
      <c r="AR170" s="12" t="e">
        <f>'MCH2'!#REF!/'MCH2'!AR3</f>
        <v>#REF!</v>
      </c>
      <c r="AS170" s="12" t="e">
        <f>'MCH2'!#REF!/'MCH2'!AS3</f>
        <v>#REF!</v>
      </c>
      <c r="AT170" s="12" t="e">
        <f>'MCH2'!#REF!/'MCH2'!AT3</f>
        <v>#REF!</v>
      </c>
      <c r="AU170" s="12" t="e">
        <f>'MCH2'!#REF!/'MCH2'!AU3</f>
        <v>#REF!</v>
      </c>
      <c r="AV170" s="12" t="e">
        <f>'MCH2'!#REF!/'MCH2'!AV3</f>
        <v>#REF!</v>
      </c>
      <c r="AW170" s="12" t="e">
        <f>'MCH2'!#REF!/'MCH2'!AW3</f>
        <v>#REF!</v>
      </c>
      <c r="AX170" s="12" t="e">
        <f>'MCH2'!#REF!/'MCH2'!AX3</f>
        <v>#REF!</v>
      </c>
      <c r="AY170" s="12" t="e">
        <f>'MCH2'!#REF!/'MCH2'!AY3</f>
        <v>#REF!</v>
      </c>
      <c r="AZ170" s="12" t="e">
        <f>'MCH2'!#REF!/'MCH2'!AZ3</f>
        <v>#REF!</v>
      </c>
      <c r="BA170" s="12" t="e">
        <f>'MCH2'!#REF!/'MCH2'!BA3</f>
        <v>#REF!</v>
      </c>
      <c r="BB170" s="12" t="e">
        <f>'MCH2'!#REF!/'MCH2'!BB3</f>
        <v>#REF!</v>
      </c>
      <c r="BC170" s="12" t="e">
        <f>'MCH2'!#REF!/'MCH2'!BC3</f>
        <v>#REF!</v>
      </c>
      <c r="BD170" s="12" t="e">
        <f>'MCH2'!#REF!/'MCH2'!BD3</f>
        <v>#REF!</v>
      </c>
      <c r="BE170" s="12" t="e">
        <f>'MCH2'!#REF!/'MCH2'!BE3</f>
        <v>#REF!</v>
      </c>
      <c r="BF170" s="12" t="e">
        <f t="shared" si="109"/>
        <v>#REF!</v>
      </c>
      <c r="BG170" s="12" t="e">
        <f t="shared" si="110"/>
        <v>#REF!</v>
      </c>
      <c r="BH170" s="12" t="e">
        <f t="shared" si="111"/>
        <v>#REF!</v>
      </c>
      <c r="BI170" s="12" t="e">
        <f t="shared" si="112"/>
        <v>#REF!</v>
      </c>
    </row>
    <row r="171" spans="3:61" x14ac:dyDescent="0.25">
      <c r="C171" s="7">
        <v>9029</v>
      </c>
      <c r="D171" s="7" t="s">
        <v>273</v>
      </c>
      <c r="E171" s="12" t="e">
        <f>'MCH2'!#REF!/'MCH2'!E3</f>
        <v>#REF!</v>
      </c>
      <c r="F171" s="12" t="e">
        <f>'MCH2'!#REF!/'MCH2'!F3</f>
        <v>#REF!</v>
      </c>
      <c r="G171" s="12" t="e">
        <f>'MCH2'!#REF!/'MCH2'!G3</f>
        <v>#REF!</v>
      </c>
      <c r="H171" s="12" t="e">
        <f>'MCH2'!#REF!/'MCH2'!H3</f>
        <v>#REF!</v>
      </c>
      <c r="I171" s="12" t="e">
        <f>'MCH2'!#REF!/'MCH2'!I3</f>
        <v>#REF!</v>
      </c>
      <c r="J171" s="12" t="e">
        <f>'MCH2'!#REF!/'MCH2'!J3</f>
        <v>#REF!</v>
      </c>
      <c r="K171" s="12" t="e">
        <f>'MCH2'!#REF!/'MCH2'!K3</f>
        <v>#REF!</v>
      </c>
      <c r="L171" s="12" t="e">
        <f>'MCH2'!#REF!/'MCH2'!L3</f>
        <v>#REF!</v>
      </c>
      <c r="M171" s="12" t="e">
        <f>'MCH2'!#REF!/'MCH2'!M3</f>
        <v>#REF!</v>
      </c>
      <c r="N171" s="12" t="e">
        <f>'MCH2'!#REF!/'MCH2'!N3</f>
        <v>#REF!</v>
      </c>
      <c r="O171" s="12" t="e">
        <f>'MCH2'!#REF!/'MCH2'!O3</f>
        <v>#REF!</v>
      </c>
      <c r="P171" s="12" t="e">
        <f>'MCH2'!#REF!/'MCH2'!P3</f>
        <v>#REF!</v>
      </c>
      <c r="Q171" s="12" t="e">
        <f>'MCH2'!#REF!/'MCH2'!Q3</f>
        <v>#REF!</v>
      </c>
      <c r="R171" s="12" t="e">
        <f>'MCH2'!#REF!/'MCH2'!R3</f>
        <v>#REF!</v>
      </c>
      <c r="S171" s="12" t="e">
        <f>'MCH2'!#REF!/'MCH2'!S3</f>
        <v>#REF!</v>
      </c>
      <c r="T171" s="12" t="e">
        <f>'MCH2'!#REF!/'MCH2'!T3</f>
        <v>#REF!</v>
      </c>
      <c r="U171" s="12" t="e">
        <f>'MCH2'!#REF!/'MCH2'!U3</f>
        <v>#REF!</v>
      </c>
      <c r="V171" s="12" t="e">
        <f>'MCH2'!#REF!/'MCH2'!V3</f>
        <v>#REF!</v>
      </c>
      <c r="W171" s="12" t="e">
        <f>'MCH2'!#REF!/'MCH2'!W3</f>
        <v>#REF!</v>
      </c>
      <c r="X171" s="12" t="e">
        <f>'MCH2'!#REF!/'MCH2'!X3</f>
        <v>#REF!</v>
      </c>
      <c r="Y171" s="12" t="e">
        <f>'MCH2'!#REF!/'MCH2'!Y3</f>
        <v>#REF!</v>
      </c>
      <c r="Z171" s="12" t="e">
        <f>'MCH2'!#REF!/'MCH2'!Z3</f>
        <v>#REF!</v>
      </c>
      <c r="AA171" s="12" t="e">
        <f>'MCH2'!#REF!/'MCH2'!AA3</f>
        <v>#REF!</v>
      </c>
      <c r="AB171" s="12" t="e">
        <f>'MCH2'!#REF!/'MCH2'!AB3</f>
        <v>#REF!</v>
      </c>
      <c r="AC171" s="12" t="e">
        <f>'MCH2'!#REF!/'MCH2'!AC3</f>
        <v>#REF!</v>
      </c>
      <c r="AD171" s="12" t="e">
        <f>'MCH2'!#REF!/'MCH2'!AD3</f>
        <v>#REF!</v>
      </c>
      <c r="AE171" s="12" t="e">
        <f>'MCH2'!#REF!/'MCH2'!AE3</f>
        <v>#REF!</v>
      </c>
      <c r="AF171" s="12" t="e">
        <f>'MCH2'!#REF!/'MCH2'!AF3</f>
        <v>#REF!</v>
      </c>
      <c r="AG171" s="12" t="e">
        <f>'MCH2'!#REF!/'MCH2'!AG3</f>
        <v>#REF!</v>
      </c>
      <c r="AH171" s="12" t="e">
        <f>'MCH2'!#REF!/'MCH2'!AH3</f>
        <v>#REF!</v>
      </c>
      <c r="AI171" s="12" t="e">
        <f>'MCH2'!#REF!/'MCH2'!AI3</f>
        <v>#REF!</v>
      </c>
      <c r="AJ171" s="12" t="e">
        <f>'MCH2'!#REF!/'MCH2'!AJ3</f>
        <v>#REF!</v>
      </c>
      <c r="AK171" s="12" t="e">
        <f>'MCH2'!#REF!/'MCH2'!AK3</f>
        <v>#REF!</v>
      </c>
      <c r="AL171" s="12" t="e">
        <f>'MCH2'!#REF!/'MCH2'!AL3</f>
        <v>#REF!</v>
      </c>
      <c r="AM171" s="12" t="e">
        <f>'MCH2'!#REF!/'MCH2'!AM3</f>
        <v>#REF!</v>
      </c>
      <c r="AN171" s="12" t="e">
        <f>'MCH2'!#REF!/'MCH2'!AN3</f>
        <v>#REF!</v>
      </c>
      <c r="AO171" s="12" t="e">
        <f>'MCH2'!#REF!/'MCH2'!AO3</f>
        <v>#REF!</v>
      </c>
      <c r="AP171" s="12" t="e">
        <f>'MCH2'!#REF!/'MCH2'!AP3</f>
        <v>#REF!</v>
      </c>
      <c r="AQ171" s="12" t="e">
        <f>'MCH2'!#REF!/'MCH2'!AQ3</f>
        <v>#REF!</v>
      </c>
      <c r="AR171" s="12" t="e">
        <f>'MCH2'!#REF!/'MCH2'!AR3</f>
        <v>#REF!</v>
      </c>
      <c r="AS171" s="12" t="e">
        <f>'MCH2'!#REF!/'MCH2'!AS3</f>
        <v>#REF!</v>
      </c>
      <c r="AT171" s="12" t="e">
        <f>'MCH2'!#REF!/'MCH2'!AT3</f>
        <v>#REF!</v>
      </c>
      <c r="AU171" s="12" t="e">
        <f>'MCH2'!#REF!/'MCH2'!AU3</f>
        <v>#REF!</v>
      </c>
      <c r="AV171" s="12" t="e">
        <f>'MCH2'!#REF!/'MCH2'!AV3</f>
        <v>#REF!</v>
      </c>
      <c r="AW171" s="12" t="e">
        <f>'MCH2'!#REF!/'MCH2'!AW3</f>
        <v>#REF!</v>
      </c>
      <c r="AX171" s="12" t="e">
        <f>'MCH2'!#REF!/'MCH2'!AX3</f>
        <v>#REF!</v>
      </c>
      <c r="AY171" s="12" t="e">
        <f>'MCH2'!#REF!/'MCH2'!AY3</f>
        <v>#REF!</v>
      </c>
      <c r="AZ171" s="12" t="e">
        <f>'MCH2'!#REF!/'MCH2'!AZ3</f>
        <v>#REF!</v>
      </c>
      <c r="BA171" s="12" t="e">
        <f>'MCH2'!#REF!/'MCH2'!BA3</f>
        <v>#REF!</v>
      </c>
      <c r="BB171" s="12" t="e">
        <f>'MCH2'!#REF!/'MCH2'!BB3</f>
        <v>#REF!</v>
      </c>
      <c r="BC171" s="12" t="e">
        <f>'MCH2'!#REF!/'MCH2'!BC3</f>
        <v>#REF!</v>
      </c>
      <c r="BD171" s="12" t="e">
        <f>'MCH2'!#REF!/'MCH2'!BD3</f>
        <v>#REF!</v>
      </c>
      <c r="BE171" s="12" t="e">
        <f>'MCH2'!#REF!/'MCH2'!BE3</f>
        <v>#REF!</v>
      </c>
      <c r="BF171" s="12" t="e">
        <f t="shared" si="109"/>
        <v>#REF!</v>
      </c>
      <c r="BG171" s="12" t="e">
        <f t="shared" si="110"/>
        <v>#REF!</v>
      </c>
      <c r="BH171" s="12" t="e">
        <f t="shared" si="111"/>
        <v>#REF!</v>
      </c>
      <c r="BI171" s="12" t="e">
        <f t="shared" si="112"/>
        <v>#REF!</v>
      </c>
    </row>
    <row r="172" spans="3:61" x14ac:dyDescent="0.25">
      <c r="C172" s="7">
        <v>3180</v>
      </c>
      <c r="D172" s="7" t="s">
        <v>295</v>
      </c>
      <c r="E172" s="12" t="e">
        <f>'MCH2'!#REF!/'MCH2'!E3</f>
        <v>#REF!</v>
      </c>
      <c r="F172" s="12" t="e">
        <f>'MCH2'!#REF!/'MCH2'!F3</f>
        <v>#REF!</v>
      </c>
      <c r="G172" s="12" t="e">
        <f>'MCH2'!#REF!/'MCH2'!G3</f>
        <v>#REF!</v>
      </c>
      <c r="H172" s="12" t="e">
        <f>'MCH2'!#REF!/'MCH2'!H3</f>
        <v>#REF!</v>
      </c>
      <c r="I172" s="12" t="e">
        <f>'MCH2'!#REF!/'MCH2'!I3</f>
        <v>#REF!</v>
      </c>
      <c r="J172" s="12" t="e">
        <f>'MCH2'!#REF!/'MCH2'!J3</f>
        <v>#REF!</v>
      </c>
      <c r="K172" s="12" t="e">
        <f>'MCH2'!#REF!/'MCH2'!K3</f>
        <v>#REF!</v>
      </c>
      <c r="L172" s="12" t="e">
        <f>'MCH2'!#REF!/'MCH2'!L3</f>
        <v>#REF!</v>
      </c>
      <c r="M172" s="12" t="e">
        <f>'MCH2'!#REF!/'MCH2'!M3</f>
        <v>#REF!</v>
      </c>
      <c r="N172" s="12" t="e">
        <f>'MCH2'!#REF!/'MCH2'!N3</f>
        <v>#REF!</v>
      </c>
      <c r="O172" s="12" t="e">
        <f>'MCH2'!#REF!/'MCH2'!O3</f>
        <v>#REF!</v>
      </c>
      <c r="P172" s="12" t="e">
        <f>'MCH2'!#REF!/'MCH2'!P3</f>
        <v>#REF!</v>
      </c>
      <c r="Q172" s="12" t="e">
        <f>'MCH2'!#REF!/'MCH2'!Q3</f>
        <v>#REF!</v>
      </c>
      <c r="R172" s="12" t="e">
        <f>'MCH2'!#REF!/'MCH2'!R3</f>
        <v>#REF!</v>
      </c>
      <c r="S172" s="12" t="e">
        <f>'MCH2'!#REF!/'MCH2'!S3</f>
        <v>#REF!</v>
      </c>
      <c r="T172" s="12" t="e">
        <f>'MCH2'!#REF!/'MCH2'!T3</f>
        <v>#REF!</v>
      </c>
      <c r="U172" s="12" t="e">
        <f>'MCH2'!#REF!/'MCH2'!U3</f>
        <v>#REF!</v>
      </c>
      <c r="V172" s="12" t="e">
        <f>'MCH2'!#REF!/'MCH2'!V3</f>
        <v>#REF!</v>
      </c>
      <c r="W172" s="12" t="e">
        <f>'MCH2'!#REF!/'MCH2'!W3</f>
        <v>#REF!</v>
      </c>
      <c r="X172" s="12" t="e">
        <f>'MCH2'!#REF!/'MCH2'!X3</f>
        <v>#REF!</v>
      </c>
      <c r="Y172" s="12" t="e">
        <f>'MCH2'!#REF!/'MCH2'!Y3</f>
        <v>#REF!</v>
      </c>
      <c r="Z172" s="12" t="e">
        <f>'MCH2'!#REF!/'MCH2'!Z3</f>
        <v>#REF!</v>
      </c>
      <c r="AA172" s="12" t="e">
        <f>'MCH2'!#REF!/'MCH2'!AA3</f>
        <v>#REF!</v>
      </c>
      <c r="AB172" s="12" t="e">
        <f>'MCH2'!#REF!/'MCH2'!AB3</f>
        <v>#REF!</v>
      </c>
      <c r="AC172" s="12" t="e">
        <f>'MCH2'!#REF!/'MCH2'!AC3</f>
        <v>#REF!</v>
      </c>
      <c r="AD172" s="12" t="e">
        <f>'MCH2'!#REF!/'MCH2'!AD3</f>
        <v>#REF!</v>
      </c>
      <c r="AE172" s="12" t="e">
        <f>'MCH2'!#REF!/'MCH2'!AE3</f>
        <v>#REF!</v>
      </c>
      <c r="AF172" s="12" t="e">
        <f>'MCH2'!#REF!/'MCH2'!AF3</f>
        <v>#REF!</v>
      </c>
      <c r="AG172" s="12" t="e">
        <f>'MCH2'!#REF!/'MCH2'!AG3</f>
        <v>#REF!</v>
      </c>
      <c r="AH172" s="12" t="e">
        <f>'MCH2'!#REF!/'MCH2'!AH3</f>
        <v>#REF!</v>
      </c>
      <c r="AI172" s="12" t="e">
        <f>'MCH2'!#REF!/'MCH2'!AI3</f>
        <v>#REF!</v>
      </c>
      <c r="AJ172" s="12" t="e">
        <f>'MCH2'!#REF!/'MCH2'!AJ3</f>
        <v>#REF!</v>
      </c>
      <c r="AK172" s="12" t="e">
        <f>'MCH2'!#REF!/'MCH2'!AK3</f>
        <v>#REF!</v>
      </c>
      <c r="AL172" s="12" t="e">
        <f>'MCH2'!#REF!/'MCH2'!AL3</f>
        <v>#REF!</v>
      </c>
      <c r="AM172" s="12" t="e">
        <f>'MCH2'!#REF!/'MCH2'!AM3</f>
        <v>#REF!</v>
      </c>
      <c r="AN172" s="12" t="e">
        <f>'MCH2'!#REF!/'MCH2'!AN3</f>
        <v>#REF!</v>
      </c>
      <c r="AO172" s="12" t="e">
        <f>'MCH2'!#REF!/'MCH2'!AO3</f>
        <v>#REF!</v>
      </c>
      <c r="AP172" s="12" t="e">
        <f>'MCH2'!#REF!/'MCH2'!AP3</f>
        <v>#REF!</v>
      </c>
      <c r="AQ172" s="12" t="e">
        <f>'MCH2'!#REF!/'MCH2'!AQ3</f>
        <v>#REF!</v>
      </c>
      <c r="AR172" s="12" t="e">
        <f>'MCH2'!#REF!/'MCH2'!AR3</f>
        <v>#REF!</v>
      </c>
      <c r="AS172" s="12" t="e">
        <f>'MCH2'!#REF!/'MCH2'!AS3</f>
        <v>#REF!</v>
      </c>
      <c r="AT172" s="12" t="e">
        <f>'MCH2'!#REF!/'MCH2'!AT3</f>
        <v>#REF!</v>
      </c>
      <c r="AU172" s="12" t="e">
        <f>'MCH2'!#REF!/'MCH2'!AU3</f>
        <v>#REF!</v>
      </c>
      <c r="AV172" s="12" t="e">
        <f>'MCH2'!#REF!/'MCH2'!AV3</f>
        <v>#REF!</v>
      </c>
      <c r="AW172" s="12" t="e">
        <f>'MCH2'!#REF!/'MCH2'!AW3</f>
        <v>#REF!</v>
      </c>
      <c r="AX172" s="12" t="e">
        <f>'MCH2'!#REF!/'MCH2'!AX3</f>
        <v>#REF!</v>
      </c>
      <c r="AY172" s="12" t="e">
        <f>'MCH2'!#REF!/'MCH2'!AY3</f>
        <v>#REF!</v>
      </c>
      <c r="AZ172" s="12" t="e">
        <f>'MCH2'!#REF!/'MCH2'!AZ3</f>
        <v>#REF!</v>
      </c>
      <c r="BA172" s="12" t="e">
        <f>'MCH2'!#REF!/'MCH2'!BA3</f>
        <v>#REF!</v>
      </c>
      <c r="BB172" s="12" t="e">
        <f>'MCH2'!#REF!/'MCH2'!BB3</f>
        <v>#REF!</v>
      </c>
      <c r="BC172" s="12" t="e">
        <f>'MCH2'!#REF!/'MCH2'!BC3</f>
        <v>#REF!</v>
      </c>
      <c r="BD172" s="12" t="e">
        <f>'MCH2'!#REF!/'MCH2'!BD3</f>
        <v>#REF!</v>
      </c>
      <c r="BE172" s="12" t="e">
        <f>'MCH2'!#REF!/'MCH2'!BE3</f>
        <v>#REF!</v>
      </c>
      <c r="BF172" s="12" t="e">
        <f t="shared" si="109"/>
        <v>#REF!</v>
      </c>
      <c r="BG172" s="12" t="e">
        <f t="shared" si="110"/>
        <v>#REF!</v>
      </c>
      <c r="BH172" s="12" t="e">
        <f t="shared" si="111"/>
        <v>#REF!</v>
      </c>
      <c r="BI172" s="12" t="e">
        <f t="shared" si="112"/>
        <v>#REF!</v>
      </c>
    </row>
    <row r="173" spans="3:61" x14ac:dyDescent="0.25">
      <c r="C173" s="7">
        <v>36227</v>
      </c>
      <c r="D173" s="7" t="s">
        <v>270</v>
      </c>
      <c r="E173" s="12" t="e">
        <f>'MCH2'!#REF!/'MCH2'!E3</f>
        <v>#REF!</v>
      </c>
      <c r="F173" s="12" t="e">
        <f>'MCH2'!#REF!/'MCH2'!F3</f>
        <v>#REF!</v>
      </c>
      <c r="G173" s="12" t="e">
        <f>'MCH2'!#REF!/'MCH2'!G3</f>
        <v>#REF!</v>
      </c>
      <c r="H173" s="12" t="e">
        <f>'MCH2'!#REF!/'MCH2'!H3</f>
        <v>#REF!</v>
      </c>
      <c r="I173" s="12" t="e">
        <f>'MCH2'!#REF!/'MCH2'!I3</f>
        <v>#REF!</v>
      </c>
      <c r="J173" s="12" t="e">
        <f>'MCH2'!#REF!/'MCH2'!J3</f>
        <v>#REF!</v>
      </c>
      <c r="K173" s="12" t="e">
        <f>'MCH2'!#REF!/'MCH2'!K3</f>
        <v>#REF!</v>
      </c>
      <c r="L173" s="12" t="e">
        <f>'MCH2'!#REF!/'MCH2'!L3</f>
        <v>#REF!</v>
      </c>
      <c r="M173" s="12" t="e">
        <f>'MCH2'!#REF!/'MCH2'!M3</f>
        <v>#REF!</v>
      </c>
      <c r="N173" s="12" t="e">
        <f>'MCH2'!#REF!/'MCH2'!N3</f>
        <v>#REF!</v>
      </c>
      <c r="O173" s="12" t="e">
        <f>'MCH2'!#REF!/'MCH2'!O3</f>
        <v>#REF!</v>
      </c>
      <c r="P173" s="12" t="e">
        <f>'MCH2'!#REF!/'MCH2'!P3</f>
        <v>#REF!</v>
      </c>
      <c r="Q173" s="12" t="e">
        <f>'MCH2'!#REF!/'MCH2'!Q3</f>
        <v>#REF!</v>
      </c>
      <c r="R173" s="12" t="e">
        <f>'MCH2'!#REF!/'MCH2'!R3</f>
        <v>#REF!</v>
      </c>
      <c r="S173" s="12" t="e">
        <f>'MCH2'!#REF!/'MCH2'!S3</f>
        <v>#REF!</v>
      </c>
      <c r="T173" s="12" t="e">
        <f>'MCH2'!#REF!/'MCH2'!T3</f>
        <v>#REF!</v>
      </c>
      <c r="U173" s="12" t="e">
        <f>'MCH2'!#REF!/'MCH2'!U3</f>
        <v>#REF!</v>
      </c>
      <c r="V173" s="12" t="e">
        <f>'MCH2'!#REF!/'MCH2'!V3</f>
        <v>#REF!</v>
      </c>
      <c r="W173" s="12" t="e">
        <f>'MCH2'!#REF!/'MCH2'!W3</f>
        <v>#REF!</v>
      </c>
      <c r="X173" s="12" t="e">
        <f>'MCH2'!#REF!/'MCH2'!X3</f>
        <v>#REF!</v>
      </c>
      <c r="Y173" s="12" t="e">
        <f>'MCH2'!#REF!/'MCH2'!Y3</f>
        <v>#REF!</v>
      </c>
      <c r="Z173" s="12" t="e">
        <f>'MCH2'!#REF!/'MCH2'!Z3</f>
        <v>#REF!</v>
      </c>
      <c r="AA173" s="12" t="e">
        <f>'MCH2'!#REF!/'MCH2'!AA3</f>
        <v>#REF!</v>
      </c>
      <c r="AB173" s="12" t="e">
        <f>'MCH2'!#REF!/'MCH2'!AB3</f>
        <v>#REF!</v>
      </c>
      <c r="AC173" s="12" t="e">
        <f>'MCH2'!#REF!/'MCH2'!AC3</f>
        <v>#REF!</v>
      </c>
      <c r="AD173" s="12" t="e">
        <f>'MCH2'!#REF!/'MCH2'!AD3</f>
        <v>#REF!</v>
      </c>
      <c r="AE173" s="12" t="e">
        <f>'MCH2'!#REF!/'MCH2'!AE3</f>
        <v>#REF!</v>
      </c>
      <c r="AF173" s="12" t="e">
        <f>'MCH2'!#REF!/'MCH2'!AF3</f>
        <v>#REF!</v>
      </c>
      <c r="AG173" s="12" t="e">
        <f>'MCH2'!#REF!/'MCH2'!AG3</f>
        <v>#REF!</v>
      </c>
      <c r="AH173" s="12" t="e">
        <f>'MCH2'!#REF!/'MCH2'!AH3</f>
        <v>#REF!</v>
      </c>
      <c r="AI173" s="12" t="e">
        <f>'MCH2'!#REF!/'MCH2'!AI3</f>
        <v>#REF!</v>
      </c>
      <c r="AJ173" s="12" t="e">
        <f>'MCH2'!#REF!/'MCH2'!AJ3</f>
        <v>#REF!</v>
      </c>
      <c r="AK173" s="12" t="e">
        <f>'MCH2'!#REF!/'MCH2'!AK3</f>
        <v>#REF!</v>
      </c>
      <c r="AL173" s="12" t="e">
        <f>'MCH2'!#REF!/'MCH2'!AL3</f>
        <v>#REF!</v>
      </c>
      <c r="AM173" s="12" t="e">
        <f>'MCH2'!#REF!/'MCH2'!AM3</f>
        <v>#REF!</v>
      </c>
      <c r="AN173" s="12" t="e">
        <f>'MCH2'!#REF!/'MCH2'!AN3</f>
        <v>#REF!</v>
      </c>
      <c r="AO173" s="12" t="e">
        <f>'MCH2'!#REF!/'MCH2'!AO3</f>
        <v>#REF!</v>
      </c>
      <c r="AP173" s="12" t="e">
        <f>'MCH2'!#REF!/'MCH2'!AP3</f>
        <v>#REF!</v>
      </c>
      <c r="AQ173" s="12" t="e">
        <f>'MCH2'!#REF!/'MCH2'!AQ3</f>
        <v>#REF!</v>
      </c>
      <c r="AR173" s="12" t="e">
        <f>'MCH2'!#REF!/'MCH2'!AR3</f>
        <v>#REF!</v>
      </c>
      <c r="AS173" s="12" t="e">
        <f>'MCH2'!#REF!/'MCH2'!AS3</f>
        <v>#REF!</v>
      </c>
      <c r="AT173" s="12" t="e">
        <f>'MCH2'!#REF!/'MCH2'!AT3</f>
        <v>#REF!</v>
      </c>
      <c r="AU173" s="12" t="e">
        <f>'MCH2'!#REF!/'MCH2'!AU3</f>
        <v>#REF!</v>
      </c>
      <c r="AV173" s="12" t="e">
        <f>'MCH2'!#REF!/'MCH2'!AV3</f>
        <v>#REF!</v>
      </c>
      <c r="AW173" s="12" t="e">
        <f>'MCH2'!#REF!/'MCH2'!AW3</f>
        <v>#REF!</v>
      </c>
      <c r="AX173" s="12" t="e">
        <f>'MCH2'!#REF!/'MCH2'!AX3</f>
        <v>#REF!</v>
      </c>
      <c r="AY173" s="12" t="e">
        <f>'MCH2'!#REF!/'MCH2'!AY3</f>
        <v>#REF!</v>
      </c>
      <c r="AZ173" s="12" t="e">
        <f>'MCH2'!#REF!/'MCH2'!AZ3</f>
        <v>#REF!</v>
      </c>
      <c r="BA173" s="12" t="e">
        <f>'MCH2'!#REF!/'MCH2'!BA3</f>
        <v>#REF!</v>
      </c>
      <c r="BB173" s="12" t="e">
        <f>'MCH2'!#REF!/'MCH2'!BB3</f>
        <v>#REF!</v>
      </c>
      <c r="BC173" s="12" t="e">
        <f>'MCH2'!#REF!/'MCH2'!BC3</f>
        <v>#REF!</v>
      </c>
      <c r="BD173" s="12" t="e">
        <f>'MCH2'!#REF!/'MCH2'!BD3</f>
        <v>#REF!</v>
      </c>
      <c r="BE173" s="12" t="e">
        <f>'MCH2'!#REF!/'MCH2'!BE3</f>
        <v>#REF!</v>
      </c>
      <c r="BF173" s="12" t="e">
        <f t="shared" si="109"/>
        <v>#REF!</v>
      </c>
      <c r="BG173" s="12" t="e">
        <f t="shared" si="110"/>
        <v>#REF!</v>
      </c>
      <c r="BH173" s="12" t="e">
        <f t="shared" si="111"/>
        <v>#REF!</v>
      </c>
      <c r="BI173" s="12" t="e">
        <f t="shared" si="112"/>
        <v>#REF!</v>
      </c>
    </row>
    <row r="174" spans="3:61" x14ac:dyDescent="0.25">
      <c r="C174" s="7">
        <v>36228</v>
      </c>
      <c r="D174" s="7" t="s">
        <v>271</v>
      </c>
      <c r="E174" s="12" t="e">
        <f>'MCH2'!#REF!/'MCH2'!E3</f>
        <v>#REF!</v>
      </c>
      <c r="F174" s="12" t="e">
        <f>'MCH2'!#REF!/'MCH2'!F3</f>
        <v>#REF!</v>
      </c>
      <c r="G174" s="12" t="e">
        <f>'MCH2'!#REF!/'MCH2'!G3</f>
        <v>#REF!</v>
      </c>
      <c r="H174" s="12" t="e">
        <f>'MCH2'!#REF!/'MCH2'!H3</f>
        <v>#REF!</v>
      </c>
      <c r="I174" s="12" t="e">
        <f>'MCH2'!#REF!/'MCH2'!I3</f>
        <v>#REF!</v>
      </c>
      <c r="J174" s="12" t="e">
        <f>'MCH2'!#REF!/'MCH2'!J3</f>
        <v>#REF!</v>
      </c>
      <c r="K174" s="12" t="e">
        <f>'MCH2'!#REF!/'MCH2'!K3</f>
        <v>#REF!</v>
      </c>
      <c r="L174" s="12" t="e">
        <f>'MCH2'!#REF!/'MCH2'!L3</f>
        <v>#REF!</v>
      </c>
      <c r="M174" s="12" t="e">
        <f>'MCH2'!#REF!/'MCH2'!M3</f>
        <v>#REF!</v>
      </c>
      <c r="N174" s="12" t="e">
        <f>'MCH2'!#REF!/'MCH2'!N3</f>
        <v>#REF!</v>
      </c>
      <c r="O174" s="12" t="e">
        <f>'MCH2'!#REF!/'MCH2'!O3</f>
        <v>#REF!</v>
      </c>
      <c r="P174" s="12" t="e">
        <f>'MCH2'!#REF!/'MCH2'!P3</f>
        <v>#REF!</v>
      </c>
      <c r="Q174" s="12" t="e">
        <f>'MCH2'!#REF!/'MCH2'!Q3</f>
        <v>#REF!</v>
      </c>
      <c r="R174" s="12" t="e">
        <f>'MCH2'!#REF!/'MCH2'!R3</f>
        <v>#REF!</v>
      </c>
      <c r="S174" s="12" t="e">
        <f>'MCH2'!#REF!/'MCH2'!S3</f>
        <v>#REF!</v>
      </c>
      <c r="T174" s="12" t="e">
        <f>'MCH2'!#REF!/'MCH2'!T3</f>
        <v>#REF!</v>
      </c>
      <c r="U174" s="12" t="e">
        <f>'MCH2'!#REF!/'MCH2'!U3</f>
        <v>#REF!</v>
      </c>
      <c r="V174" s="12" t="e">
        <f>'MCH2'!#REF!/'MCH2'!V3</f>
        <v>#REF!</v>
      </c>
      <c r="W174" s="12" t="e">
        <f>'MCH2'!#REF!/'MCH2'!W3</f>
        <v>#REF!</v>
      </c>
      <c r="X174" s="12" t="e">
        <f>'MCH2'!#REF!/'MCH2'!X3</f>
        <v>#REF!</v>
      </c>
      <c r="Y174" s="12" t="e">
        <f>'MCH2'!#REF!/'MCH2'!Y3</f>
        <v>#REF!</v>
      </c>
      <c r="Z174" s="12" t="e">
        <f>'MCH2'!#REF!/'MCH2'!Z3</f>
        <v>#REF!</v>
      </c>
      <c r="AA174" s="12" t="e">
        <f>'MCH2'!#REF!/'MCH2'!AA3</f>
        <v>#REF!</v>
      </c>
      <c r="AB174" s="12" t="e">
        <f>'MCH2'!#REF!/'MCH2'!AB3</f>
        <v>#REF!</v>
      </c>
      <c r="AC174" s="12" t="e">
        <f>'MCH2'!#REF!/'MCH2'!AC3</f>
        <v>#REF!</v>
      </c>
      <c r="AD174" s="12" t="e">
        <f>'MCH2'!#REF!/'MCH2'!AD3</f>
        <v>#REF!</v>
      </c>
      <c r="AE174" s="12" t="e">
        <f>'MCH2'!#REF!/'MCH2'!AE3</f>
        <v>#REF!</v>
      </c>
      <c r="AF174" s="12" t="e">
        <f>'MCH2'!#REF!/'MCH2'!AF3</f>
        <v>#REF!</v>
      </c>
      <c r="AG174" s="12" t="e">
        <f>'MCH2'!#REF!/'MCH2'!AG3</f>
        <v>#REF!</v>
      </c>
      <c r="AH174" s="12" t="e">
        <f>'MCH2'!#REF!/'MCH2'!AH3</f>
        <v>#REF!</v>
      </c>
      <c r="AI174" s="12" t="e">
        <f>'MCH2'!#REF!/'MCH2'!AI3</f>
        <v>#REF!</v>
      </c>
      <c r="AJ174" s="12" t="e">
        <f>'MCH2'!#REF!/'MCH2'!AJ3</f>
        <v>#REF!</v>
      </c>
      <c r="AK174" s="12" t="e">
        <f>'MCH2'!#REF!/'MCH2'!AK3</f>
        <v>#REF!</v>
      </c>
      <c r="AL174" s="12" t="e">
        <f>'MCH2'!#REF!/'MCH2'!AL3</f>
        <v>#REF!</v>
      </c>
      <c r="AM174" s="12" t="e">
        <f>'MCH2'!#REF!/'MCH2'!AM3</f>
        <v>#REF!</v>
      </c>
      <c r="AN174" s="12" t="e">
        <f>'MCH2'!#REF!/'MCH2'!AN3</f>
        <v>#REF!</v>
      </c>
      <c r="AO174" s="12" t="e">
        <f>'MCH2'!#REF!/'MCH2'!AO3</f>
        <v>#REF!</v>
      </c>
      <c r="AP174" s="12" t="e">
        <f>'MCH2'!#REF!/'MCH2'!AP3</f>
        <v>#REF!</v>
      </c>
      <c r="AQ174" s="12" t="e">
        <f>'MCH2'!#REF!/'MCH2'!AQ3</f>
        <v>#REF!</v>
      </c>
      <c r="AR174" s="12" t="e">
        <f>'MCH2'!#REF!/'MCH2'!AR3</f>
        <v>#REF!</v>
      </c>
      <c r="AS174" s="12" t="e">
        <f>'MCH2'!#REF!/'MCH2'!AS3</f>
        <v>#REF!</v>
      </c>
      <c r="AT174" s="12" t="e">
        <f>'MCH2'!#REF!/'MCH2'!AT3</f>
        <v>#REF!</v>
      </c>
      <c r="AU174" s="12" t="e">
        <f>'MCH2'!#REF!/'MCH2'!AU3</f>
        <v>#REF!</v>
      </c>
      <c r="AV174" s="12" t="e">
        <f>'MCH2'!#REF!/'MCH2'!AV3</f>
        <v>#REF!</v>
      </c>
      <c r="AW174" s="12" t="e">
        <f>'MCH2'!#REF!/'MCH2'!AW3</f>
        <v>#REF!</v>
      </c>
      <c r="AX174" s="12" t="e">
        <f>'MCH2'!#REF!/'MCH2'!AX3</f>
        <v>#REF!</v>
      </c>
      <c r="AY174" s="12" t="e">
        <f>'MCH2'!#REF!/'MCH2'!AY3</f>
        <v>#REF!</v>
      </c>
      <c r="AZ174" s="12" t="e">
        <f>'MCH2'!#REF!/'MCH2'!AZ3</f>
        <v>#REF!</v>
      </c>
      <c r="BA174" s="12" t="e">
        <f>'MCH2'!#REF!/'MCH2'!BA3</f>
        <v>#REF!</v>
      </c>
      <c r="BB174" s="12" t="e">
        <f>'MCH2'!#REF!/'MCH2'!BB3</f>
        <v>#REF!</v>
      </c>
      <c r="BC174" s="12" t="e">
        <f>'MCH2'!#REF!/'MCH2'!BC3</f>
        <v>#REF!</v>
      </c>
      <c r="BD174" s="12" t="e">
        <f>'MCH2'!#REF!/'MCH2'!BD3</f>
        <v>#REF!</v>
      </c>
      <c r="BE174" s="12" t="e">
        <f>'MCH2'!#REF!/'MCH2'!BE3</f>
        <v>#REF!</v>
      </c>
      <c r="BF174" s="12" t="e">
        <f t="shared" si="109"/>
        <v>#REF!</v>
      </c>
      <c r="BG174" s="12" t="e">
        <f t="shared" si="110"/>
        <v>#REF!</v>
      </c>
      <c r="BH174" s="12" t="e">
        <f t="shared" si="111"/>
        <v>#REF!</v>
      </c>
      <c r="BI174" s="12" t="e">
        <f t="shared" si="112"/>
        <v>#REF!</v>
      </c>
    </row>
    <row r="175" spans="3:61" x14ac:dyDescent="0.25">
      <c r="C175" s="7">
        <v>3898</v>
      </c>
      <c r="D175" s="7" t="s">
        <v>291</v>
      </c>
      <c r="E175" s="12" t="e">
        <f>'MCH2'!#REF!/'MCH2'!E3</f>
        <v>#REF!</v>
      </c>
      <c r="F175" s="12" t="e">
        <f>'MCH2'!#REF!/'MCH2'!F3</f>
        <v>#REF!</v>
      </c>
      <c r="G175" s="12" t="e">
        <f>'MCH2'!#REF!/'MCH2'!G3</f>
        <v>#REF!</v>
      </c>
      <c r="H175" s="12" t="e">
        <f>'MCH2'!#REF!/'MCH2'!H3</f>
        <v>#REF!</v>
      </c>
      <c r="I175" s="12" t="e">
        <f>'MCH2'!#REF!/'MCH2'!I3</f>
        <v>#REF!</v>
      </c>
      <c r="J175" s="12" t="e">
        <f>'MCH2'!#REF!/'MCH2'!J3</f>
        <v>#REF!</v>
      </c>
      <c r="K175" s="12" t="e">
        <f>'MCH2'!#REF!/'MCH2'!K3</f>
        <v>#REF!</v>
      </c>
      <c r="L175" s="12" t="e">
        <f>'MCH2'!#REF!/'MCH2'!L3</f>
        <v>#REF!</v>
      </c>
      <c r="M175" s="12" t="e">
        <f>'MCH2'!#REF!/'MCH2'!M3</f>
        <v>#REF!</v>
      </c>
      <c r="N175" s="12" t="e">
        <f>'MCH2'!#REF!/'MCH2'!N3</f>
        <v>#REF!</v>
      </c>
      <c r="O175" s="12" t="e">
        <f>'MCH2'!#REF!/'MCH2'!O3</f>
        <v>#REF!</v>
      </c>
      <c r="P175" s="12" t="e">
        <f>'MCH2'!#REF!/'MCH2'!P3</f>
        <v>#REF!</v>
      </c>
      <c r="Q175" s="12" t="e">
        <f>'MCH2'!#REF!/'MCH2'!Q3</f>
        <v>#REF!</v>
      </c>
      <c r="R175" s="12" t="e">
        <f>'MCH2'!#REF!/'MCH2'!R3</f>
        <v>#REF!</v>
      </c>
      <c r="S175" s="12" t="e">
        <f>'MCH2'!#REF!/'MCH2'!S3</f>
        <v>#REF!</v>
      </c>
      <c r="T175" s="12" t="e">
        <f>'MCH2'!#REF!/'MCH2'!T3</f>
        <v>#REF!</v>
      </c>
      <c r="U175" s="12" t="e">
        <f>'MCH2'!#REF!/'MCH2'!U3</f>
        <v>#REF!</v>
      </c>
      <c r="V175" s="12" t="e">
        <f>'MCH2'!#REF!/'MCH2'!V3</f>
        <v>#REF!</v>
      </c>
      <c r="W175" s="12" t="e">
        <f>'MCH2'!#REF!/'MCH2'!W3</f>
        <v>#REF!</v>
      </c>
      <c r="X175" s="12" t="e">
        <f>'MCH2'!#REF!/'MCH2'!X3</f>
        <v>#REF!</v>
      </c>
      <c r="Y175" s="12" t="e">
        <f>'MCH2'!#REF!/'MCH2'!Y3</f>
        <v>#REF!</v>
      </c>
      <c r="Z175" s="12" t="e">
        <f>'MCH2'!#REF!/'MCH2'!Z3</f>
        <v>#REF!</v>
      </c>
      <c r="AA175" s="12" t="e">
        <f>'MCH2'!#REF!/'MCH2'!AA3</f>
        <v>#REF!</v>
      </c>
      <c r="AB175" s="12" t="e">
        <f>'MCH2'!#REF!/'MCH2'!AB3</f>
        <v>#REF!</v>
      </c>
      <c r="AC175" s="12" t="e">
        <f>'MCH2'!#REF!/'MCH2'!AC3</f>
        <v>#REF!</v>
      </c>
      <c r="AD175" s="12" t="e">
        <f>'MCH2'!#REF!/'MCH2'!AD3</f>
        <v>#REF!</v>
      </c>
      <c r="AE175" s="12" t="e">
        <f>'MCH2'!#REF!/'MCH2'!AE3</f>
        <v>#REF!</v>
      </c>
      <c r="AF175" s="12" t="e">
        <f>'MCH2'!#REF!/'MCH2'!AF3</f>
        <v>#REF!</v>
      </c>
      <c r="AG175" s="12" t="e">
        <f>'MCH2'!#REF!/'MCH2'!AG3</f>
        <v>#REF!</v>
      </c>
      <c r="AH175" s="12" t="e">
        <f>'MCH2'!#REF!/'MCH2'!AH3</f>
        <v>#REF!</v>
      </c>
      <c r="AI175" s="12" t="e">
        <f>'MCH2'!#REF!/'MCH2'!AI3</f>
        <v>#REF!</v>
      </c>
      <c r="AJ175" s="12" t="e">
        <f>'MCH2'!#REF!/'MCH2'!AJ3</f>
        <v>#REF!</v>
      </c>
      <c r="AK175" s="12" t="e">
        <f>'MCH2'!#REF!/'MCH2'!AK3</f>
        <v>#REF!</v>
      </c>
      <c r="AL175" s="12" t="e">
        <f>'MCH2'!#REF!/'MCH2'!AL3</f>
        <v>#REF!</v>
      </c>
      <c r="AM175" s="12" t="e">
        <f>'MCH2'!#REF!/'MCH2'!AM3</f>
        <v>#REF!</v>
      </c>
      <c r="AN175" s="12" t="e">
        <f>'MCH2'!#REF!/'MCH2'!AN3</f>
        <v>#REF!</v>
      </c>
      <c r="AO175" s="12" t="e">
        <f>'MCH2'!#REF!/'MCH2'!AO3</f>
        <v>#REF!</v>
      </c>
      <c r="AP175" s="12" t="e">
        <f>'MCH2'!#REF!/'MCH2'!AP3</f>
        <v>#REF!</v>
      </c>
      <c r="AQ175" s="12" t="e">
        <f>'MCH2'!#REF!/'MCH2'!AQ3</f>
        <v>#REF!</v>
      </c>
      <c r="AR175" s="12" t="e">
        <f>'MCH2'!#REF!/'MCH2'!AR3</f>
        <v>#REF!</v>
      </c>
      <c r="AS175" s="12" t="e">
        <f>'MCH2'!#REF!/'MCH2'!AS3</f>
        <v>#REF!</v>
      </c>
      <c r="AT175" s="12" t="e">
        <f>'MCH2'!#REF!/'MCH2'!AT3</f>
        <v>#REF!</v>
      </c>
      <c r="AU175" s="12" t="e">
        <f>'MCH2'!#REF!/'MCH2'!AU3</f>
        <v>#REF!</v>
      </c>
      <c r="AV175" s="12" t="e">
        <f>'MCH2'!#REF!/'MCH2'!AV3</f>
        <v>#REF!</v>
      </c>
      <c r="AW175" s="12" t="e">
        <f>'MCH2'!#REF!/'MCH2'!AW3</f>
        <v>#REF!</v>
      </c>
      <c r="AX175" s="12" t="e">
        <f>'MCH2'!#REF!/'MCH2'!AX3</f>
        <v>#REF!</v>
      </c>
      <c r="AY175" s="12" t="e">
        <f>'MCH2'!#REF!/'MCH2'!AY3</f>
        <v>#REF!</v>
      </c>
      <c r="AZ175" s="12" t="e">
        <f>'MCH2'!#REF!/'MCH2'!AZ3</f>
        <v>#REF!</v>
      </c>
      <c r="BA175" s="12" t="e">
        <f>'MCH2'!#REF!/'MCH2'!BA3</f>
        <v>#REF!</v>
      </c>
      <c r="BB175" s="12" t="e">
        <f>'MCH2'!#REF!/'MCH2'!BB3</f>
        <v>#REF!</v>
      </c>
      <c r="BC175" s="12" t="e">
        <f>'MCH2'!#REF!/'MCH2'!BC3</f>
        <v>#REF!</v>
      </c>
      <c r="BD175" s="12" t="e">
        <f>'MCH2'!#REF!/'MCH2'!BD3</f>
        <v>#REF!</v>
      </c>
      <c r="BE175" s="12" t="e">
        <f>'MCH2'!#REF!/'MCH2'!BE3</f>
        <v>#REF!</v>
      </c>
      <c r="BF175" s="12" t="e">
        <f t="shared" si="109"/>
        <v>#REF!</v>
      </c>
      <c r="BG175" s="12" t="e">
        <f t="shared" si="110"/>
        <v>#REF!</v>
      </c>
      <c r="BH175" s="12" t="e">
        <f t="shared" si="111"/>
        <v>#REF!</v>
      </c>
      <c r="BI175" s="12" t="e">
        <f t="shared" si="112"/>
        <v>#REF!</v>
      </c>
    </row>
    <row r="176" spans="3:61" x14ac:dyDescent="0.25">
      <c r="C176" s="7">
        <v>90010</v>
      </c>
      <c r="D176" s="7" t="s">
        <v>296</v>
      </c>
      <c r="E176" s="12" t="e">
        <f>'MCH2'!#REF!/'MCH2'!E3</f>
        <v>#REF!</v>
      </c>
      <c r="F176" s="12" t="e">
        <f>'MCH2'!#REF!/'MCH2'!F3</f>
        <v>#REF!</v>
      </c>
      <c r="G176" s="12" t="e">
        <f>'MCH2'!#REF!/'MCH2'!G3</f>
        <v>#REF!</v>
      </c>
      <c r="H176" s="12" t="e">
        <f>'MCH2'!#REF!/'MCH2'!H3</f>
        <v>#REF!</v>
      </c>
      <c r="I176" s="12" t="e">
        <f>'MCH2'!#REF!/'MCH2'!I3</f>
        <v>#REF!</v>
      </c>
      <c r="J176" s="12" t="e">
        <f>'MCH2'!#REF!/'MCH2'!J3</f>
        <v>#REF!</v>
      </c>
      <c r="K176" s="12" t="e">
        <f>'MCH2'!#REF!/'MCH2'!K3</f>
        <v>#REF!</v>
      </c>
      <c r="L176" s="12" t="e">
        <f>'MCH2'!#REF!/'MCH2'!L3</f>
        <v>#REF!</v>
      </c>
      <c r="M176" s="12" t="e">
        <f>'MCH2'!#REF!/'MCH2'!M3</f>
        <v>#REF!</v>
      </c>
      <c r="N176" s="12" t="e">
        <f>'MCH2'!#REF!/'MCH2'!N3</f>
        <v>#REF!</v>
      </c>
      <c r="O176" s="12" t="e">
        <f>'MCH2'!#REF!/'MCH2'!O3</f>
        <v>#REF!</v>
      </c>
      <c r="P176" s="12" t="e">
        <f>'MCH2'!#REF!/'MCH2'!P3</f>
        <v>#REF!</v>
      </c>
      <c r="Q176" s="12" t="e">
        <f>'MCH2'!#REF!/'MCH2'!Q3</f>
        <v>#REF!</v>
      </c>
      <c r="R176" s="12" t="e">
        <f>'MCH2'!#REF!/'MCH2'!R3</f>
        <v>#REF!</v>
      </c>
      <c r="S176" s="12" t="e">
        <f>'MCH2'!#REF!/'MCH2'!S3</f>
        <v>#REF!</v>
      </c>
      <c r="T176" s="12" t="e">
        <f>'MCH2'!#REF!/'MCH2'!T3</f>
        <v>#REF!</v>
      </c>
      <c r="U176" s="12" t="e">
        <f>'MCH2'!#REF!/'MCH2'!U3</f>
        <v>#REF!</v>
      </c>
      <c r="V176" s="12" t="e">
        <f>'MCH2'!#REF!/'MCH2'!V3</f>
        <v>#REF!</v>
      </c>
      <c r="W176" s="12" t="e">
        <f>'MCH2'!#REF!/'MCH2'!W3</f>
        <v>#REF!</v>
      </c>
      <c r="X176" s="12" t="e">
        <f>'MCH2'!#REF!/'MCH2'!X3</f>
        <v>#REF!</v>
      </c>
      <c r="Y176" s="12" t="e">
        <f>'MCH2'!#REF!/'MCH2'!Y3</f>
        <v>#REF!</v>
      </c>
      <c r="Z176" s="12" t="e">
        <f>'MCH2'!#REF!/'MCH2'!Z3</f>
        <v>#REF!</v>
      </c>
      <c r="AA176" s="12" t="e">
        <f>'MCH2'!#REF!/'MCH2'!AA3</f>
        <v>#REF!</v>
      </c>
      <c r="AB176" s="12" t="e">
        <f>'MCH2'!#REF!/'MCH2'!AB3</f>
        <v>#REF!</v>
      </c>
      <c r="AC176" s="12" t="e">
        <f>'MCH2'!#REF!/'MCH2'!AC3</f>
        <v>#REF!</v>
      </c>
      <c r="AD176" s="12" t="e">
        <f>'MCH2'!#REF!/'MCH2'!AD3</f>
        <v>#REF!</v>
      </c>
      <c r="AE176" s="12" t="e">
        <f>'MCH2'!#REF!/'MCH2'!AE3</f>
        <v>#REF!</v>
      </c>
      <c r="AF176" s="12" t="e">
        <f>'MCH2'!#REF!/'MCH2'!AF3</f>
        <v>#REF!</v>
      </c>
      <c r="AG176" s="12" t="e">
        <f>'MCH2'!#REF!/'MCH2'!AG3</f>
        <v>#REF!</v>
      </c>
      <c r="AH176" s="12" t="e">
        <f>'MCH2'!#REF!/'MCH2'!AH3</f>
        <v>#REF!</v>
      </c>
      <c r="AI176" s="12" t="e">
        <f>'MCH2'!#REF!/'MCH2'!AI3</f>
        <v>#REF!</v>
      </c>
      <c r="AJ176" s="12" t="e">
        <f>'MCH2'!#REF!/'MCH2'!AJ3</f>
        <v>#REF!</v>
      </c>
      <c r="AK176" s="12" t="e">
        <f>'MCH2'!#REF!/'MCH2'!AK3</f>
        <v>#REF!</v>
      </c>
      <c r="AL176" s="12" t="e">
        <f>'MCH2'!#REF!/'MCH2'!AL3</f>
        <v>#REF!</v>
      </c>
      <c r="AM176" s="12" t="e">
        <f>'MCH2'!#REF!/'MCH2'!AM3</f>
        <v>#REF!</v>
      </c>
      <c r="AN176" s="12" t="e">
        <f>'MCH2'!#REF!/'MCH2'!AN3</f>
        <v>#REF!</v>
      </c>
      <c r="AO176" s="12" t="e">
        <f>'MCH2'!#REF!/'MCH2'!AO3</f>
        <v>#REF!</v>
      </c>
      <c r="AP176" s="12" t="e">
        <f>'MCH2'!#REF!/'MCH2'!AP3</f>
        <v>#REF!</v>
      </c>
      <c r="AQ176" s="12" t="e">
        <f>'MCH2'!#REF!/'MCH2'!AQ3</f>
        <v>#REF!</v>
      </c>
      <c r="AR176" s="12" t="e">
        <f>'MCH2'!#REF!/'MCH2'!AR3</f>
        <v>#REF!</v>
      </c>
      <c r="AS176" s="12" t="e">
        <f>'MCH2'!#REF!/'MCH2'!AS3</f>
        <v>#REF!</v>
      </c>
      <c r="AT176" s="12" t="e">
        <f>'MCH2'!#REF!/'MCH2'!AT3</f>
        <v>#REF!</v>
      </c>
      <c r="AU176" s="12" t="e">
        <f>'MCH2'!#REF!/'MCH2'!AU3</f>
        <v>#REF!</v>
      </c>
      <c r="AV176" s="12" t="e">
        <f>'MCH2'!#REF!/'MCH2'!AV3</f>
        <v>#REF!</v>
      </c>
      <c r="AW176" s="12" t="e">
        <f>'MCH2'!#REF!/'MCH2'!AW3</f>
        <v>#REF!</v>
      </c>
      <c r="AX176" s="12" t="e">
        <f>'MCH2'!#REF!/'MCH2'!AX3</f>
        <v>#REF!</v>
      </c>
      <c r="AY176" s="12" t="e">
        <f>'MCH2'!#REF!/'MCH2'!AY3</f>
        <v>#REF!</v>
      </c>
      <c r="AZ176" s="12" t="e">
        <f>'MCH2'!#REF!/'MCH2'!AZ3</f>
        <v>#REF!</v>
      </c>
      <c r="BA176" s="12" t="e">
        <f>'MCH2'!#REF!/'MCH2'!BA3</f>
        <v>#REF!</v>
      </c>
      <c r="BB176" s="12" t="e">
        <f>'MCH2'!#REF!/'MCH2'!BB3</f>
        <v>#REF!</v>
      </c>
      <c r="BC176" s="12" t="e">
        <f>'MCH2'!#REF!/'MCH2'!BC3</f>
        <v>#REF!</v>
      </c>
      <c r="BD176" s="12" t="e">
        <f>'MCH2'!#REF!/'MCH2'!BD3</f>
        <v>#REF!</v>
      </c>
      <c r="BE176" s="12" t="e">
        <f>'MCH2'!#REF!/'MCH2'!BE3</f>
        <v>#REF!</v>
      </c>
      <c r="BF176" s="12" t="e">
        <f t="shared" si="109"/>
        <v>#REF!</v>
      </c>
      <c r="BG176" s="12" t="e">
        <f t="shared" si="110"/>
        <v>#REF!</v>
      </c>
      <c r="BH176" s="12" t="e">
        <f t="shared" si="111"/>
        <v>#REF!</v>
      </c>
      <c r="BI176" s="12" t="e">
        <f t="shared" si="112"/>
        <v>#REF!</v>
      </c>
    </row>
    <row r="177" spans="3:61" x14ac:dyDescent="0.25">
      <c r="C177" s="7">
        <v>9031</v>
      </c>
      <c r="D177" s="7" t="s">
        <v>292</v>
      </c>
      <c r="E177" s="12" t="e">
        <f>'MCH2'!#REF!/'MCH2'!E3</f>
        <v>#REF!</v>
      </c>
      <c r="F177" s="12" t="e">
        <f>'MCH2'!#REF!/'MCH2'!F3</f>
        <v>#REF!</v>
      </c>
      <c r="G177" s="12" t="e">
        <f>'MCH2'!#REF!/'MCH2'!G3</f>
        <v>#REF!</v>
      </c>
      <c r="H177" s="12" t="e">
        <f>'MCH2'!#REF!/'MCH2'!H3</f>
        <v>#REF!</v>
      </c>
      <c r="I177" s="12" t="e">
        <f>'MCH2'!#REF!/'MCH2'!I3</f>
        <v>#REF!</v>
      </c>
      <c r="J177" s="12" t="e">
        <f>'MCH2'!#REF!/'MCH2'!J3</f>
        <v>#REF!</v>
      </c>
      <c r="K177" s="12" t="e">
        <f>'MCH2'!#REF!/'MCH2'!K3</f>
        <v>#REF!</v>
      </c>
      <c r="L177" s="12" t="e">
        <f>'MCH2'!#REF!/'MCH2'!L3</f>
        <v>#REF!</v>
      </c>
      <c r="M177" s="12" t="e">
        <f>'MCH2'!#REF!/'MCH2'!M3</f>
        <v>#REF!</v>
      </c>
      <c r="N177" s="12" t="e">
        <f>'MCH2'!#REF!/'MCH2'!N3</f>
        <v>#REF!</v>
      </c>
      <c r="O177" s="12" t="e">
        <f>'MCH2'!#REF!/'MCH2'!O3</f>
        <v>#REF!</v>
      </c>
      <c r="P177" s="12" t="e">
        <f>'MCH2'!#REF!/'MCH2'!P3</f>
        <v>#REF!</v>
      </c>
      <c r="Q177" s="12" t="e">
        <f>'MCH2'!#REF!/'MCH2'!Q3</f>
        <v>#REF!</v>
      </c>
      <c r="R177" s="12" t="e">
        <f>'MCH2'!#REF!/'MCH2'!R3</f>
        <v>#REF!</v>
      </c>
      <c r="S177" s="12" t="e">
        <f>'MCH2'!#REF!/'MCH2'!S3</f>
        <v>#REF!</v>
      </c>
      <c r="T177" s="12" t="e">
        <f>'MCH2'!#REF!/'MCH2'!T3</f>
        <v>#REF!</v>
      </c>
      <c r="U177" s="12" t="e">
        <f>'MCH2'!#REF!/'MCH2'!U3</f>
        <v>#REF!</v>
      </c>
      <c r="V177" s="12" t="e">
        <f>'MCH2'!#REF!/'MCH2'!V3</f>
        <v>#REF!</v>
      </c>
      <c r="W177" s="12" t="e">
        <f>'MCH2'!#REF!/'MCH2'!W3</f>
        <v>#REF!</v>
      </c>
      <c r="X177" s="12" t="e">
        <f>'MCH2'!#REF!/'MCH2'!X3</f>
        <v>#REF!</v>
      </c>
      <c r="Y177" s="12" t="e">
        <f>'MCH2'!#REF!/'MCH2'!Y3</f>
        <v>#REF!</v>
      </c>
      <c r="Z177" s="12" t="e">
        <f>'MCH2'!#REF!/'MCH2'!Z3</f>
        <v>#REF!</v>
      </c>
      <c r="AA177" s="12" t="e">
        <f>'MCH2'!#REF!/'MCH2'!AA3</f>
        <v>#REF!</v>
      </c>
      <c r="AB177" s="12" t="e">
        <f>'MCH2'!#REF!/'MCH2'!AB3</f>
        <v>#REF!</v>
      </c>
      <c r="AC177" s="12" t="e">
        <f>'MCH2'!#REF!/'MCH2'!AC3</f>
        <v>#REF!</v>
      </c>
      <c r="AD177" s="12" t="e">
        <f>'MCH2'!#REF!/'MCH2'!AD3</f>
        <v>#REF!</v>
      </c>
      <c r="AE177" s="12" t="e">
        <f>'MCH2'!#REF!/'MCH2'!AE3</f>
        <v>#REF!</v>
      </c>
      <c r="AF177" s="12" t="e">
        <f>'MCH2'!#REF!/'MCH2'!AF3</f>
        <v>#REF!</v>
      </c>
      <c r="AG177" s="12" t="e">
        <f>'MCH2'!#REF!/'MCH2'!AG3</f>
        <v>#REF!</v>
      </c>
      <c r="AH177" s="12" t="e">
        <f>'MCH2'!#REF!/'MCH2'!AH3</f>
        <v>#REF!</v>
      </c>
      <c r="AI177" s="12" t="e">
        <f>'MCH2'!#REF!/'MCH2'!AI3</f>
        <v>#REF!</v>
      </c>
      <c r="AJ177" s="12" t="e">
        <f>'MCH2'!#REF!/'MCH2'!AJ3</f>
        <v>#REF!</v>
      </c>
      <c r="AK177" s="12" t="e">
        <f>'MCH2'!#REF!/'MCH2'!AK3</f>
        <v>#REF!</v>
      </c>
      <c r="AL177" s="12" t="e">
        <f>'MCH2'!#REF!/'MCH2'!AL3</f>
        <v>#REF!</v>
      </c>
      <c r="AM177" s="12" t="e">
        <f>'MCH2'!#REF!/'MCH2'!AM3</f>
        <v>#REF!</v>
      </c>
      <c r="AN177" s="12" t="e">
        <f>'MCH2'!#REF!/'MCH2'!AN3</f>
        <v>#REF!</v>
      </c>
      <c r="AO177" s="12" t="e">
        <f>'MCH2'!#REF!/'MCH2'!AO3</f>
        <v>#REF!</v>
      </c>
      <c r="AP177" s="12" t="e">
        <f>'MCH2'!#REF!/'MCH2'!AP3</f>
        <v>#REF!</v>
      </c>
      <c r="AQ177" s="12" t="e">
        <f>'MCH2'!#REF!/'MCH2'!AQ3</f>
        <v>#REF!</v>
      </c>
      <c r="AR177" s="12" t="e">
        <f>'MCH2'!#REF!/'MCH2'!AR3</f>
        <v>#REF!</v>
      </c>
      <c r="AS177" s="12" t="e">
        <f>'MCH2'!#REF!/'MCH2'!AS3</f>
        <v>#REF!</v>
      </c>
      <c r="AT177" s="12" t="e">
        <f>'MCH2'!#REF!/'MCH2'!AT3</f>
        <v>#REF!</v>
      </c>
      <c r="AU177" s="12" t="e">
        <f>'MCH2'!#REF!/'MCH2'!AU3</f>
        <v>#REF!</v>
      </c>
      <c r="AV177" s="12" t="e">
        <f>'MCH2'!#REF!/'MCH2'!AV3</f>
        <v>#REF!</v>
      </c>
      <c r="AW177" s="12" t="e">
        <f>'MCH2'!#REF!/'MCH2'!AW3</f>
        <v>#REF!</v>
      </c>
      <c r="AX177" s="12" t="e">
        <f>'MCH2'!#REF!/'MCH2'!AX3</f>
        <v>#REF!</v>
      </c>
      <c r="AY177" s="12" t="e">
        <f>'MCH2'!#REF!/'MCH2'!AY3</f>
        <v>#REF!</v>
      </c>
      <c r="AZ177" s="12" t="e">
        <f>'MCH2'!#REF!/'MCH2'!AZ3</f>
        <v>#REF!</v>
      </c>
      <c r="BA177" s="12" t="e">
        <f>'MCH2'!#REF!/'MCH2'!BA3</f>
        <v>#REF!</v>
      </c>
      <c r="BB177" s="12" t="e">
        <f>'MCH2'!#REF!/'MCH2'!BB3</f>
        <v>#REF!</v>
      </c>
      <c r="BC177" s="12" t="e">
        <f>'MCH2'!#REF!/'MCH2'!BC3</f>
        <v>#REF!</v>
      </c>
      <c r="BD177" s="12" t="e">
        <f>'MCH2'!#REF!/'MCH2'!BD3</f>
        <v>#REF!</v>
      </c>
      <c r="BE177" s="12" t="e">
        <f>'MCH2'!#REF!/'MCH2'!BE3</f>
        <v>#REF!</v>
      </c>
      <c r="BF177" s="12" t="e">
        <f t="shared" si="109"/>
        <v>#REF!</v>
      </c>
      <c r="BG177" s="12" t="e">
        <f t="shared" si="110"/>
        <v>#REF!</v>
      </c>
      <c r="BH177" s="12" t="e">
        <f t="shared" si="111"/>
        <v>#REF!</v>
      </c>
      <c r="BI177" s="12" t="e">
        <f t="shared" si="112"/>
        <v>#REF!</v>
      </c>
    </row>
    <row r="178" spans="3:61" x14ac:dyDescent="0.25">
      <c r="M178" s="12"/>
    </row>
    <row r="179" spans="3:61" x14ac:dyDescent="0.25">
      <c r="D179" s="77" t="s">
        <v>236</v>
      </c>
      <c r="E179" s="16">
        <f>E65-E141</f>
        <v>0</v>
      </c>
      <c r="F179" s="16">
        <f t="shared" ref="F179:BI179" si="113">F65-F141</f>
        <v>0</v>
      </c>
      <c r="G179" s="16">
        <f t="shared" si="113"/>
        <v>0</v>
      </c>
      <c r="H179" s="16">
        <f t="shared" si="113"/>
        <v>0</v>
      </c>
      <c r="I179" s="16">
        <f t="shared" si="113"/>
        <v>0</v>
      </c>
      <c r="J179" s="16">
        <f t="shared" si="113"/>
        <v>0</v>
      </c>
      <c r="K179" s="16">
        <f t="shared" si="113"/>
        <v>0</v>
      </c>
      <c r="L179" s="16">
        <f t="shared" si="113"/>
        <v>1.5827794186407118E-6</v>
      </c>
      <c r="M179" s="16">
        <f t="shared" si="113"/>
        <v>0</v>
      </c>
      <c r="N179" s="16">
        <f t="shared" si="113"/>
        <v>-81.022232142857135</v>
      </c>
      <c r="O179" s="16">
        <f t="shared" si="113"/>
        <v>0</v>
      </c>
      <c r="P179" s="16">
        <f t="shared" si="113"/>
        <v>0</v>
      </c>
      <c r="Q179" s="16">
        <f t="shared" si="113"/>
        <v>-4.716981132075472</v>
      </c>
      <c r="R179" s="16">
        <f t="shared" si="113"/>
        <v>0</v>
      </c>
      <c r="S179" s="16">
        <f t="shared" si="113"/>
        <v>0</v>
      </c>
      <c r="T179" s="16">
        <f t="shared" si="113"/>
        <v>0</v>
      </c>
      <c r="U179" s="16">
        <f t="shared" si="113"/>
        <v>0</v>
      </c>
      <c r="V179" s="16">
        <f t="shared" si="113"/>
        <v>0</v>
      </c>
      <c r="W179" s="16">
        <f t="shared" si="113"/>
        <v>0</v>
      </c>
      <c r="X179" s="16">
        <f t="shared" si="113"/>
        <v>0</v>
      </c>
      <c r="Y179" s="16">
        <f t="shared" si="113"/>
        <v>0</v>
      </c>
      <c r="Z179" s="16">
        <f t="shared" si="113"/>
        <v>0</v>
      </c>
      <c r="AA179" s="16">
        <f t="shared" si="113"/>
        <v>-2.2298850574712503</v>
      </c>
      <c r="AB179" s="16">
        <f t="shared" si="113"/>
        <v>0</v>
      </c>
      <c r="AC179" s="16">
        <f t="shared" si="113"/>
        <v>0</v>
      </c>
      <c r="AD179" s="16">
        <f t="shared" si="113"/>
        <v>0</v>
      </c>
      <c r="AE179" s="16">
        <f t="shared" si="113"/>
        <v>0</v>
      </c>
      <c r="AF179" s="16">
        <f t="shared" si="113"/>
        <v>0</v>
      </c>
      <c r="AG179" s="16">
        <f t="shared" si="113"/>
        <v>0</v>
      </c>
      <c r="AH179" s="16">
        <f t="shared" si="113"/>
        <v>0.30704854368932111</v>
      </c>
      <c r="AI179" s="16">
        <f t="shared" si="113"/>
        <v>0</v>
      </c>
      <c r="AJ179" s="16">
        <f t="shared" si="113"/>
        <v>0</v>
      </c>
      <c r="AK179" s="16">
        <f t="shared" si="113"/>
        <v>0</v>
      </c>
      <c r="AL179" s="16">
        <f t="shared" si="113"/>
        <v>0</v>
      </c>
      <c r="AM179" s="16">
        <f t="shared" si="113"/>
        <v>0</v>
      </c>
      <c r="AN179" s="16">
        <f t="shared" si="113"/>
        <v>0</v>
      </c>
      <c r="AO179" s="16">
        <f t="shared" si="113"/>
        <v>0</v>
      </c>
      <c r="AP179" s="16">
        <f t="shared" si="113"/>
        <v>0</v>
      </c>
      <c r="AQ179" s="16">
        <f t="shared" si="113"/>
        <v>0</v>
      </c>
      <c r="AR179" s="16">
        <f t="shared" si="113"/>
        <v>0</v>
      </c>
      <c r="AS179" s="16">
        <f t="shared" si="113"/>
        <v>0</v>
      </c>
      <c r="AT179" s="16">
        <f t="shared" si="113"/>
        <v>0</v>
      </c>
      <c r="AU179" s="16">
        <f t="shared" si="113"/>
        <v>0</v>
      </c>
      <c r="AV179" s="16">
        <f t="shared" si="113"/>
        <v>0</v>
      </c>
      <c r="AW179" s="16">
        <f t="shared" si="113"/>
        <v>0</v>
      </c>
      <c r="AX179" s="16">
        <f t="shared" si="113"/>
        <v>0</v>
      </c>
      <c r="AY179" s="16">
        <f t="shared" si="113"/>
        <v>0</v>
      </c>
      <c r="AZ179" s="16">
        <f t="shared" si="113"/>
        <v>0</v>
      </c>
      <c r="BA179" s="16">
        <f t="shared" si="113"/>
        <v>0</v>
      </c>
      <c r="BB179" s="16">
        <f t="shared" si="113"/>
        <v>0</v>
      </c>
      <c r="BC179" s="16">
        <f t="shared" si="113"/>
        <v>8.8811827956989244</v>
      </c>
      <c r="BD179" s="16">
        <f t="shared" si="113"/>
        <v>0</v>
      </c>
      <c r="BE179" s="16">
        <f t="shared" si="113"/>
        <v>0</v>
      </c>
      <c r="BF179" s="16">
        <f t="shared" si="113"/>
        <v>-78.780865410236856</v>
      </c>
      <c r="BG179" s="16">
        <f t="shared" si="113"/>
        <v>-85.739211692153503</v>
      </c>
      <c r="BH179" s="16">
        <f t="shared" si="113"/>
        <v>-1.9228365137818173</v>
      </c>
      <c r="BI179" s="16">
        <f t="shared" si="113"/>
        <v>8.8811827956989191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61</vt:i4>
      </vt:variant>
      <vt:variant>
        <vt:lpstr>Plages nommées</vt:lpstr>
      </vt:variant>
      <vt:variant>
        <vt:i4>3</vt:i4>
      </vt:variant>
    </vt:vector>
  </HeadingPairs>
  <TitlesOfParts>
    <vt:vector size="64" baseType="lpstr">
      <vt:lpstr>Sommaire</vt:lpstr>
      <vt:lpstr>MCH2</vt:lpstr>
      <vt:lpstr>6.1 Investissements</vt:lpstr>
      <vt:lpstr>Base de données pop.</vt:lpstr>
      <vt:lpstr>Population</vt:lpstr>
      <vt:lpstr>Graphique par nature</vt:lpstr>
      <vt:lpstr>Résultats par commune</vt:lpstr>
      <vt:lpstr>4.2 Comptes 2022 par commune</vt:lpstr>
      <vt:lpstr>4.9 Comptes 2022 par habitant</vt:lpstr>
      <vt:lpstr>4.10 Comptes 2022 Hab. par com</vt:lpstr>
      <vt:lpstr>4.5 Vue d'ensemble</vt:lpstr>
      <vt:lpstr>4.6 Vue par commune</vt:lpstr>
      <vt:lpstr>4.3 Résultats à 3 niveaux</vt:lpstr>
      <vt:lpstr>4.4 Résultats à 3 par commune</vt:lpstr>
      <vt:lpstr>4.7 Autofinancement</vt:lpstr>
      <vt:lpstr>4.8 Autofinancement par commune</vt:lpstr>
      <vt:lpstr>4.11 Comptes 2020 fonctionnelle</vt:lpstr>
      <vt:lpstr>4.12 Fonctionnelle par commune</vt:lpstr>
      <vt:lpstr>Tableau fonctionnelle</vt:lpstr>
      <vt:lpstr>4.12.1 et 2 Graph par fonction</vt:lpstr>
      <vt:lpstr>5. Bilan</vt:lpstr>
      <vt:lpstr>5.3 Bilan par commune</vt:lpstr>
      <vt:lpstr>5.2 Tableau bilan</vt:lpstr>
      <vt:lpstr>5.1.2Graphique capitaux propres</vt:lpstr>
      <vt:lpstr>5.4 Tableau de l'endettement</vt:lpstr>
      <vt:lpstr>5.4.1Graphique de l'endettement</vt:lpstr>
      <vt:lpstr>5.5 Endettement par commune</vt:lpstr>
      <vt:lpstr>6.2 Investissements par commune</vt:lpstr>
      <vt:lpstr>7, Définition des indicateurs</vt:lpstr>
      <vt:lpstr>Base de données indicateurs1</vt:lpstr>
      <vt:lpstr>Endett. net + degré d'auto.</vt:lpstr>
      <vt:lpstr>Quotité d'intéret + revenus det</vt:lpstr>
      <vt:lpstr>Quotité d'invest + fin.</vt:lpstr>
      <vt:lpstr>Quotité d'autofinancement</vt:lpstr>
      <vt:lpstr>Quotient excédent du bilan</vt:lpstr>
      <vt:lpstr>Récapitulatif</vt:lpstr>
      <vt:lpstr>Indicateurs par commune</vt:lpstr>
      <vt:lpstr>Bourgeoisies Comptes 2022</vt:lpstr>
      <vt:lpstr>Comptes 2022 par Bourgeoisie</vt:lpstr>
      <vt:lpstr>Bourgeoisie vue d'ensemble</vt:lpstr>
      <vt:lpstr>Vue d'ensemble par Bourgeoisie</vt:lpstr>
      <vt:lpstr>Bourgeoisie résultats 3 niveaux</vt:lpstr>
      <vt:lpstr>Résultats 3 nivaux par Bourgeoi</vt:lpstr>
      <vt:lpstr>Bourgeoisie autofinancement</vt:lpstr>
      <vt:lpstr>Autofinancement par Bourgeoisie</vt:lpstr>
      <vt:lpstr>Bourgeoisie bilan</vt:lpstr>
      <vt:lpstr>Bilan par bourgeoisie</vt:lpstr>
      <vt:lpstr>Bourgeoisie endettement</vt:lpstr>
      <vt:lpstr>Endettement par bourgeoisie</vt:lpstr>
      <vt:lpstr>Bourgeoisie investissement</vt:lpstr>
      <vt:lpstr>Investissement par bourgeoisie</vt:lpstr>
      <vt:lpstr>Syndicats comptes 2021</vt:lpstr>
      <vt:lpstr>Comptes 2021 par Syndicats</vt:lpstr>
      <vt:lpstr>Syndicats vue d'ensemble</vt:lpstr>
      <vt:lpstr>Vue d'ensemble par syndicat</vt:lpstr>
      <vt:lpstr>Syndicats résultat à 3 niveaux</vt:lpstr>
      <vt:lpstr>Résultat 3 niveaux par syndicat</vt:lpstr>
      <vt:lpstr>Syndicats Bilan</vt:lpstr>
      <vt:lpstr>Bilan par Syndicats</vt:lpstr>
      <vt:lpstr>Syndicats endettement</vt:lpstr>
      <vt:lpstr>Endettement par syndicat</vt:lpstr>
      <vt:lpstr>'4.7 Autofinancement'!Zone_d_impression</vt:lpstr>
      <vt:lpstr>'Autofinancement par Bourgeoisie'!Zone_d_impression</vt:lpstr>
      <vt:lpstr>Récapitulatif!Zone_d_impression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Buchwalder Julien</dc:creator>
  <cp:lastModifiedBy>Haefelin Julien (IT-PTR-CEN1-YPT2)</cp:lastModifiedBy>
  <cp:lastPrinted>2023-10-13T06:55:58Z</cp:lastPrinted>
  <dcterms:created xsi:type="dcterms:W3CDTF">2015-10-26T07:38:03Z</dcterms:created>
  <dcterms:modified xsi:type="dcterms:W3CDTF">2024-03-15T12:39:07Z</dcterms:modified>
</cp:coreProperties>
</file>